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8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drawings/drawing10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queryTables/queryTable13.xml" ContentType="application/vnd.openxmlformats-officedocument.spreadsheetml.queryTable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3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6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7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0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2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3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4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5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6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7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8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29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0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1.xml" ContentType="application/vnd.openxmlformats-officedocument.drawing+xml"/>
  <Override PartName="/xl/queryTables/queryTable30.xml" ContentType="application/vnd.openxmlformats-officedocument.spreadsheetml.queryTable+xml"/>
  <Override PartName="/xl/drawings/drawing32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5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6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7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8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1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4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5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6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7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48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49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0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GPS" sheetId="80" state="hidden" r:id="rId18"/>
    <sheet name="AKAM" sheetId="63" state="hidden" r:id="rId19"/>
    <sheet name="ARNC" sheetId="76" r:id="rId20"/>
    <sheet name="IEMG" sheetId="105" state="hidden" r:id="rId21"/>
    <sheet name="CVS" sheetId="69" state="hidden" r:id="rId22"/>
    <sheet name="ADBE" sheetId="85" state="hidden" r:id="rId23"/>
    <sheet name="MRO" sheetId="25" state="hidden" r:id="rId24"/>
    <sheet name="GE" sheetId="86" state="hidden" r:id="rId25"/>
    <sheet name="XRAY" sheetId="103" state="hidden" r:id="rId26"/>
    <sheet name="XLP" sheetId="104" state="hidden" r:id="rId27"/>
    <sheet name="KR" sheetId="51" state="hidden" r:id="rId28"/>
    <sheet name="F" sheetId="54" r:id="rId29"/>
    <sheet name="JNJ" sheetId="68" state="hidden" r:id="rId30"/>
    <sheet name="ULTA" sheetId="81" state="hidden" r:id="rId31"/>
    <sheet name="FRC" sheetId="89" state="hidden" r:id="rId32"/>
    <sheet name="AAP" sheetId="77" state="hidden" r:id="rId33"/>
    <sheet name="CMCSA" sheetId="99" r:id="rId34"/>
    <sheet name="XEC" sheetId="100" state="hidden" r:id="rId35"/>
    <sheet name="MO" sheetId="102" state="hidden" r:id="rId36"/>
    <sheet name="T" sheetId="93" state="hidden" r:id="rId37"/>
    <sheet name="COST" sheetId="78" r:id="rId38"/>
    <sheet name="CPN" sheetId="7" state="hidden" r:id="rId39"/>
    <sheet name="EW" sheetId="72" state="hidden" r:id="rId40"/>
    <sheet name="TJX" sheetId="79" state="hidden" r:id="rId41"/>
    <sheet name="QQQ" sheetId="101" state="hidden" r:id="rId42"/>
    <sheet name="WBA" sheetId="84" state="hidden" r:id="rId43"/>
    <sheet name="AZO" sheetId="83" state="hidden" r:id="rId44"/>
    <sheet name="FL" sheetId="98" state="hidden" r:id="rId45"/>
    <sheet name="MLM" sheetId="97" state="hidden" r:id="rId46"/>
    <sheet name="KHC" sheetId="96" state="hidden" r:id="rId47"/>
    <sheet name="KBWY" sheetId="94" state="hidden" r:id="rId48"/>
    <sheet name="AYI" sheetId="92" r:id="rId49"/>
    <sheet name="DIA" sheetId="91" state="hidden" r:id="rId50"/>
    <sheet name="ICE" sheetId="95" state="hidden" r:id="rId51"/>
    <sheet name="NKE" sheetId="50" state="hidden" r:id="rId52"/>
    <sheet name="MOS" sheetId="58" state="hidden" r:id="rId53"/>
    <sheet name="VGK" sheetId="59" state="hidden" r:id="rId54"/>
    <sheet name="CMG" sheetId="87" state="hidden" r:id="rId55"/>
    <sheet name="HAS" sheetId="90" state="hidden" r:id="rId56"/>
    <sheet name="HSIC" sheetId="82" state="hidden" r:id="rId57"/>
    <sheet name="PDCO" sheetId="88" state="hidden" r:id="rId58"/>
    <sheet name="MU" sheetId="17" state="hidden" r:id="rId59"/>
    <sheet name="IP" sheetId="44" state="hidden" r:id="rId60"/>
    <sheet name="INTC" sheetId="13" state="hidden" r:id="rId61"/>
    <sheet name="HES" sheetId="10" state="hidden" r:id="rId62"/>
    <sheet name="UNP" sheetId="20" state="hidden" r:id="rId63"/>
    <sheet name="NCLH" sheetId="67" state="hidden" r:id="rId64"/>
    <sheet name="SPY" sheetId="47" r:id="rId65"/>
    <sheet name="SWKS" sheetId="41" state="hidden" r:id="rId66"/>
    <sheet name="CNI" sheetId="42" state="hidden" r:id="rId67"/>
    <sheet name="WFC" sheetId="45" state="hidden" r:id="rId68"/>
    <sheet name="AA" sheetId="3" state="hidden" r:id="rId69"/>
    <sheet name="CF" sheetId="61" state="hidden" r:id="rId70"/>
    <sheet name="TGT" sheetId="75" state="hidden" r:id="rId71"/>
    <sheet name="NWL" sheetId="46" state="hidden" r:id="rId72"/>
    <sheet name="KORS" sheetId="16" state="hidden" r:id="rId73"/>
    <sheet name="ALL" sheetId="22" state="hidden" r:id="rId74"/>
    <sheet name="NSC" sheetId="24" state="hidden" r:id="rId75"/>
    <sheet name="AVGO" sheetId="15" state="hidden" r:id="rId76"/>
    <sheet name="UAL" sheetId="52" state="hidden" r:id="rId77"/>
    <sheet name="CAH" sheetId="53" state="hidden" r:id="rId78"/>
    <sheet name="DAL" sheetId="49" state="hidden" r:id="rId79"/>
    <sheet name="TEVA" sheetId="74" r:id="rId80"/>
    <sheet name="DIS" sheetId="34" state="hidden" r:id="rId81"/>
    <sheet name="FTR" sheetId="40" state="hidden" r:id="rId82"/>
    <sheet name="GILD" sheetId="31" r:id="rId83"/>
    <sheet name="WWD" sheetId="28" state="hidden" r:id="rId84"/>
    <sheet name="GIS" sheetId="43" state="hidden" r:id="rId85"/>
    <sheet name="GM" sheetId="29" state="hidden" r:id="rId86"/>
    <sheet name="TMO" sheetId="48" state="hidden" r:id="rId87"/>
    <sheet name="TKR" sheetId="32" state="hidden" r:id="rId88"/>
    <sheet name="UTX" sheetId="30" state="hidden" r:id="rId89"/>
    <sheet name="UNH" sheetId="26" state="hidden" r:id="rId90"/>
  </sheets>
  <functionGroups builtInGroupCount="18"/>
  <definedNames>
    <definedName name="_xlnm._FilterDatabase" localSheetId="0" hidden="1">ACTIVE!$E$1:$M$26</definedName>
    <definedName name="hp?s_AA_Historical_Prices_1" localSheetId="68">AA!$W$1:$AC$68</definedName>
    <definedName name="hp?s_AAPL" localSheetId="8">AAPL!#REF!</definedName>
    <definedName name="hp?s_AKAM_Historical_Prices" localSheetId="16">BMY!$W$1:$AC$70</definedName>
    <definedName name="hp?s_ALL_Historical_Prices" localSheetId="73">ALL!$X$1:$AD$69</definedName>
    <definedName name="hp?s_AVGO" localSheetId="75">AVGO!$W$1:$AC$69</definedName>
    <definedName name="hp?s_AXP_Historical_Prices" localSheetId="9">AXP!$W$1:$AC$70</definedName>
    <definedName name="hp?s_BIIB" localSheetId="3">BIIB!#REF!</definedName>
    <definedName name="hp?s_CAH" localSheetId="77">CAH!#REF!</definedName>
    <definedName name="hp?s_cce" localSheetId="15">CCE!#REF!</definedName>
    <definedName name="hp?s_CNI" localSheetId="66">CNI!$W$1:$AC$69</definedName>
    <definedName name="hp?s_CPN_Historical_Prices" localSheetId="38">CPN!$W$1:$AC$68</definedName>
    <definedName name="hp?s_DIS" localSheetId="15">CCE!#REF!</definedName>
    <definedName name="hp?s_DIS" localSheetId="80">DIS!$W$1:$AC$68</definedName>
    <definedName name="hp?s_DIS" localSheetId="81">FTR!#REF!</definedName>
    <definedName name="hp?s_ew_Historical_Prices" localSheetId="39">EW!$W$1:$AC$68</definedName>
    <definedName name="hp?s_foxa" localSheetId="12">FOXA!$W$1:$AC$69</definedName>
    <definedName name="hp?s_GILD" localSheetId="82">GILD!#REF!</definedName>
    <definedName name="hp?s_GIS" localSheetId="84">GIS!#REF!</definedName>
    <definedName name="hp?s_GM" localSheetId="85">GM!$W$1:$AC$69</definedName>
    <definedName name="hp?s_HES" localSheetId="61">HES!$W$1:$AC$69</definedName>
    <definedName name="hp?s_INTC_Historical_Prices" localSheetId="60">INTC!$W$1:$AC$69</definedName>
    <definedName name="hp?s_IP" localSheetId="59">IP!$W$1:$AC$69</definedName>
    <definedName name="hp?s_KORS" localSheetId="72">KORS!$W$1:$AC$68</definedName>
    <definedName name="hp?s_MYL" localSheetId="4">MYL!$W$1:$AC$68</definedName>
    <definedName name="hp?s_nclh" localSheetId="63">NCLH!$W$1:$AC$68</definedName>
    <definedName name="hp?s_nke" localSheetId="51">NKE!$W$1:$AC$69</definedName>
    <definedName name="hp?s_NWL" localSheetId="71">NWL!#REF!</definedName>
    <definedName name="hp?s_pinc" localSheetId="11">PINC!$W$1:$AC$68</definedName>
    <definedName name="hp?s_SWKS" localSheetId="65">SWKS!$W$1:$AC$69</definedName>
    <definedName name="hp?s_TKR" localSheetId="87">TKR!$W$1:$AC$69</definedName>
    <definedName name="hp?s_tmo" localSheetId="86">TMO!$W$1:$AC$69</definedName>
    <definedName name="hp?s_ual" localSheetId="76">UAL!$W$1:$AC$68</definedName>
    <definedName name="hp?s_UNH" localSheetId="89">UNH!$W$1:$AC$69</definedName>
    <definedName name="hp?s_UTX" localSheetId="88">UTX!$W$1:$AC$69</definedName>
    <definedName name="hp?s_vgk" localSheetId="53">VGK!$W$1:$AC$69</definedName>
    <definedName name="hp?s_WFC" localSheetId="67">WFC!#REF!</definedName>
    <definedName name="hp?s_WWD" localSheetId="83">WWD!$W$1:$AC$69</definedName>
    <definedName name="PL" localSheetId="68">AA!$Q$7</definedName>
    <definedName name="PL" localSheetId="32">#REF!</definedName>
    <definedName name="PL" localSheetId="6">#REF!</definedName>
    <definedName name="PL" localSheetId="22">#REF!</definedName>
    <definedName name="PL" localSheetId="18">#REF!</definedName>
    <definedName name="PL" localSheetId="13">#REF!</definedName>
    <definedName name="PL" localSheetId="19">#REF!</definedName>
    <definedName name="PL" localSheetId="9">#REF!</definedName>
    <definedName name="PL" localSheetId="48">#REF!</definedName>
    <definedName name="PL" localSheetId="43">#REF!</definedName>
    <definedName name="PL" localSheetId="16">#REF!</definedName>
    <definedName name="PL" localSheetId="77">#REF!</definedName>
    <definedName name="PL" localSheetId="69">#REF!</definedName>
    <definedName name="PL" localSheetId="33">#REF!</definedName>
    <definedName name="PL" localSheetId="54">#REF!</definedName>
    <definedName name="PL" localSheetId="37">#REF!</definedName>
    <definedName name="PL" localSheetId="21">#REF!</definedName>
    <definedName name="PL" localSheetId="10">#REF!</definedName>
    <definedName name="PL" localSheetId="49">#REF!</definedName>
    <definedName name="PL" localSheetId="39">#REF!</definedName>
    <definedName name="PL" localSheetId="28">#REF!</definedName>
    <definedName name="PL" localSheetId="44">#REF!</definedName>
    <definedName name="PL" localSheetId="12">#REF!</definedName>
    <definedName name="PL" localSheetId="31">#REF!</definedName>
    <definedName name="PL" localSheetId="24">#REF!</definedName>
    <definedName name="PL" localSheetId="17">#REF!</definedName>
    <definedName name="PL" localSheetId="55">#REF!</definedName>
    <definedName name="PL" localSheetId="56">#REF!</definedName>
    <definedName name="PL" localSheetId="50">#REF!</definedName>
    <definedName name="PL" localSheetId="20">#REF!</definedName>
    <definedName name="PL" localSheetId="29">#REF!</definedName>
    <definedName name="PL" localSheetId="47">#REF!</definedName>
    <definedName name="PL" localSheetId="46">#REF!</definedName>
    <definedName name="PL" localSheetId="27">#REF!</definedName>
    <definedName name="PL" localSheetId="14">#REF!</definedName>
    <definedName name="PL" localSheetId="45">#REF!</definedName>
    <definedName name="PL" localSheetId="35">#REF!</definedName>
    <definedName name="PL" localSheetId="52">#REF!</definedName>
    <definedName name="PL" localSheetId="4">#REF!</definedName>
    <definedName name="PL" localSheetId="63">NCLH!$Q$7</definedName>
    <definedName name="PL" localSheetId="51">#REF!</definedName>
    <definedName name="PL" localSheetId="7">#REF!</definedName>
    <definedName name="PL" localSheetId="57">#REF!</definedName>
    <definedName name="PL" localSheetId="11">PINC!$Q$7</definedName>
    <definedName name="PL" localSheetId="41">#REF!</definedName>
    <definedName name="PL" localSheetId="64">SPY!$Q$7</definedName>
    <definedName name="PL" localSheetId="65">SWKS!$Q$7</definedName>
    <definedName name="PL" localSheetId="36">#REF!</definedName>
    <definedName name="PL" localSheetId="70">#REF!</definedName>
    <definedName name="PL" localSheetId="40">#REF!</definedName>
    <definedName name="PL" localSheetId="76">#REF!</definedName>
    <definedName name="PL" localSheetId="30">#REF!</definedName>
    <definedName name="PL" localSheetId="53">#REF!</definedName>
    <definedName name="PL" localSheetId="42">#REF!</definedName>
    <definedName name="PL" localSheetId="67">WFC!$Q$7</definedName>
    <definedName name="PL" localSheetId="34">#REF!</definedName>
    <definedName name="PL" localSheetId="26">#REF!</definedName>
    <definedName name="PL" localSheetId="25">#REF!</definedName>
    <definedName name="q?s_aa_ql_1" localSheetId="68">AA!$T$40:$U$55</definedName>
    <definedName name="q?s_AKAM" localSheetId="18">AKAM!$T$43:$U$58</definedName>
    <definedName name="q?s_ALL" localSheetId="73">ALL!$T$40:$U$55</definedName>
    <definedName name="q?s_AVGO" localSheetId="75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69">CF!$T$56:$U$71</definedName>
    <definedName name="q?s_CNI" localSheetId="66">CNI!$T$43:$U$58</definedName>
    <definedName name="q?s_CPN" localSheetId="38">CPN!$T$43:$U$58</definedName>
    <definedName name="q?s_dg" localSheetId="10">DG!$T$43:$U$58</definedName>
    <definedName name="q?s_DIS" localSheetId="80">DIS!$T$43:$U$58</definedName>
    <definedName name="q?s_ew" localSheetId="39">EW!$T$43:$U$58</definedName>
    <definedName name="q?s_F" localSheetId="28">F!$T$43:$U$58</definedName>
    <definedName name="q?s_foxa" localSheetId="12">FOXA!$T$43:$U$58</definedName>
    <definedName name="q?s_FTR" localSheetId="81">FTR!$T$43:$U$58</definedName>
    <definedName name="q?s_GILD" localSheetId="82">GILD!$T$43:$U$58</definedName>
    <definedName name="q?s_GM" localSheetId="85">GM!$T$43:$U$58</definedName>
    <definedName name="q?s_HES" localSheetId="61">HES!$T$43:$U$58</definedName>
    <definedName name="q?s_INTC" localSheetId="60">INTC!$T$43:$U$58</definedName>
    <definedName name="q?s_IP" localSheetId="59">IP!$T$43:$U$58</definedName>
    <definedName name="q?s_JNJ" localSheetId="29">JNJ!$T$43:$U$58</definedName>
    <definedName name="q?s_KORS" localSheetId="72">KORS!$T$43:$U$58</definedName>
    <definedName name="q?s_MU" localSheetId="58">MU!#REF!</definedName>
    <definedName name="q?s_MYL" localSheetId="4">MYL!$T$43:$U$58</definedName>
    <definedName name="q?s_nclh" localSheetId="63">NCLH!$T$40:$U$55</definedName>
    <definedName name="q?s_NKE" localSheetId="51">NKE!$T$43:$U$58</definedName>
    <definedName name="q?s_NSC" localSheetId="62">UNP!$T$43:$U$58</definedName>
    <definedName name="q?s_pinc" localSheetId="11">PINC!$T$40:$U$55</definedName>
    <definedName name="q?s_SIG" localSheetId="5">SIG!#REF!</definedName>
    <definedName name="q?s_SWKS" localSheetId="65">SWKS!$T$40:$U$55</definedName>
    <definedName name="q?s_tgt" localSheetId="70">TGT!$T$43:$U$58</definedName>
    <definedName name="q?s_TKR" localSheetId="87">TKR!$T$43:$U$58</definedName>
    <definedName name="q?s_tmo" localSheetId="86">TMO!$T$43:$U$58</definedName>
    <definedName name="q?s_UAL" localSheetId="76">UAL!$T$43:$U$58</definedName>
    <definedName name="q?s_UNH" localSheetId="89">UNH!$T$43:$U$58</definedName>
    <definedName name="q?s_UTX" localSheetId="88">UTX!$T$43:$U$58</definedName>
    <definedName name="q?s_vgk" localSheetId="53">VGK!$T$43:$U$56</definedName>
    <definedName name="q?s_WWD" localSheetId="8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3" i="45" l="1"/>
  <c r="G53" i="45"/>
  <c r="H53" i="45"/>
  <c r="F44" i="102"/>
  <c r="G44" i="102"/>
  <c r="H44" i="102"/>
  <c r="K25" i="69"/>
  <c r="K26" i="69"/>
  <c r="K27" i="69"/>
  <c r="K28" i="69"/>
  <c r="K29" i="69"/>
  <c r="F29" i="69"/>
  <c r="H29" i="69"/>
  <c r="G29" i="69"/>
  <c r="F41" i="96"/>
  <c r="H41" i="96"/>
  <c r="G41" i="96"/>
  <c r="F258" i="25"/>
  <c r="G258" i="25"/>
  <c r="H258" i="25"/>
  <c r="A708" i="38"/>
  <c r="D708" i="38"/>
  <c r="V708" i="38" s="1"/>
  <c r="X708" i="38" s="1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Q708" i="38" s="1"/>
  <c r="W708" i="38"/>
  <c r="U708" i="38"/>
  <c r="A707" i="38"/>
  <c r="D707" i="38"/>
  <c r="E707" i="38"/>
  <c r="G707" i="38"/>
  <c r="H707" i="38"/>
  <c r="K707" i="38"/>
  <c r="L707" i="38" s="1"/>
  <c r="P707" i="38" s="1"/>
  <c r="M707" i="38"/>
  <c r="N707" i="38" s="1"/>
  <c r="O707" i="38" s="1"/>
  <c r="S707" i="38"/>
  <c r="F162" i="51"/>
  <c r="G162" i="51"/>
  <c r="H162" i="51"/>
  <c r="F48" i="51"/>
  <c r="Y708" i="38" l="1"/>
  <c r="U707" i="38"/>
  <c r="Z707" i="38"/>
  <c r="F80" i="81"/>
  <c r="G80" i="81"/>
  <c r="H80" i="81"/>
  <c r="F43" i="102"/>
  <c r="G43" i="102"/>
  <c r="H43" i="102"/>
  <c r="G40" i="96" l="1"/>
  <c r="F40" i="96"/>
  <c r="H40" i="96"/>
  <c r="F112" i="58" l="1"/>
  <c r="G112" i="58"/>
  <c r="H112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Q13" i="46"/>
  <c r="F80" i="46"/>
  <c r="H80" i="46"/>
  <c r="G80" i="46"/>
  <c r="F26" i="46"/>
  <c r="F41" i="90"/>
  <c r="G41" i="90"/>
  <c r="H41" i="90"/>
  <c r="F42" i="90"/>
  <c r="G42" i="90"/>
  <c r="H42" i="90"/>
  <c r="F7" i="90"/>
  <c r="F257" i="25"/>
  <c r="G257" i="25"/>
  <c r="H257" i="25"/>
  <c r="F92" i="25"/>
  <c r="H18" i="86"/>
  <c r="F43" i="86"/>
  <c r="H43" i="86"/>
  <c r="G43" i="86"/>
  <c r="F9" i="86"/>
  <c r="C18" i="86"/>
  <c r="F29" i="53"/>
  <c r="H29" i="53"/>
  <c r="G29" i="53"/>
  <c r="F5" i="53"/>
  <c r="F161" i="51"/>
  <c r="H161" i="51"/>
  <c r="G161" i="51"/>
  <c r="K35" i="51"/>
  <c r="K34" i="51"/>
  <c r="Q11" i="69"/>
  <c r="F74" i="43"/>
  <c r="H74" i="43"/>
  <c r="G74" i="43"/>
  <c r="F18" i="43"/>
  <c r="C18" i="92"/>
  <c r="P706" i="38" l="1"/>
  <c r="O706" i="38"/>
  <c r="Z706" i="38"/>
  <c r="U706" i="38"/>
  <c r="F79" i="46"/>
  <c r="H79" i="46"/>
  <c r="G79" i="46"/>
  <c r="F25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78" i="46"/>
  <c r="H78" i="46"/>
  <c r="G78" i="46"/>
  <c r="F24" i="46"/>
  <c r="F23" i="46"/>
  <c r="F43" i="103"/>
  <c r="H43" i="103"/>
  <c r="G43" i="103"/>
  <c r="K3" i="103"/>
  <c r="G67" i="88"/>
  <c r="F67" i="88"/>
  <c r="H67" i="88"/>
  <c r="K10" i="88"/>
  <c r="G77" i="46"/>
  <c r="F77" i="46"/>
  <c r="H77" i="46"/>
  <c r="F22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3" i="43"/>
  <c r="H73" i="43"/>
  <c r="G73" i="43"/>
  <c r="F48" i="92"/>
  <c r="G48" i="92"/>
  <c r="H48" i="92"/>
  <c r="F160" i="51"/>
  <c r="H160" i="51"/>
  <c r="G160" i="51"/>
  <c r="F42" i="103"/>
  <c r="H42" i="103"/>
  <c r="G42" i="103"/>
  <c r="H18" i="92"/>
  <c r="F28" i="69"/>
  <c r="G28" i="69"/>
  <c r="H28" i="69"/>
  <c r="F42" i="102"/>
  <c r="H42" i="102"/>
  <c r="G42" i="102"/>
  <c r="F43" i="93"/>
  <c r="H43" i="93"/>
  <c r="G43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H18" i="101"/>
  <c r="F256" i="25"/>
  <c r="G256" i="25"/>
  <c r="H256" i="25"/>
  <c r="K73" i="25"/>
  <c r="F41" i="102"/>
  <c r="H41" i="102"/>
  <c r="G41" i="102"/>
  <c r="K5" i="102"/>
  <c r="F255" i="25"/>
  <c r="H255" i="25"/>
  <c r="G255" i="25"/>
  <c r="F91" i="25"/>
  <c r="H36" i="74"/>
  <c r="G36" i="74"/>
  <c r="F36" i="74"/>
  <c r="F7" i="74"/>
  <c r="L702" i="38" l="1"/>
  <c r="P702" i="38" s="1"/>
  <c r="Z702" i="38"/>
  <c r="O702" i="38"/>
  <c r="U702" i="38"/>
  <c r="F42" i="93"/>
  <c r="H42" i="93"/>
  <c r="G42" i="93"/>
  <c r="F72" i="43"/>
  <c r="H72" i="43"/>
  <c r="G72" i="43"/>
  <c r="F79" i="81"/>
  <c r="H79" i="81"/>
  <c r="G79" i="81"/>
  <c r="F23" i="81"/>
  <c r="F27" i="69"/>
  <c r="G27" i="69"/>
  <c r="H27" i="69"/>
  <c r="F3" i="69"/>
  <c r="F37" i="96"/>
  <c r="G37" i="96"/>
  <c r="H37" i="96"/>
  <c r="F6" i="96"/>
  <c r="F47" i="92"/>
  <c r="H47" i="92"/>
  <c r="G47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C85" i="107"/>
  <c r="M85" i="107"/>
  <c r="C19" i="107"/>
  <c r="H19" i="107"/>
  <c r="H85" i="107"/>
  <c r="F19" i="107"/>
  <c r="K85" i="107"/>
  <c r="K19" i="107"/>
  <c r="F85" i="107"/>
  <c r="M19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46" i="92"/>
  <c r="H46" i="92"/>
  <c r="G46" i="92"/>
  <c r="F71" i="43"/>
  <c r="H71" i="43"/>
  <c r="G71" i="43"/>
  <c r="F41" i="103"/>
  <c r="G41" i="103"/>
  <c r="H41" i="103"/>
  <c r="F111" i="58"/>
  <c r="G111" i="58"/>
  <c r="H111" i="58"/>
  <c r="F77" i="84"/>
  <c r="H77" i="84"/>
  <c r="G77" i="84"/>
  <c r="F40" i="102"/>
  <c r="H40" i="102"/>
  <c r="G40" i="102"/>
  <c r="F159" i="51"/>
  <c r="G159" i="51"/>
  <c r="H159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54" i="25"/>
  <c r="H254" i="25"/>
  <c r="G254" i="25"/>
  <c r="F90" i="25"/>
  <c r="F42" i="101"/>
  <c r="H42" i="101"/>
  <c r="G42" i="101"/>
  <c r="Q3" i="107" l="1"/>
  <c r="Q6" i="107" s="1"/>
  <c r="Q8" i="107"/>
  <c r="Q7" i="107" s="1"/>
  <c r="P700" i="38"/>
  <c r="O700" i="38"/>
  <c r="Z700" i="38"/>
  <c r="U700" i="38"/>
  <c r="F253" i="25"/>
  <c r="H253" i="25"/>
  <c r="G253" i="25"/>
  <c r="K72" i="25"/>
  <c r="F28" i="53"/>
  <c r="G28" i="53"/>
  <c r="H28" i="53"/>
  <c r="F3" i="53"/>
  <c r="K2" i="53"/>
  <c r="F45" i="92"/>
  <c r="H45" i="92"/>
  <c r="G45" i="92"/>
  <c r="K6" i="92"/>
  <c r="H24" i="88"/>
  <c r="F66" i="88"/>
  <c r="H66" i="88"/>
  <c r="G66" i="88"/>
  <c r="K9" i="88"/>
  <c r="F41" i="93"/>
  <c r="H41" i="93"/>
  <c r="G41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19" i="93"/>
  <c r="Q9" i="107" l="1"/>
  <c r="P699" i="38"/>
  <c r="O699" i="38"/>
  <c r="Z699" i="38"/>
  <c r="U699" i="38"/>
  <c r="F158" i="51"/>
  <c r="G158" i="51"/>
  <c r="H158" i="51"/>
  <c r="H18" i="93" l="1"/>
  <c r="C18" i="93"/>
  <c r="F40" i="93" l="1"/>
  <c r="H40" i="93"/>
  <c r="G40" i="93"/>
  <c r="A698" i="38"/>
  <c r="D698" i="38"/>
  <c r="E698" i="38"/>
  <c r="G698" i="38"/>
  <c r="H698" i="38"/>
  <c r="K698" i="38"/>
  <c r="L698" i="38" s="1"/>
  <c r="M698" i="38"/>
  <c r="N698" i="38" s="1"/>
  <c r="S698" i="38"/>
  <c r="F252" i="25"/>
  <c r="G252" i="25"/>
  <c r="H252" i="25"/>
  <c r="C34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51" i="25"/>
  <c r="G251" i="25"/>
  <c r="H251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76" i="46"/>
  <c r="F76" i="46"/>
  <c r="H76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H18" i="99"/>
  <c r="F75" i="46"/>
  <c r="H75" i="46"/>
  <c r="G75" i="46"/>
  <c r="F21" i="46"/>
  <c r="F39" i="93"/>
  <c r="H39" i="93"/>
  <c r="G39" i="93"/>
  <c r="F10" i="93"/>
  <c r="G110" i="58"/>
  <c r="F110" i="58"/>
  <c r="H110" i="58"/>
  <c r="F29" i="58"/>
  <c r="F42" i="99"/>
  <c r="H42" i="99"/>
  <c r="G42" i="99"/>
  <c r="F7" i="99"/>
  <c r="F63" i="88"/>
  <c r="H63" i="88"/>
  <c r="G63" i="88"/>
  <c r="F38" i="93"/>
  <c r="H38" i="93"/>
  <c r="G38" i="93"/>
  <c r="F37" i="93"/>
  <c r="H37" i="93"/>
  <c r="G37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50" i="25"/>
  <c r="H250" i="25"/>
  <c r="G250" i="25"/>
  <c r="K71" i="25"/>
  <c r="F109" i="58"/>
  <c r="H109" i="58"/>
  <c r="G109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F18" i="106"/>
  <c r="K18" i="106"/>
  <c r="H19" i="106"/>
  <c r="C19" i="106"/>
  <c r="F85" i="106"/>
  <c r="K19" i="106"/>
  <c r="F19" i="106"/>
  <c r="C85" i="106"/>
  <c r="M85" i="106"/>
  <c r="M19" i="106"/>
  <c r="H85" i="106"/>
  <c r="K85" i="106"/>
  <c r="M66" i="106" l="1"/>
  <c r="Q10" i="106" s="1"/>
  <c r="P693" i="38"/>
  <c r="Q2" i="106"/>
  <c r="Q3" i="106" s="1"/>
  <c r="Q6" i="106" s="1"/>
  <c r="O693" i="38"/>
  <c r="Z693" i="38"/>
  <c r="U693" i="38"/>
  <c r="Q8" i="106"/>
  <c r="G74" i="46"/>
  <c r="F74" i="46"/>
  <c r="H74" i="46"/>
  <c r="F20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49" i="25"/>
  <c r="H249" i="25"/>
  <c r="G249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48" i="25"/>
  <c r="F248" i="25"/>
  <c r="H248" i="25"/>
  <c r="K69" i="25"/>
  <c r="F4" i="96"/>
  <c r="F70" i="43"/>
  <c r="H70" i="43"/>
  <c r="G70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08" i="58"/>
  <c r="H108" i="58"/>
  <c r="G108" i="58"/>
  <c r="K23" i="58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47" i="25"/>
  <c r="G247" i="25"/>
  <c r="H247" i="25"/>
  <c r="F246" i="25"/>
  <c r="H246" i="25"/>
  <c r="G246" i="25"/>
  <c r="F89" i="25"/>
  <c r="F35" i="102"/>
  <c r="H35" i="102"/>
  <c r="G35" i="102"/>
  <c r="F5" i="102"/>
  <c r="F88" i="25"/>
  <c r="F157" i="51"/>
  <c r="H157" i="51"/>
  <c r="G157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45" i="25"/>
  <c r="H245" i="25"/>
  <c r="G245" i="25"/>
  <c r="F87" i="25"/>
  <c r="F33" i="93" l="1"/>
  <c r="H33" i="93"/>
  <c r="G33" i="93"/>
  <c r="F6" i="93"/>
  <c r="F40" i="99"/>
  <c r="H40" i="99"/>
  <c r="G40" i="99"/>
  <c r="K5" i="99"/>
  <c r="F106" i="58"/>
  <c r="G106" i="58"/>
  <c r="H106" i="58"/>
  <c r="F107" i="58"/>
  <c r="G107" i="58"/>
  <c r="H107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44" i="92"/>
  <c r="H44" i="92"/>
  <c r="G44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44" i="25"/>
  <c r="H244" i="25"/>
  <c r="G244" i="25"/>
  <c r="K68" i="25"/>
  <c r="Z684" i="38" l="1"/>
  <c r="O684" i="38"/>
  <c r="P684" i="38"/>
  <c r="U684" i="38"/>
  <c r="G73" i="46"/>
  <c r="F73" i="46"/>
  <c r="H73" i="46"/>
  <c r="F39" i="99"/>
  <c r="H39" i="99"/>
  <c r="G39" i="99"/>
  <c r="F36" i="103"/>
  <c r="H36" i="103"/>
  <c r="G36" i="103"/>
  <c r="G60" i="88"/>
  <c r="F60" i="88"/>
  <c r="H60" i="88"/>
  <c r="F156" i="51"/>
  <c r="G156" i="51"/>
  <c r="H156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H24" i="84"/>
  <c r="F243" i="25"/>
  <c r="G243" i="25"/>
  <c r="H243" i="25"/>
  <c r="K67" i="25"/>
  <c r="F76" i="81"/>
  <c r="H76" i="81"/>
  <c r="G76" i="81"/>
  <c r="K15" i="81"/>
  <c r="K3" i="82"/>
  <c r="F32" i="102"/>
  <c r="G32" i="102"/>
  <c r="H32" i="102"/>
  <c r="K2" i="102"/>
  <c r="K5" i="98"/>
  <c r="K12" i="57"/>
  <c r="K2" i="96"/>
  <c r="Q2" i="31" l="1"/>
  <c r="K2" i="31"/>
  <c r="K10" i="47"/>
  <c r="H18" i="47"/>
  <c r="F41" i="101"/>
  <c r="H41" i="101"/>
  <c r="G41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42" i="25"/>
  <c r="H242" i="25"/>
  <c r="G242" i="25"/>
  <c r="F86" i="25"/>
  <c r="F72" i="46"/>
  <c r="H72" i="46"/>
  <c r="G72" i="46"/>
  <c r="F41" i="47"/>
  <c r="H41" i="47"/>
  <c r="G41" i="47"/>
  <c r="K9" i="47"/>
  <c r="K13" i="46"/>
  <c r="F241" i="25"/>
  <c r="H241" i="25"/>
  <c r="G241" i="25"/>
  <c r="F43" i="92"/>
  <c r="H43" i="92"/>
  <c r="G43" i="92"/>
  <c r="F9" i="92"/>
  <c r="F85" i="25"/>
  <c r="F42" i="92"/>
  <c r="H42" i="92"/>
  <c r="G42" i="92"/>
  <c r="F8" i="92"/>
  <c r="Q13" i="68"/>
  <c r="Q13" i="47"/>
  <c r="F31" i="102"/>
  <c r="H31" i="102"/>
  <c r="G31" i="102"/>
  <c r="Q13" i="84"/>
  <c r="F72" i="84"/>
  <c r="H72" i="84"/>
  <c r="G72" i="84"/>
  <c r="F155" i="51"/>
  <c r="H155" i="51"/>
  <c r="G155" i="51"/>
  <c r="Q13" i="51"/>
  <c r="M19" i="47"/>
  <c r="H19" i="47"/>
  <c r="C19" i="47"/>
  <c r="H32" i="46"/>
  <c r="C32" i="46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1" i="92"/>
  <c r="H41" i="92"/>
  <c r="G41" i="92"/>
  <c r="F7" i="92"/>
  <c r="F40" i="92"/>
  <c r="H40" i="92"/>
  <c r="G40" i="92"/>
  <c r="K3" i="92"/>
  <c r="K4" i="92"/>
  <c r="F240" i="25"/>
  <c r="H240" i="25"/>
  <c r="G240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39" i="92"/>
  <c r="G39" i="92"/>
  <c r="H39" i="92"/>
  <c r="F71" i="84"/>
  <c r="H71" i="84"/>
  <c r="G71" i="84"/>
  <c r="F239" i="25"/>
  <c r="G239" i="25"/>
  <c r="H239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69" i="43"/>
  <c r="G69" i="43"/>
  <c r="H69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38" i="92"/>
  <c r="H38" i="92"/>
  <c r="G38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37" i="92"/>
  <c r="H37" i="92"/>
  <c r="G37" i="92"/>
  <c r="F69" i="84"/>
  <c r="G69" i="84"/>
  <c r="H69" i="84"/>
  <c r="F154" i="51"/>
  <c r="H154" i="51"/>
  <c r="G154" i="51"/>
  <c r="F238" i="25"/>
  <c r="G238" i="25"/>
  <c r="H238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C85" i="105"/>
  <c r="F19" i="105"/>
  <c r="K85" i="105"/>
  <c r="C19" i="105"/>
  <c r="F85" i="105"/>
  <c r="H85" i="105"/>
  <c r="K19" i="105"/>
  <c r="M85" i="105"/>
  <c r="H19" i="105"/>
  <c r="M19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37" i="25"/>
  <c r="G237" i="25"/>
  <c r="H237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3" i="51"/>
  <c r="H153" i="51"/>
  <c r="G153" i="51"/>
  <c r="F44" i="51"/>
  <c r="F47" i="51"/>
  <c r="K33" i="51"/>
  <c r="K32" i="51"/>
  <c r="G105" i="58"/>
  <c r="F105" i="58"/>
  <c r="H105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36" i="25"/>
  <c r="H236" i="25"/>
  <c r="G236" i="25"/>
  <c r="F83" i="25"/>
  <c r="F152" i="51"/>
  <c r="G152" i="51"/>
  <c r="H152" i="51"/>
  <c r="F46" i="51"/>
  <c r="K31" i="51"/>
  <c r="G104" i="58"/>
  <c r="F104" i="58"/>
  <c r="H104" i="58"/>
  <c r="A673" i="38"/>
  <c r="D673" i="38"/>
  <c r="E673" i="38"/>
  <c r="G673" i="38"/>
  <c r="H673" i="38"/>
  <c r="K673" i="38"/>
  <c r="L673" i="38" s="1"/>
  <c r="M673" i="38"/>
  <c r="N673" i="38" s="1"/>
  <c r="S673" i="38"/>
  <c r="H25" i="88"/>
  <c r="C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35" i="25"/>
  <c r="G235" i="25"/>
  <c r="H235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3" i="58"/>
  <c r="F103" i="58"/>
  <c r="H103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34" i="25"/>
  <c r="H234" i="25"/>
  <c r="G234" i="25"/>
  <c r="K64" i="25"/>
  <c r="F151" i="51"/>
  <c r="G151" i="51"/>
  <c r="H151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33" i="25"/>
  <c r="H233" i="25"/>
  <c r="G233" i="25"/>
  <c r="F82" i="25"/>
  <c r="F37" i="86"/>
  <c r="H37" i="86"/>
  <c r="G37" i="86"/>
  <c r="F7" i="86"/>
  <c r="F232" i="25"/>
  <c r="H232" i="25"/>
  <c r="G232" i="25"/>
  <c r="F81" i="25"/>
  <c r="F80" i="25"/>
  <c r="F150" i="51"/>
  <c r="H150" i="51"/>
  <c r="G150" i="51"/>
  <c r="F45" i="51"/>
  <c r="F33" i="96"/>
  <c r="H33" i="96"/>
  <c r="G33" i="96"/>
  <c r="F71" i="46"/>
  <c r="H71" i="46"/>
  <c r="M31" i="46"/>
  <c r="G71" i="46"/>
  <c r="P669" i="38" l="1"/>
  <c r="O669" i="38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49" i="51"/>
  <c r="H149" i="51"/>
  <c r="G149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31" i="25"/>
  <c r="G231" i="25"/>
  <c r="H231" i="25"/>
  <c r="K63" i="25"/>
  <c r="G70" i="46"/>
  <c r="F70" i="46"/>
  <c r="H70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48" i="51"/>
  <c r="H148" i="51"/>
  <c r="G148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C18" i="90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02" i="58"/>
  <c r="H102" i="58"/>
  <c r="G102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69" i="46"/>
  <c r="G69" i="46"/>
  <c r="H69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30" i="25"/>
  <c r="G230" i="25"/>
  <c r="H230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68" i="46"/>
  <c r="H68" i="46"/>
  <c r="G68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29" i="25"/>
  <c r="H229" i="25"/>
  <c r="G229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67" i="46"/>
  <c r="G67" i="46"/>
  <c r="H67" i="46"/>
  <c r="F53" i="88"/>
  <c r="H53" i="88"/>
  <c r="G53" i="88"/>
  <c r="F145" i="51"/>
  <c r="G145" i="51"/>
  <c r="H145" i="51"/>
  <c r="F65" i="84"/>
  <c r="H65" i="84"/>
  <c r="G65" i="84"/>
  <c r="F228" i="25"/>
  <c r="H228" i="25"/>
  <c r="G228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27" i="25"/>
  <c r="G227" i="25"/>
  <c r="H227" i="25"/>
  <c r="K61" i="25"/>
  <c r="F101" i="58"/>
  <c r="H101" i="58"/>
  <c r="G101" i="58"/>
  <c r="H34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26" i="25"/>
  <c r="G226" i="25"/>
  <c r="H226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0" i="58"/>
  <c r="H100" i="58"/>
  <c r="G100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99" i="58"/>
  <c r="H99" i="58"/>
  <c r="G99" i="58"/>
  <c r="F24" i="58"/>
  <c r="P642" i="38" l="1"/>
  <c r="O642" i="38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25" i="25"/>
  <c r="H225" i="25"/>
  <c r="G225" i="25"/>
  <c r="C96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24" i="25"/>
  <c r="H224" i="25"/>
  <c r="G224" i="25"/>
  <c r="K58" i="25"/>
  <c r="F98" i="58"/>
  <c r="H98" i="58"/>
  <c r="G98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66" i="46"/>
  <c r="F66" i="46"/>
  <c r="H66" i="46"/>
  <c r="F18" i="46"/>
  <c r="F223" i="25"/>
  <c r="H223" i="25"/>
  <c r="G223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65" i="46"/>
  <c r="H65" i="46"/>
  <c r="G65" i="46"/>
  <c r="K11" i="46"/>
  <c r="F35" i="92"/>
  <c r="H35" i="92"/>
  <c r="G35" i="92"/>
  <c r="G29" i="93"/>
  <c r="F29" i="93"/>
  <c r="H29" i="93"/>
  <c r="F4" i="93"/>
  <c r="F28" i="93"/>
  <c r="G28" i="93"/>
  <c r="H28" i="93"/>
  <c r="F68" i="43"/>
  <c r="G68" i="43"/>
  <c r="H68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M85" i="104"/>
  <c r="C19" i="104"/>
  <c r="K85" i="104"/>
  <c r="F19" i="104"/>
  <c r="C85" i="104"/>
  <c r="H19" i="104"/>
  <c r="H85" i="104"/>
  <c r="M19" i="104"/>
  <c r="F85" i="104"/>
  <c r="K19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64" i="46"/>
  <c r="H64" i="46"/>
  <c r="G64" i="46"/>
  <c r="F17" i="46"/>
  <c r="F140" i="51"/>
  <c r="G140" i="51"/>
  <c r="H140" i="51"/>
  <c r="F41" i="51"/>
  <c r="Q3" i="104" l="1"/>
  <c r="Q6" i="104" s="1"/>
  <c r="Q9" i="104" s="1"/>
  <c r="Q5" i="104"/>
  <c r="P637" i="38"/>
  <c r="O637" i="38"/>
  <c r="Z637" i="38"/>
  <c r="U637" i="38"/>
  <c r="M18" i="99"/>
  <c r="F222" i="25"/>
  <c r="G222" i="25"/>
  <c r="H222" i="25"/>
  <c r="K56" i="25"/>
  <c r="H139" i="51"/>
  <c r="G139" i="51"/>
  <c r="F139" i="51"/>
  <c r="F138" i="51"/>
  <c r="G138" i="51"/>
  <c r="H138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F34" i="94"/>
  <c r="H34" i="94"/>
  <c r="G34" i="94"/>
  <c r="K3" i="94"/>
  <c r="F221" i="25"/>
  <c r="G221" i="25"/>
  <c r="H221" i="25"/>
  <c r="F76" i="25"/>
  <c r="F36" i="101"/>
  <c r="H36" i="101"/>
  <c r="G36" i="101"/>
  <c r="F7" i="101"/>
  <c r="F63" i="46"/>
  <c r="H63" i="46"/>
  <c r="G63" i="46"/>
  <c r="K10" i="46"/>
  <c r="F4" i="90"/>
  <c r="F37" i="90"/>
  <c r="G37" i="90"/>
  <c r="H37" i="90"/>
  <c r="K3" i="90"/>
  <c r="K19" i="93"/>
  <c r="K18" i="93" l="1"/>
  <c r="AD5" i="88"/>
  <c r="AE5" i="88" s="1"/>
  <c r="P635" i="38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62" i="46"/>
  <c r="G62" i="46"/>
  <c r="H62" i="46"/>
  <c r="F97" i="58"/>
  <c r="G97" i="58"/>
  <c r="H97" i="58"/>
  <c r="F58" i="57"/>
  <c r="G58" i="57"/>
  <c r="H58" i="57"/>
  <c r="F48" i="88"/>
  <c r="H48" i="88"/>
  <c r="G48" i="88"/>
  <c r="F220" i="25"/>
  <c r="G220" i="25"/>
  <c r="H220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C18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6" i="58"/>
  <c r="G96" i="58"/>
  <c r="H96" i="58"/>
  <c r="F219" i="25"/>
  <c r="H219" i="25"/>
  <c r="G219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18" i="25"/>
  <c r="H218" i="25"/>
  <c r="G218" i="25"/>
  <c r="K55" i="25"/>
  <c r="F33" i="47"/>
  <c r="H33" i="47"/>
  <c r="G33" i="47"/>
  <c r="K5" i="47"/>
  <c r="F95" i="58"/>
  <c r="H95" i="58"/>
  <c r="G95" i="58"/>
  <c r="K17" i="58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3" i="98"/>
  <c r="H67" i="43"/>
  <c r="G67" i="43"/>
  <c r="F67" i="43"/>
  <c r="F33" i="90"/>
  <c r="G33" i="90"/>
  <c r="H33" i="90"/>
  <c r="Q13" i="81"/>
  <c r="F57" i="57"/>
  <c r="H57" i="57"/>
  <c r="G57" i="57"/>
  <c r="Q13" i="57"/>
  <c r="F59" i="84"/>
  <c r="G59" i="84"/>
  <c r="H59" i="84"/>
  <c r="F131" i="51"/>
  <c r="G131" i="51"/>
  <c r="H131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94" i="58"/>
  <c r="H94" i="58"/>
  <c r="G94" i="58"/>
  <c r="F23" i="58"/>
  <c r="F31" i="101"/>
  <c r="H31" i="101"/>
  <c r="G31" i="101"/>
  <c r="F5" i="101"/>
  <c r="F217" i="25"/>
  <c r="H217" i="25"/>
  <c r="G217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93" i="58"/>
  <c r="H93" i="58"/>
  <c r="G93" i="58"/>
  <c r="F22" i="58"/>
  <c r="F216" i="25"/>
  <c r="G216" i="25"/>
  <c r="H216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15" i="25"/>
  <c r="H215" i="25"/>
  <c r="G215" i="25"/>
  <c r="K54" i="25"/>
  <c r="F92" i="58"/>
  <c r="H92" i="58"/>
  <c r="G92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1" i="46"/>
  <c r="G61" i="46"/>
  <c r="H61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14" i="25"/>
  <c r="H214" i="25"/>
  <c r="G214" i="25"/>
  <c r="K53" i="25"/>
  <c r="A616" i="38"/>
  <c r="D616" i="38"/>
  <c r="E616" i="38"/>
  <c r="G616" i="38"/>
  <c r="H616" i="38"/>
  <c r="K616" i="38"/>
  <c r="L616" i="38" s="1"/>
  <c r="M616" i="38"/>
  <c r="N616" i="38" s="1"/>
  <c r="F91" i="58"/>
  <c r="H91" i="58"/>
  <c r="G91" i="58"/>
  <c r="F21" i="58"/>
  <c r="F29" i="47"/>
  <c r="H29" i="47"/>
  <c r="G29" i="47"/>
  <c r="F8" i="47"/>
  <c r="H213" i="25"/>
  <c r="G213" i="25"/>
  <c r="F213" i="25"/>
  <c r="F212" i="25"/>
  <c r="G212" i="25"/>
  <c r="H212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211" i="25" l="1"/>
  <c r="H211" i="25"/>
  <c r="G211" i="25"/>
  <c r="K52" i="25"/>
  <c r="F90" i="58"/>
  <c r="H90" i="58"/>
  <c r="G90" i="58"/>
  <c r="K15" i="58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10" i="25"/>
  <c r="H210" i="25"/>
  <c r="G210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9" i="58"/>
  <c r="H89" i="58"/>
  <c r="G89" i="58"/>
  <c r="F20" i="58"/>
  <c r="F209" i="25"/>
  <c r="H209" i="25"/>
  <c r="G209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08" i="25"/>
  <c r="G208" i="25"/>
  <c r="H208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0" i="46"/>
  <c r="H60" i="46"/>
  <c r="G60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6" i="43"/>
  <c r="G66" i="43"/>
  <c r="F66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59" i="46"/>
  <c r="H59" i="46"/>
  <c r="G59" i="46"/>
  <c r="F32" i="91"/>
  <c r="H32" i="91"/>
  <c r="G32" i="91"/>
  <c r="F88" i="58"/>
  <c r="G88" i="58"/>
  <c r="H88" i="58"/>
  <c r="H61" i="81"/>
  <c r="G61" i="81"/>
  <c r="F61" i="81"/>
  <c r="F207" i="25"/>
  <c r="G207" i="25"/>
  <c r="H207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5" i="43"/>
  <c r="G65" i="43"/>
  <c r="F65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28" i="51"/>
  <c r="G128" i="51"/>
  <c r="H128" i="51"/>
  <c r="K19" i="51"/>
  <c r="F35" i="51"/>
  <c r="F34" i="51"/>
  <c r="F206" i="25"/>
  <c r="H206" i="25"/>
  <c r="G206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05" i="25"/>
  <c r="H205" i="25"/>
  <c r="G205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204" i="25"/>
  <c r="H204" i="25"/>
  <c r="G204" i="25"/>
  <c r="F69" i="25"/>
  <c r="C19" i="103"/>
  <c r="K85" i="103"/>
  <c r="M19" i="103"/>
  <c r="F85" i="103"/>
  <c r="H85" i="103"/>
  <c r="C85" i="103"/>
  <c r="M85" i="103"/>
  <c r="F19" i="103"/>
  <c r="K19" i="103"/>
  <c r="H19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03" i="25"/>
  <c r="H203" i="25"/>
  <c r="G203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F2" i="102"/>
  <c r="F18" i="102" s="1"/>
  <c r="F56" i="57"/>
  <c r="H56" i="57"/>
  <c r="G56" i="57"/>
  <c r="K8" i="57"/>
  <c r="F202" i="25"/>
  <c r="H202" i="25"/>
  <c r="G202" i="25"/>
  <c r="K48" i="25"/>
  <c r="F69" i="87"/>
  <c r="K69" i="87"/>
  <c r="M19" i="102"/>
  <c r="K19" i="102"/>
  <c r="C19" i="102"/>
  <c r="H85" i="102"/>
  <c r="H19" i="102"/>
  <c r="F19" i="102"/>
  <c r="M85" i="102"/>
  <c r="F85" i="102"/>
  <c r="C85" i="102"/>
  <c r="K85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7" i="102" l="1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4" i="43"/>
  <c r="H64" i="43"/>
  <c r="G64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C18" i="99"/>
  <c r="F2" i="99"/>
  <c r="F18" i="99" s="1"/>
  <c r="F58" i="46"/>
  <c r="H58" i="46"/>
  <c r="G58" i="46"/>
  <c r="F15" i="46"/>
  <c r="F87" i="58"/>
  <c r="H87" i="58"/>
  <c r="G87" i="58"/>
  <c r="F19" i="58"/>
  <c r="F43" i="88"/>
  <c r="H43" i="88"/>
  <c r="G43" i="88"/>
  <c r="F10" i="88"/>
  <c r="AA10" i="88" s="1"/>
  <c r="AB10" i="88" s="1"/>
  <c r="K19" i="100"/>
  <c r="C85" i="100"/>
  <c r="H19" i="100"/>
  <c r="C19" i="100"/>
  <c r="C19" i="99"/>
  <c r="H85" i="101"/>
  <c r="F85" i="99"/>
  <c r="F19" i="100"/>
  <c r="H85" i="99"/>
  <c r="F85" i="100"/>
  <c r="H19" i="101"/>
  <c r="H19" i="99"/>
  <c r="F85" i="101"/>
  <c r="M19" i="100"/>
  <c r="C85" i="101"/>
  <c r="C19" i="101"/>
  <c r="K19" i="99"/>
  <c r="M85" i="101"/>
  <c r="M85" i="99"/>
  <c r="F19" i="101"/>
  <c r="M19" i="101"/>
  <c r="K85" i="99"/>
  <c r="K85" i="101"/>
  <c r="M19" i="99"/>
  <c r="K19" i="101"/>
  <c r="H85" i="100"/>
  <c r="K85" i="100"/>
  <c r="M85" i="100"/>
  <c r="C85" i="99"/>
  <c r="F19" i="99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3" i="43"/>
  <c r="G63" i="43"/>
  <c r="H63" i="43"/>
  <c r="F57" i="46"/>
  <c r="G57" i="46"/>
  <c r="H57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55" i="84"/>
  <c r="H55" i="84"/>
  <c r="G55" i="84"/>
  <c r="F201" i="25"/>
  <c r="H201" i="25"/>
  <c r="G201" i="25"/>
  <c r="F57" i="81"/>
  <c r="H57" i="81"/>
  <c r="G57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7" i="51"/>
  <c r="G127" i="51"/>
  <c r="H127" i="51"/>
  <c r="F200" i="25"/>
  <c r="G200" i="25"/>
  <c r="H200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K18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53" i="84"/>
  <c r="H53" i="84"/>
  <c r="G53" i="84"/>
  <c r="F13" i="84"/>
  <c r="F52" i="84"/>
  <c r="H52" i="84"/>
  <c r="G52" i="84"/>
  <c r="K7" i="84"/>
  <c r="F86" i="58" l="1"/>
  <c r="G86" i="58"/>
  <c r="H86" i="58"/>
  <c r="F55" i="81"/>
  <c r="G55" i="81"/>
  <c r="H55" i="81"/>
  <c r="F122" i="51"/>
  <c r="G122" i="51"/>
  <c r="H122" i="51"/>
  <c r="F199" i="25"/>
  <c r="H199" i="25"/>
  <c r="G199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54" i="81"/>
  <c r="H54" i="81"/>
  <c r="G54" i="81"/>
  <c r="F14" i="81"/>
  <c r="H85" i="98"/>
  <c r="F85" i="98"/>
  <c r="K19" i="97"/>
  <c r="M85" i="97"/>
  <c r="M19" i="97"/>
  <c r="H85" i="97"/>
  <c r="K19" i="98"/>
  <c r="C85" i="97"/>
  <c r="K25" i="88"/>
  <c r="M85" i="98"/>
  <c r="C85" i="98"/>
  <c r="F19" i="98"/>
  <c r="F19" i="97"/>
  <c r="M19" i="98"/>
  <c r="K85" i="97"/>
  <c r="H19" i="97"/>
  <c r="H19" i="98"/>
  <c r="K85" i="98"/>
  <c r="F85" i="97"/>
  <c r="C19" i="98"/>
  <c r="C19" i="97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198" i="25"/>
  <c r="H198" i="25"/>
  <c r="G198" i="25"/>
  <c r="F68" i="25"/>
  <c r="F56" i="46" l="1"/>
  <c r="G56" i="46"/>
  <c r="H56" i="46"/>
  <c r="F26" i="74"/>
  <c r="G26" i="74"/>
  <c r="H26" i="74"/>
  <c r="F47" i="70"/>
  <c r="H47" i="70"/>
  <c r="G47" i="70"/>
  <c r="F53" i="77"/>
  <c r="G53" i="77"/>
  <c r="H53" i="77"/>
  <c r="H85" i="58"/>
  <c r="G85" i="58"/>
  <c r="F85" i="58"/>
  <c r="F84" i="58"/>
  <c r="H84" i="58"/>
  <c r="G84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197" i="25"/>
  <c r="G197" i="25"/>
  <c r="H197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96" i="25"/>
  <c r="H196" i="25"/>
  <c r="G196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95" i="25"/>
  <c r="H195" i="25"/>
  <c r="G195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194" i="25"/>
  <c r="H194" i="25"/>
  <c r="G194" i="25"/>
  <c r="K47" i="25"/>
  <c r="F83" i="58"/>
  <c r="H83" i="58"/>
  <c r="G83" i="58"/>
  <c r="K14" i="58"/>
  <c r="F82" i="58"/>
  <c r="H82" i="58"/>
  <c r="G82" i="58"/>
  <c r="K13" i="58"/>
  <c r="H84" i="96"/>
  <c r="F19" i="96"/>
  <c r="H19" i="96"/>
  <c r="C19" i="96"/>
  <c r="K19" i="96"/>
  <c r="M19" i="96"/>
  <c r="F84" i="96"/>
  <c r="C84" i="96"/>
  <c r="K84" i="96"/>
  <c r="M84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93" i="25"/>
  <c r="H193" i="25"/>
  <c r="G193" i="25"/>
  <c r="F65" i="25"/>
  <c r="F26" i="90"/>
  <c r="G26" i="90"/>
  <c r="H26" i="90"/>
  <c r="O587" i="38" l="1"/>
  <c r="Z587" i="38"/>
  <c r="U587" i="38"/>
  <c r="F50" i="77"/>
  <c r="H50" i="77"/>
  <c r="G50" i="77"/>
  <c r="F81" i="58"/>
  <c r="H81" i="58"/>
  <c r="G81" i="58"/>
  <c r="F120" i="51"/>
  <c r="G120" i="51"/>
  <c r="H120" i="51"/>
  <c r="F192" i="25"/>
  <c r="H192" i="25"/>
  <c r="G192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191" i="25"/>
  <c r="H191" i="25"/>
  <c r="G191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55" i="46"/>
  <c r="G55" i="46"/>
  <c r="H55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0" i="58"/>
  <c r="H80" i="58"/>
  <c r="F79" i="58"/>
  <c r="H79" i="58"/>
  <c r="G80" i="58"/>
  <c r="K12" i="58"/>
  <c r="F44" i="57"/>
  <c r="H44" i="57"/>
  <c r="G44" i="57"/>
  <c r="K5" i="57"/>
  <c r="F190" i="25"/>
  <c r="G190" i="25"/>
  <c r="H190" i="25"/>
  <c r="F189" i="25"/>
  <c r="H189" i="25"/>
  <c r="F188" i="25"/>
  <c r="H188" i="25"/>
  <c r="F187" i="25"/>
  <c r="H187" i="25"/>
  <c r="K43" i="25"/>
  <c r="F25" i="47"/>
  <c r="G25" i="47"/>
  <c r="H25" i="47"/>
  <c r="F24" i="47"/>
  <c r="G24" i="47"/>
  <c r="H24" i="47"/>
  <c r="K2" i="47"/>
  <c r="K18" i="47" s="1"/>
  <c r="G189" i="25"/>
  <c r="F61" i="25"/>
  <c r="G49" i="81"/>
  <c r="K4" i="81"/>
  <c r="G188" i="25"/>
  <c r="K42" i="25"/>
  <c r="F6" i="47"/>
  <c r="F5" i="91"/>
  <c r="G48" i="81"/>
  <c r="F11" i="81"/>
  <c r="F8" i="57"/>
  <c r="G187" i="25"/>
  <c r="F2" i="49"/>
  <c r="G79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86" i="25"/>
  <c r="H186" i="25"/>
  <c r="G186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H19" i="95"/>
  <c r="M85" i="95"/>
  <c r="C19" i="95"/>
  <c r="C85" i="95"/>
  <c r="K19" i="95"/>
  <c r="K85" i="95"/>
  <c r="F19" i="95"/>
  <c r="M19" i="95"/>
  <c r="H85" i="95"/>
  <c r="F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18" i="51"/>
  <c r="G118" i="51"/>
  <c r="H118" i="51"/>
  <c r="F29" i="51"/>
  <c r="F19" i="94"/>
  <c r="K19" i="94"/>
  <c r="H19" i="94"/>
  <c r="M19" i="94"/>
  <c r="F85" i="94"/>
  <c r="C85" i="94"/>
  <c r="K85" i="94"/>
  <c r="C19" i="94"/>
  <c r="M85" i="94"/>
  <c r="H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4" i="93"/>
  <c r="K84" i="93"/>
  <c r="H84" i="93"/>
  <c r="F84" i="93"/>
  <c r="C84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25" i="93"/>
  <c r="G25" i="93"/>
  <c r="F25" i="93"/>
  <c r="M18" i="93"/>
  <c r="F2" i="93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M19" i="93"/>
  <c r="K85" i="93"/>
  <c r="H19" i="93"/>
  <c r="F85" i="93"/>
  <c r="M85" i="93"/>
  <c r="F19" i="93"/>
  <c r="H85" i="93"/>
  <c r="C85" i="93"/>
  <c r="F18" i="93" l="1"/>
  <c r="Q8" i="94"/>
  <c r="Q7" i="94" s="1"/>
  <c r="Q3" i="94"/>
  <c r="Q6" i="94" s="1"/>
  <c r="Z578" i="38"/>
  <c r="O578" i="38"/>
  <c r="P578" i="38"/>
  <c r="M66" i="93"/>
  <c r="Q10" i="93" s="1"/>
  <c r="Q2" i="93"/>
  <c r="Q3" i="93" s="1"/>
  <c r="Q6" i="93" s="1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62" i="43"/>
  <c r="H62" i="43"/>
  <c r="G62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F2" i="92"/>
  <c r="F18" i="92" s="1"/>
  <c r="F78" i="58"/>
  <c r="G78" i="58"/>
  <c r="H78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185" i="25"/>
  <c r="H185" i="25"/>
  <c r="G185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H19" i="91"/>
  <c r="M85" i="91"/>
  <c r="C85" i="92"/>
  <c r="F19" i="47"/>
  <c r="M19" i="91"/>
  <c r="H85" i="91"/>
  <c r="K85" i="91"/>
  <c r="C19" i="91"/>
  <c r="H85" i="92"/>
  <c r="H19" i="92"/>
  <c r="C19" i="92"/>
  <c r="M19" i="92"/>
  <c r="F19" i="92"/>
  <c r="C85" i="91"/>
  <c r="F19" i="91"/>
  <c r="K19" i="91"/>
  <c r="K85" i="92"/>
  <c r="M85" i="92"/>
  <c r="K19" i="92"/>
  <c r="F85" i="92"/>
  <c r="F85" i="91"/>
  <c r="F18" i="47" l="1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77" i="58"/>
  <c r="H77" i="58"/>
  <c r="G77" i="58"/>
  <c r="F16" i="58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84" i="25"/>
  <c r="H184" i="25"/>
  <c r="G184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83" i="25"/>
  <c r="G183" i="25"/>
  <c r="H183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6" i="58"/>
  <c r="H76" i="58"/>
  <c r="G76" i="58"/>
  <c r="K11" i="58"/>
  <c r="F42" i="70"/>
  <c r="H42" i="70"/>
  <c r="G42" i="70"/>
  <c r="K7" i="70"/>
  <c r="F54" i="46"/>
  <c r="H54" i="46"/>
  <c r="G54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53" i="46"/>
  <c r="H53" i="46"/>
  <c r="G53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52" i="46"/>
  <c r="H52" i="46"/>
  <c r="G52" i="46"/>
  <c r="F14" i="46"/>
  <c r="F182" i="25"/>
  <c r="G182" i="25"/>
  <c r="H182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81" i="25"/>
  <c r="H181" i="25"/>
  <c r="G181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75" i="58"/>
  <c r="H75" i="58"/>
  <c r="G75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74" i="58"/>
  <c r="H74" i="58"/>
  <c r="G74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80" i="25"/>
  <c r="H180" i="25"/>
  <c r="G180" i="25"/>
  <c r="K40" i="25"/>
  <c r="F179" i="25"/>
  <c r="H179" i="25"/>
  <c r="G179" i="25"/>
  <c r="K39" i="25"/>
  <c r="F53" i="25"/>
  <c r="Z565" i="38" l="1"/>
  <c r="O565" i="38"/>
  <c r="U565" i="38"/>
  <c r="P565" i="38"/>
  <c r="Q11" i="89"/>
  <c r="F178" i="25"/>
  <c r="H178" i="25"/>
  <c r="G178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77" i="25"/>
  <c r="H177" i="25"/>
  <c r="G177" i="25"/>
  <c r="F51" i="25"/>
  <c r="F73" i="58"/>
  <c r="H73" i="58"/>
  <c r="G73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2" i="58"/>
  <c r="G72" i="58"/>
  <c r="H72" i="58"/>
  <c r="AC25" i="31" l="1"/>
  <c r="F176" i="25"/>
  <c r="H176" i="25"/>
  <c r="G176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75" i="25"/>
  <c r="H175" i="25"/>
  <c r="G175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1" i="58"/>
  <c r="H71" i="58"/>
  <c r="G71" i="58"/>
  <c r="F51" i="46"/>
  <c r="G51" i="46"/>
  <c r="H51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74" i="25"/>
  <c r="G174" i="25"/>
  <c r="H174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08" i="51"/>
  <c r="G108" i="51"/>
  <c r="H108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73" i="25"/>
  <c r="G173" i="25"/>
  <c r="H173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K18" i="90"/>
  <c r="F2" i="90"/>
  <c r="F18" i="90" s="1"/>
  <c r="F107" i="51"/>
  <c r="G107" i="51"/>
  <c r="H107" i="51"/>
  <c r="K14" i="51"/>
  <c r="C85" i="90"/>
  <c r="M85" i="90"/>
  <c r="F85" i="90"/>
  <c r="K85" i="90"/>
  <c r="H85" i="90"/>
  <c r="H19" i="90"/>
  <c r="M19" i="90"/>
  <c r="F19" i="90"/>
  <c r="C19" i="90"/>
  <c r="K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72" i="25"/>
  <c r="H172" i="25"/>
  <c r="G172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0" i="46"/>
  <c r="G50" i="46"/>
  <c r="H50" i="46"/>
  <c r="F104" i="51"/>
  <c r="G104" i="51"/>
  <c r="H104" i="51"/>
  <c r="F171" i="25"/>
  <c r="G171" i="25"/>
  <c r="H171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70" i="25"/>
  <c r="H170" i="25"/>
  <c r="G170" i="25"/>
  <c r="K34" i="25"/>
  <c r="R11" i="58"/>
  <c r="Q11" i="58" s="1"/>
  <c r="F70" i="58"/>
  <c r="H70" i="58"/>
  <c r="G70" i="58"/>
  <c r="K9" i="58"/>
  <c r="F103" i="51"/>
  <c r="G103" i="51"/>
  <c r="H103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H85" i="89"/>
  <c r="M85" i="89"/>
  <c r="K19" i="89"/>
  <c r="H19" i="89"/>
  <c r="H58" i="51"/>
  <c r="C85" i="89"/>
  <c r="K85" i="89"/>
  <c r="C19" i="89"/>
  <c r="F19" i="89"/>
  <c r="M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96" i="88"/>
  <c r="K96" i="88"/>
  <c r="H96" i="88"/>
  <c r="F96" i="88"/>
  <c r="C96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M19" i="87"/>
  <c r="C19" i="87"/>
  <c r="K19" i="87"/>
  <c r="F19" i="87"/>
  <c r="F25" i="88"/>
  <c r="H85" i="87"/>
  <c r="K97" i="88"/>
  <c r="M85" i="87"/>
  <c r="K85" i="87"/>
  <c r="M97" i="88"/>
  <c r="C85" i="87"/>
  <c r="H97" i="88"/>
  <c r="F85" i="87"/>
  <c r="F97" i="88"/>
  <c r="C97" i="88"/>
  <c r="M25" i="88"/>
  <c r="H19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78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49" i="46"/>
  <c r="H49" i="46"/>
  <c r="G49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69" i="25"/>
  <c r="G169" i="25"/>
  <c r="H169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M19" i="86"/>
  <c r="C19" i="86"/>
  <c r="H85" i="86"/>
  <c r="M85" i="86"/>
  <c r="H19" i="86"/>
  <c r="F85" i="86"/>
  <c r="C85" i="86"/>
  <c r="K85" i="86"/>
  <c r="F19" i="86"/>
  <c r="AA2" i="86" l="1"/>
  <c r="AB2" i="86" s="1"/>
  <c r="Q2" i="86"/>
  <c r="M66" i="86"/>
  <c r="Q10" i="86" s="1"/>
  <c r="AM2" i="86" s="1"/>
  <c r="F37" i="70"/>
  <c r="H37" i="70"/>
  <c r="G37" i="70"/>
  <c r="F11" i="70"/>
  <c r="G60" i="43"/>
  <c r="G61" i="43"/>
  <c r="F61" i="43"/>
  <c r="H61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M25" i="43"/>
  <c r="H25" i="43"/>
  <c r="C25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48" i="46"/>
  <c r="H48" i="46"/>
  <c r="G48" i="46"/>
  <c r="K5" i="46"/>
  <c r="F69" i="58"/>
  <c r="H69" i="58"/>
  <c r="G69" i="58"/>
  <c r="F10" i="58"/>
  <c r="K8" i="58"/>
  <c r="F168" i="25"/>
  <c r="H168" i="25"/>
  <c r="G168" i="25"/>
  <c r="K33" i="25"/>
  <c r="F44" i="84"/>
  <c r="H44" i="84"/>
  <c r="G44" i="84"/>
  <c r="K5" i="84"/>
  <c r="F167" i="25"/>
  <c r="G167" i="25"/>
  <c r="H167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66" i="25"/>
  <c r="H166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47" i="46"/>
  <c r="H47" i="46"/>
  <c r="G47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66" i="25"/>
  <c r="K30" i="25"/>
  <c r="Z548" i="38" l="1"/>
  <c r="P548" i="38"/>
  <c r="O548" i="38"/>
  <c r="U548" i="38"/>
  <c r="F165" i="25"/>
  <c r="G165" i="25"/>
  <c r="H165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64" i="25"/>
  <c r="H164" i="25"/>
  <c r="G164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63" i="25"/>
  <c r="H163" i="25"/>
  <c r="G163" i="25"/>
  <c r="K27" i="25"/>
  <c r="H46" i="46"/>
  <c r="F46" i="46"/>
  <c r="G46" i="46"/>
  <c r="F60" i="43"/>
  <c r="H60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8" i="58"/>
  <c r="G68" i="58"/>
  <c r="H68" i="58"/>
  <c r="F162" i="25"/>
  <c r="H162" i="25"/>
  <c r="G162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45" i="46"/>
  <c r="F45" i="46"/>
  <c r="G45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61" i="25"/>
  <c r="H161" i="25"/>
  <c r="G161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60" i="25"/>
  <c r="H160" i="25"/>
  <c r="G160" i="25"/>
  <c r="F159" i="25"/>
  <c r="H159" i="25"/>
  <c r="G159" i="25"/>
  <c r="G59" i="43"/>
  <c r="F59" i="43"/>
  <c r="H59" i="43"/>
  <c r="K8" i="43"/>
  <c r="F50" i="25"/>
  <c r="F27" i="45"/>
  <c r="G27" i="45"/>
  <c r="H27" i="45"/>
  <c r="F36" i="57"/>
  <c r="H36" i="57"/>
  <c r="G36" i="57"/>
  <c r="K4" i="57"/>
  <c r="K19" i="45"/>
  <c r="K19" i="82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67" i="58"/>
  <c r="H67" i="58"/>
  <c r="G67" i="58"/>
  <c r="K7" i="58"/>
  <c r="F43" i="77"/>
  <c r="H43" i="77"/>
  <c r="G43" i="77"/>
  <c r="K4" i="77"/>
  <c r="F58" i="43"/>
  <c r="H58" i="43"/>
  <c r="G58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44" i="46"/>
  <c r="H44" i="46"/>
  <c r="G44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58" i="25"/>
  <c r="H158" i="25"/>
  <c r="G158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57" i="25"/>
  <c r="H157" i="25"/>
  <c r="G157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43" i="46"/>
  <c r="H43" i="46"/>
  <c r="G43" i="46"/>
  <c r="F12" i="46"/>
  <c r="F40" i="84"/>
  <c r="H40" i="84"/>
  <c r="G40" i="84"/>
  <c r="K3" i="84"/>
  <c r="O523" i="38" l="1"/>
  <c r="Z523" i="38"/>
  <c r="N522" i="38"/>
  <c r="P522" i="38"/>
  <c r="F93" i="51"/>
  <c r="G93" i="51"/>
  <c r="H93" i="51"/>
  <c r="F66" i="58"/>
  <c r="G66" i="58"/>
  <c r="H66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2" i="46"/>
  <c r="H42" i="46"/>
  <c r="G42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1" i="46"/>
  <c r="H41" i="46"/>
  <c r="G41" i="46"/>
  <c r="K2" i="46"/>
  <c r="F156" i="25"/>
  <c r="H156" i="25"/>
  <c r="G156" i="25"/>
  <c r="F46" i="25"/>
  <c r="F57" i="43"/>
  <c r="H57" i="43"/>
  <c r="G57" i="43"/>
  <c r="M24" i="43"/>
  <c r="H24" i="43"/>
  <c r="K6" i="43"/>
  <c r="C21" i="40"/>
  <c r="K32" i="46"/>
  <c r="M32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55" i="25"/>
  <c r="H155" i="25"/>
  <c r="G155" i="25"/>
  <c r="K24" i="25"/>
  <c r="F40" i="77"/>
  <c r="H40" i="77"/>
  <c r="G40" i="77"/>
  <c r="F9" i="77"/>
  <c r="F40" i="46"/>
  <c r="H40" i="46"/>
  <c r="G40" i="46"/>
  <c r="F9" i="46"/>
  <c r="F8" i="46"/>
  <c r="F56" i="43"/>
  <c r="H56" i="43"/>
  <c r="G56" i="43"/>
  <c r="F12" i="43"/>
  <c r="F32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39" i="46"/>
  <c r="H39" i="46"/>
  <c r="G39" i="46"/>
  <c r="F154" i="25"/>
  <c r="H154" i="25"/>
  <c r="G154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53" i="25"/>
  <c r="H153" i="25"/>
  <c r="G153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65" i="58"/>
  <c r="G65" i="58"/>
  <c r="H65" i="58"/>
  <c r="F92" i="51"/>
  <c r="G92" i="51"/>
  <c r="H92" i="51"/>
  <c r="F152" i="25"/>
  <c r="G152" i="25"/>
  <c r="H152" i="25"/>
  <c r="O508" i="38" l="1"/>
  <c r="Z508" i="38"/>
  <c r="P507" i="38"/>
  <c r="N507" i="38"/>
  <c r="F151" i="25"/>
  <c r="G151" i="25"/>
  <c r="H151" i="25"/>
  <c r="F55" i="43"/>
  <c r="H55" i="43"/>
  <c r="G55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38" i="46"/>
  <c r="G38" i="46"/>
  <c r="H38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4" i="43"/>
  <c r="G54" i="43"/>
  <c r="H54" i="43"/>
  <c r="F64" i="58"/>
  <c r="H64" i="58"/>
  <c r="G64" i="58"/>
  <c r="F91" i="51"/>
  <c r="G91" i="51"/>
  <c r="H91" i="51"/>
  <c r="F150" i="25"/>
  <c r="G150" i="25"/>
  <c r="H150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3" i="43"/>
  <c r="H53" i="43"/>
  <c r="G53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88" i="45"/>
  <c r="K87" i="45"/>
  <c r="F87" i="45"/>
  <c r="K86" i="45"/>
  <c r="F86" i="45"/>
  <c r="K85" i="45"/>
  <c r="F85" i="45"/>
  <c r="K84" i="45"/>
  <c r="F84" i="45"/>
  <c r="K83" i="45"/>
  <c r="F83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49" i="25"/>
  <c r="H149" i="25"/>
  <c r="G149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2" i="43"/>
  <c r="H52" i="43"/>
  <c r="G52" i="43"/>
  <c r="F63" i="58"/>
  <c r="H63" i="58"/>
  <c r="G63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48" i="25"/>
  <c r="H148" i="25"/>
  <c r="G148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47" i="25"/>
  <c r="H147" i="25"/>
  <c r="G147" i="25"/>
  <c r="K20" i="25"/>
  <c r="H112" i="81"/>
  <c r="G112" i="81"/>
  <c r="F112" i="81"/>
  <c r="H111" i="81"/>
  <c r="G111" i="81"/>
  <c r="F111" i="81"/>
  <c r="K90" i="81"/>
  <c r="F90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46" i="25"/>
  <c r="H146" i="25"/>
  <c r="G146" i="25"/>
  <c r="K19" i="25"/>
  <c r="M97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45" i="25"/>
  <c r="H145" i="25"/>
  <c r="G145" i="25"/>
  <c r="K18" i="25"/>
  <c r="F144" i="25"/>
  <c r="H144" i="25"/>
  <c r="G144" i="25"/>
  <c r="K17" i="25"/>
  <c r="P486" i="38" l="1"/>
  <c r="N486" i="38"/>
  <c r="F143" i="25"/>
  <c r="G143" i="25"/>
  <c r="H143" i="25"/>
  <c r="F37" i="46"/>
  <c r="G37" i="46"/>
  <c r="H37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M19" i="85"/>
  <c r="K19" i="85"/>
  <c r="H19" i="85"/>
  <c r="K85" i="85"/>
  <c r="F85" i="85"/>
  <c r="C85" i="85"/>
  <c r="H85" i="85"/>
  <c r="C19" i="85"/>
  <c r="F19" i="85"/>
  <c r="M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6" i="84"/>
  <c r="K106" i="84"/>
  <c r="H106" i="84"/>
  <c r="F106" i="84"/>
  <c r="C106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H107" i="84"/>
  <c r="C85" i="83"/>
  <c r="K19" i="83"/>
  <c r="M107" i="84"/>
  <c r="C19" i="83"/>
  <c r="F25" i="84"/>
  <c r="F19" i="83"/>
  <c r="H19" i="83"/>
  <c r="M19" i="83"/>
  <c r="M25" i="84"/>
  <c r="K107" i="84"/>
  <c r="M85" i="83"/>
  <c r="K85" i="83"/>
  <c r="C25" i="84"/>
  <c r="C107" i="84"/>
  <c r="H25" i="84"/>
  <c r="F85" i="83"/>
  <c r="F107" i="84"/>
  <c r="H85" i="83"/>
  <c r="O484" i="38" l="1"/>
  <c r="Z484" i="38"/>
  <c r="Q5" i="85"/>
  <c r="Q3" i="85"/>
  <c r="Q6" i="85" s="1"/>
  <c r="Q7" i="85"/>
  <c r="M88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2" i="58"/>
  <c r="G62" i="58"/>
  <c r="H62" i="58"/>
  <c r="F88" i="51"/>
  <c r="G88" i="51"/>
  <c r="H88" i="51"/>
  <c r="K42" i="54"/>
  <c r="F42" i="54"/>
  <c r="H100" i="54"/>
  <c r="G100" i="54"/>
  <c r="F100" i="54"/>
  <c r="H99" i="54"/>
  <c r="G99" i="54"/>
  <c r="F99" i="54"/>
  <c r="F142" i="25"/>
  <c r="G142" i="25"/>
  <c r="H142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C19" i="82"/>
  <c r="F60" i="82"/>
  <c r="M60" i="82"/>
  <c r="C60" i="82"/>
  <c r="F19" i="82"/>
  <c r="K60" i="82"/>
  <c r="H60" i="82"/>
  <c r="C18" i="74"/>
  <c r="M19" i="82"/>
  <c r="H19" i="82"/>
  <c r="H18" i="74"/>
  <c r="M18" i="74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36" i="46"/>
  <c r="G36" i="46"/>
  <c r="H36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41" i="25"/>
  <c r="G141" i="25"/>
  <c r="H141" i="25"/>
  <c r="K15" i="25"/>
  <c r="F29" i="78"/>
  <c r="H29" i="78"/>
  <c r="G29" i="78"/>
  <c r="F29" i="70"/>
  <c r="H29" i="70"/>
  <c r="G29" i="70"/>
  <c r="K5" i="51"/>
  <c r="F6" i="70"/>
  <c r="F140" i="25"/>
  <c r="H140" i="25"/>
  <c r="G140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20" i="46"/>
  <c r="G120" i="46"/>
  <c r="F120" i="46"/>
  <c r="H119" i="46"/>
  <c r="G119" i="46"/>
  <c r="F119" i="46"/>
  <c r="H118" i="46"/>
  <c r="G118" i="46"/>
  <c r="F118" i="46"/>
  <c r="H117" i="46"/>
  <c r="G117" i="46"/>
  <c r="F117" i="46"/>
  <c r="H116" i="46"/>
  <c r="G116" i="46"/>
  <c r="F116" i="46"/>
  <c r="H115" i="46"/>
  <c r="G115" i="46"/>
  <c r="F115" i="46"/>
  <c r="H114" i="46"/>
  <c r="G114" i="46"/>
  <c r="F114" i="46"/>
  <c r="H113" i="46"/>
  <c r="G113" i="46"/>
  <c r="F113" i="46"/>
  <c r="H112" i="46"/>
  <c r="G112" i="46"/>
  <c r="F112" i="46"/>
  <c r="H111" i="46"/>
  <c r="G111" i="46"/>
  <c r="F111" i="46"/>
  <c r="H110" i="46"/>
  <c r="G110" i="46"/>
  <c r="F110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1" i="58"/>
  <c r="G61" i="58"/>
  <c r="H61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39" i="25"/>
  <c r="H139" i="25"/>
  <c r="G139" i="25"/>
  <c r="K14" i="25"/>
  <c r="H96" i="31"/>
  <c r="H78" i="75"/>
  <c r="C96" i="31"/>
  <c r="F78" i="75"/>
  <c r="M96" i="31"/>
  <c r="M78" i="75"/>
  <c r="F96" i="31"/>
  <c r="K78" i="75"/>
  <c r="K96" i="31"/>
  <c r="C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0" i="58"/>
  <c r="G60" i="58"/>
  <c r="H60" i="58"/>
  <c r="F14" i="58"/>
  <c r="H18" i="64"/>
  <c r="F36" i="64"/>
  <c r="G36" i="64"/>
  <c r="H36" i="64"/>
  <c r="K19" i="64"/>
  <c r="H85" i="64"/>
  <c r="M19" i="64"/>
  <c r="K85" i="64"/>
  <c r="M85" i="64"/>
  <c r="H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1" i="43"/>
  <c r="H51" i="43"/>
  <c r="G51" i="43"/>
  <c r="K3" i="43"/>
  <c r="F138" i="25"/>
  <c r="H138" i="25"/>
  <c r="G138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6" i="81"/>
  <c r="K106" i="81"/>
  <c r="H106" i="81"/>
  <c r="F106" i="81"/>
  <c r="C106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F30" i="81"/>
  <c r="H107" i="81"/>
  <c r="M107" i="81"/>
  <c r="K107" i="81"/>
  <c r="M30" i="81"/>
  <c r="C107" i="81"/>
  <c r="H30" i="81"/>
  <c r="F107" i="81"/>
  <c r="O468" i="38" l="1"/>
  <c r="Z468" i="38"/>
  <c r="M88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37" i="25"/>
  <c r="H137" i="25"/>
  <c r="G137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M85" i="80"/>
  <c r="F85" i="80"/>
  <c r="C85" i="80"/>
  <c r="H85" i="80"/>
  <c r="C19" i="80"/>
  <c r="H19" i="80"/>
  <c r="K19" i="80"/>
  <c r="F19" i="80"/>
  <c r="M19" i="80"/>
  <c r="K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C19" i="79"/>
  <c r="K65" i="79"/>
  <c r="H65" i="79"/>
  <c r="F65" i="79"/>
  <c r="H19" i="79"/>
  <c r="K19" i="79"/>
  <c r="C65" i="79"/>
  <c r="F19" i="79"/>
  <c r="M65" i="79"/>
  <c r="M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36" i="25"/>
  <c r="G136" i="25"/>
  <c r="H136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35" i="25"/>
  <c r="H135" i="25"/>
  <c r="G135" i="25"/>
  <c r="F39" i="25"/>
  <c r="K12" i="25"/>
  <c r="H13" i="40"/>
  <c r="H29" i="40" s="1"/>
  <c r="O458" i="38" l="1"/>
  <c r="Z458" i="38"/>
  <c r="P457" i="38"/>
  <c r="N457" i="38"/>
  <c r="F50" i="43"/>
  <c r="G50" i="43"/>
  <c r="H50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9" i="58"/>
  <c r="H59" i="58"/>
  <c r="G59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34" i="25"/>
  <c r="G134" i="25"/>
  <c r="H134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33" i="25"/>
  <c r="H133" i="25"/>
  <c r="G133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8" i="58"/>
  <c r="H58" i="58"/>
  <c r="G58" i="58"/>
  <c r="F11" i="58"/>
  <c r="D451" i="38" l="1"/>
  <c r="E451" i="38"/>
  <c r="G451" i="38"/>
  <c r="H451" i="38"/>
  <c r="K451" i="38"/>
  <c r="L451" i="38" s="1"/>
  <c r="M451" i="38"/>
  <c r="N451" i="38" s="1"/>
  <c r="S451" i="38"/>
  <c r="F57" i="58"/>
  <c r="H57" i="58"/>
  <c r="G57" i="58"/>
  <c r="F56" i="58"/>
  <c r="H56" i="58"/>
  <c r="G56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9" i="43"/>
  <c r="G49" i="43"/>
  <c r="H49" i="43"/>
  <c r="F132" i="25"/>
  <c r="G132" i="25"/>
  <c r="H132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5" i="58"/>
  <c r="H55" i="58"/>
  <c r="G55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85" i="78"/>
  <c r="H19" i="78"/>
  <c r="K85" i="78"/>
  <c r="F19" i="78"/>
  <c r="M85" i="78"/>
  <c r="C19" i="78"/>
  <c r="C85" i="78"/>
  <c r="K19" i="78"/>
  <c r="F85" i="78"/>
  <c r="M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4" i="58"/>
  <c r="G54" i="58"/>
  <c r="H54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3" i="58"/>
  <c r="H53" i="58"/>
  <c r="G53" i="58"/>
  <c r="F48" i="43"/>
  <c r="H48" i="43"/>
  <c r="G48" i="43"/>
  <c r="F8" i="43"/>
  <c r="K2" i="43"/>
  <c r="F8" i="58"/>
  <c r="K25" i="43"/>
  <c r="Z442" i="38" l="1"/>
  <c r="O442" i="38"/>
  <c r="O443" i="38"/>
  <c r="Z443" i="38"/>
  <c r="K24" i="43"/>
  <c r="P442" i="38"/>
  <c r="U442" i="38"/>
  <c r="M96" i="25"/>
  <c r="F131" i="25"/>
  <c r="H131" i="25"/>
  <c r="G131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2" i="58"/>
  <c r="H52" i="58"/>
  <c r="G52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F89" i="77"/>
  <c r="H89" i="77"/>
  <c r="F19" i="77"/>
  <c r="M19" i="77"/>
  <c r="C89" i="77"/>
  <c r="H19" i="77"/>
  <c r="M89" i="77"/>
  <c r="C19" i="77"/>
  <c r="K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30" i="25"/>
  <c r="H130" i="25"/>
  <c r="G130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29" i="25"/>
  <c r="H129" i="25"/>
  <c r="G129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28" i="25"/>
  <c r="H128" i="25"/>
  <c r="G128" i="25"/>
  <c r="F33" i="25"/>
  <c r="F266" i="7"/>
  <c r="H266" i="7"/>
  <c r="G266" i="7"/>
  <c r="K102" i="7"/>
  <c r="G23" i="50"/>
  <c r="K23" i="50" s="1"/>
  <c r="F23" i="50"/>
  <c r="M18" i="50"/>
  <c r="C18" i="50"/>
  <c r="F18" i="50"/>
  <c r="F127" i="25"/>
  <c r="H127" i="25"/>
  <c r="G127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26" i="25"/>
  <c r="H126" i="25"/>
  <c r="G126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1" i="58"/>
  <c r="H51" i="58"/>
  <c r="G51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25" i="25"/>
  <c r="H125" i="25"/>
  <c r="G125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7" i="43"/>
  <c r="H47" i="43"/>
  <c r="G47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24" i="25"/>
  <c r="H124" i="25"/>
  <c r="G124" i="25"/>
  <c r="K8" i="25"/>
  <c r="P416" i="38" l="1"/>
  <c r="N416" i="38"/>
  <c r="F46" i="43"/>
  <c r="H46" i="43"/>
  <c r="G46" i="43"/>
  <c r="F50" i="58"/>
  <c r="H50" i="58"/>
  <c r="G50" i="58"/>
  <c r="F77" i="40"/>
  <c r="G77" i="40"/>
  <c r="H77" i="40"/>
  <c r="F78" i="51"/>
  <c r="G78" i="51"/>
  <c r="H78" i="51"/>
  <c r="F261" i="7"/>
  <c r="H261" i="7"/>
  <c r="G261" i="7"/>
  <c r="F123" i="25"/>
  <c r="H123" i="25"/>
  <c r="G123" i="25"/>
  <c r="O416" i="38" l="1"/>
  <c r="Z416" i="38"/>
  <c r="E415" i="38"/>
  <c r="H415" i="38"/>
  <c r="K415" i="38"/>
  <c r="L415" i="38" s="1"/>
  <c r="P415" i="38" s="1"/>
  <c r="M415" i="38"/>
  <c r="U415" i="38" s="1"/>
  <c r="S415" i="38"/>
  <c r="F122" i="25"/>
  <c r="H122" i="25"/>
  <c r="G122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9" i="58"/>
  <c r="H49" i="58"/>
  <c r="G49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5" i="43"/>
  <c r="H45" i="43"/>
  <c r="G45" i="43"/>
  <c r="F48" i="58"/>
  <c r="H48" i="58"/>
  <c r="G48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21" i="25"/>
  <c r="H121" i="25"/>
  <c r="G121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F77" i="69"/>
  <c r="K77" i="69"/>
  <c r="M77" i="69"/>
  <c r="C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4" i="43"/>
  <c r="H44" i="43"/>
  <c r="G44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20" i="25"/>
  <c r="H120" i="25"/>
  <c r="G120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C19" i="76"/>
  <c r="K19" i="76"/>
  <c r="H19" i="76"/>
  <c r="M19" i="76"/>
  <c r="F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19" i="25"/>
  <c r="H119" i="25"/>
  <c r="G119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7" i="58"/>
  <c r="H47" i="58"/>
  <c r="G47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3" i="43"/>
  <c r="H43" i="43"/>
  <c r="G43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18" i="25"/>
  <c r="G118" i="25"/>
  <c r="H118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17" i="25"/>
  <c r="H117" i="25"/>
  <c r="G117" i="25"/>
  <c r="K6" i="25"/>
  <c r="O390" i="38" l="1"/>
  <c r="Z390" i="38"/>
  <c r="N389" i="38"/>
  <c r="P389" i="38"/>
  <c r="F116" i="25"/>
  <c r="G116" i="25"/>
  <c r="H116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15" i="25"/>
  <c r="G115" i="25"/>
  <c r="H115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14" i="25"/>
  <c r="G114" i="25"/>
  <c r="H114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13" i="25"/>
  <c r="G113" i="25"/>
  <c r="H113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6" i="58"/>
  <c r="G46" i="58"/>
  <c r="H46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1" i="45"/>
  <c r="F81" i="45"/>
  <c r="F425" i="17"/>
  <c r="K424" i="17"/>
  <c r="F424" i="17"/>
  <c r="K423" i="17"/>
  <c r="F423" i="17"/>
  <c r="K422" i="17"/>
  <c r="F422" i="17"/>
  <c r="K421" i="17"/>
  <c r="F421" i="17"/>
  <c r="K420" i="17"/>
  <c r="F420" i="17"/>
  <c r="F112" i="25"/>
  <c r="G112" i="25"/>
  <c r="H112" i="25"/>
  <c r="F45" i="58"/>
  <c r="G45" i="58"/>
  <c r="H45" i="58"/>
  <c r="F76" i="51"/>
  <c r="G76" i="51"/>
  <c r="H76" i="51"/>
  <c r="F42" i="43"/>
  <c r="G42" i="43"/>
  <c r="H42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34" i="58" l="1"/>
  <c r="O379" i="38"/>
  <c r="O380" i="38"/>
  <c r="Z379" i="38"/>
  <c r="Z380" i="38"/>
  <c r="Q2" i="40"/>
  <c r="P379" i="38"/>
  <c r="U379" i="38"/>
  <c r="F44" i="58"/>
  <c r="G44" i="58"/>
  <c r="H44" i="58"/>
  <c r="F70" i="40"/>
  <c r="G70" i="40"/>
  <c r="H70" i="40"/>
  <c r="F15" i="40"/>
  <c r="F75" i="51"/>
  <c r="G75" i="51"/>
  <c r="H75" i="51"/>
  <c r="F249" i="7"/>
  <c r="G249" i="7"/>
  <c r="H249" i="7"/>
  <c r="F111" i="25"/>
  <c r="G111" i="25"/>
  <c r="H111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10" i="25"/>
  <c r="G110" i="25"/>
  <c r="H110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09" i="25"/>
  <c r="G109" i="25"/>
  <c r="H109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08" i="25"/>
  <c r="G108" i="25"/>
  <c r="H108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07" i="25"/>
  <c r="H107" i="25"/>
  <c r="G107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06" i="25"/>
  <c r="G106" i="25"/>
  <c r="H106" i="25"/>
  <c r="E372" i="38"/>
  <c r="H372" i="38"/>
  <c r="K372" i="38"/>
  <c r="L372" i="38" s="1"/>
  <c r="M372" i="38"/>
  <c r="U372" i="38" s="1"/>
  <c r="S372" i="38"/>
  <c r="N372" i="38" l="1"/>
  <c r="P372" i="38"/>
  <c r="F105" i="25"/>
  <c r="G105" i="25"/>
  <c r="H105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04" i="25"/>
  <c r="G104" i="25"/>
  <c r="H104" i="25"/>
  <c r="F21" i="25"/>
  <c r="F73" i="51"/>
  <c r="G73" i="51"/>
  <c r="H73" i="51"/>
  <c r="F11" i="51"/>
  <c r="F10" i="51"/>
  <c r="F9" i="51"/>
  <c r="C93" i="68"/>
  <c r="M93" i="68"/>
  <c r="F93" i="68"/>
  <c r="K93" i="68"/>
  <c r="H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03" i="25"/>
  <c r="G103" i="25"/>
  <c r="H103" i="25"/>
  <c r="K2" i="25"/>
  <c r="K96" i="25" s="1"/>
  <c r="K97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02" i="25"/>
  <c r="G102" i="25"/>
  <c r="H102" i="25"/>
  <c r="F20" i="25"/>
  <c r="F71" i="51"/>
  <c r="G71" i="51"/>
  <c r="H71" i="51"/>
  <c r="F7" i="51"/>
  <c r="P364" i="38" l="1"/>
  <c r="N364" i="38"/>
  <c r="H101" i="25"/>
  <c r="G101" i="25"/>
  <c r="F101" i="25"/>
  <c r="M789" i="25"/>
  <c r="H789" i="25"/>
  <c r="C789" i="25"/>
  <c r="F765" i="25"/>
  <c r="F764" i="25"/>
  <c r="F763" i="25"/>
  <c r="F762" i="25"/>
  <c r="F761" i="25"/>
  <c r="F760" i="25"/>
  <c r="F759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F671" i="25"/>
  <c r="F670" i="25"/>
  <c r="F669" i="25"/>
  <c r="K668" i="25"/>
  <c r="F668" i="25"/>
  <c r="F667" i="25"/>
  <c r="F666" i="25"/>
  <c r="F665" i="25"/>
  <c r="F664" i="25"/>
  <c r="F663" i="25"/>
  <c r="F662" i="25"/>
  <c r="F661" i="25"/>
  <c r="F660" i="25"/>
  <c r="F659" i="25"/>
  <c r="F658" i="25"/>
  <c r="F657" i="25"/>
  <c r="F656" i="25"/>
  <c r="F655" i="25"/>
  <c r="F654" i="25"/>
  <c r="F653" i="25"/>
  <c r="F652" i="25"/>
  <c r="F651" i="25"/>
  <c r="F650" i="25"/>
  <c r="F649" i="25"/>
  <c r="F648" i="25"/>
  <c r="F647" i="25"/>
  <c r="F646" i="25"/>
  <c r="F645" i="25"/>
  <c r="F644" i="25"/>
  <c r="F643" i="25"/>
  <c r="F642" i="25"/>
  <c r="F641" i="25"/>
  <c r="F640" i="25"/>
  <c r="F639" i="25"/>
  <c r="F638" i="25"/>
  <c r="F637" i="25"/>
  <c r="F636" i="25"/>
  <c r="F635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79" i="45"/>
  <c r="F79" i="45"/>
  <c r="K78" i="45"/>
  <c r="F78" i="45"/>
  <c r="K77" i="45"/>
  <c r="F77" i="45"/>
  <c r="F43" i="58"/>
  <c r="G43" i="58"/>
  <c r="H43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790" i="25"/>
  <c r="H790" i="25"/>
  <c r="K790" i="25"/>
  <c r="M790" i="25"/>
  <c r="C790" i="25"/>
  <c r="O364" i="38" l="1"/>
  <c r="Z364" i="38"/>
  <c r="N363" i="38"/>
  <c r="F789" i="25"/>
  <c r="K789" i="25"/>
  <c r="P363" i="38"/>
  <c r="O363" i="38" l="1"/>
  <c r="Z363" i="38"/>
  <c r="M526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90" i="43"/>
  <c r="H90" i="43"/>
  <c r="C90" i="43"/>
  <c r="P24" i="43"/>
  <c r="P23" i="43"/>
  <c r="P22" i="43"/>
  <c r="P21" i="43"/>
  <c r="P20" i="43"/>
  <c r="P19" i="43"/>
  <c r="P18" i="43"/>
  <c r="K83" i="43"/>
  <c r="K90" i="43" s="1"/>
  <c r="F83" i="43"/>
  <c r="F90" i="43" s="1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C24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06" i="46"/>
  <c r="H106" i="46"/>
  <c r="C106" i="46"/>
  <c r="P25" i="46"/>
  <c r="P24" i="46"/>
  <c r="P23" i="46"/>
  <c r="P22" i="46"/>
  <c r="P21" i="46"/>
  <c r="P20" i="46"/>
  <c r="P19" i="46"/>
  <c r="K96" i="46"/>
  <c r="K95" i="46"/>
  <c r="F95" i="46"/>
  <c r="K94" i="46"/>
  <c r="F94" i="46"/>
  <c r="H35" i="46"/>
  <c r="G35" i="46"/>
  <c r="F35" i="46"/>
  <c r="K31" i="46"/>
  <c r="H31" i="46"/>
  <c r="F31" i="46"/>
  <c r="C31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3" i="45"/>
  <c r="H103" i="45"/>
  <c r="C103" i="45"/>
  <c r="K75" i="45"/>
  <c r="F75" i="45"/>
  <c r="K74" i="45"/>
  <c r="F74" i="45"/>
  <c r="K73" i="45"/>
  <c r="F73" i="45"/>
  <c r="F72" i="45"/>
  <c r="K71" i="45"/>
  <c r="F71" i="45"/>
  <c r="K70" i="45"/>
  <c r="F70" i="45"/>
  <c r="K69" i="45"/>
  <c r="F69" i="45"/>
  <c r="K68" i="45"/>
  <c r="F68" i="45"/>
  <c r="K67" i="45"/>
  <c r="F67" i="45"/>
  <c r="K66" i="45"/>
  <c r="F66" i="45"/>
  <c r="K65" i="45"/>
  <c r="F65" i="45"/>
  <c r="F64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83" i="58"/>
  <c r="H183" i="58"/>
  <c r="C183" i="58"/>
  <c r="K174" i="58"/>
  <c r="F174" i="58"/>
  <c r="K173" i="58"/>
  <c r="F173" i="58"/>
  <c r="K167" i="58"/>
  <c r="F167" i="58"/>
  <c r="H157" i="58"/>
  <c r="G157" i="58"/>
  <c r="F157" i="58"/>
  <c r="H156" i="58"/>
  <c r="G156" i="58"/>
  <c r="F156" i="58"/>
  <c r="H155" i="58"/>
  <c r="G155" i="58"/>
  <c r="F155" i="58"/>
  <c r="H154" i="58"/>
  <c r="G154" i="58"/>
  <c r="F154" i="58"/>
  <c r="H153" i="58"/>
  <c r="G153" i="58"/>
  <c r="F153" i="58"/>
  <c r="H152" i="58"/>
  <c r="G152" i="58"/>
  <c r="F152" i="58"/>
  <c r="H151" i="58"/>
  <c r="G151" i="58"/>
  <c r="F151" i="58"/>
  <c r="H150" i="58"/>
  <c r="G150" i="58"/>
  <c r="F150" i="58"/>
  <c r="H149" i="58"/>
  <c r="G149" i="58"/>
  <c r="F149" i="58"/>
  <c r="H148" i="58"/>
  <c r="G148" i="58"/>
  <c r="F148" i="58"/>
  <c r="H147" i="58"/>
  <c r="G147" i="58"/>
  <c r="F147" i="58"/>
  <c r="H146" i="58"/>
  <c r="G146" i="58"/>
  <c r="F146" i="58"/>
  <c r="H145" i="58"/>
  <c r="G145" i="58"/>
  <c r="F145" i="58"/>
  <c r="H144" i="58"/>
  <c r="G144" i="58"/>
  <c r="F144" i="58"/>
  <c r="H143" i="58"/>
  <c r="G143" i="58"/>
  <c r="F143" i="58"/>
  <c r="P39" i="58"/>
  <c r="H142" i="58"/>
  <c r="G142" i="58"/>
  <c r="F142" i="58"/>
  <c r="P38" i="58"/>
  <c r="H141" i="58"/>
  <c r="G141" i="58"/>
  <c r="F141" i="58"/>
  <c r="P37" i="58"/>
  <c r="H140" i="58"/>
  <c r="G140" i="58"/>
  <c r="F140" i="58"/>
  <c r="P36" i="58"/>
  <c r="H139" i="58"/>
  <c r="G139" i="58"/>
  <c r="F139" i="58"/>
  <c r="P35" i="58"/>
  <c r="P34" i="58"/>
  <c r="P33" i="58"/>
  <c r="P32" i="58"/>
  <c r="H135" i="58"/>
  <c r="G135" i="58"/>
  <c r="F135" i="58"/>
  <c r="P31" i="58"/>
  <c r="H134" i="58"/>
  <c r="G134" i="58"/>
  <c r="F134" i="58"/>
  <c r="P30" i="58"/>
  <c r="H133" i="58"/>
  <c r="G133" i="58"/>
  <c r="F133" i="58"/>
  <c r="P29" i="58"/>
  <c r="H132" i="58"/>
  <c r="G132" i="58"/>
  <c r="F132" i="58"/>
  <c r="P28" i="58"/>
  <c r="H131" i="58"/>
  <c r="G131" i="58"/>
  <c r="F131" i="58"/>
  <c r="P27" i="58"/>
  <c r="H130" i="58"/>
  <c r="G130" i="58"/>
  <c r="F130" i="58"/>
  <c r="P26" i="58"/>
  <c r="H129" i="58"/>
  <c r="G129" i="58"/>
  <c r="F129" i="58"/>
  <c r="P25" i="58"/>
  <c r="H128" i="58"/>
  <c r="G128" i="58"/>
  <c r="F128" i="58"/>
  <c r="P24" i="58"/>
  <c r="H127" i="58"/>
  <c r="G127" i="58"/>
  <c r="F127" i="58"/>
  <c r="P23" i="58"/>
  <c r="H126" i="58"/>
  <c r="G126" i="58"/>
  <c r="F126" i="58"/>
  <c r="P22" i="58"/>
  <c r="H125" i="58"/>
  <c r="G125" i="58"/>
  <c r="F125" i="58"/>
  <c r="P21" i="58"/>
  <c r="H124" i="58"/>
  <c r="G124" i="58"/>
  <c r="F124" i="58"/>
  <c r="P20" i="58"/>
  <c r="H123" i="58"/>
  <c r="G123" i="58"/>
  <c r="F123" i="58"/>
  <c r="P19" i="58"/>
  <c r="H42" i="58"/>
  <c r="G42" i="58"/>
  <c r="F42" i="58"/>
  <c r="H41" i="58"/>
  <c r="G41" i="58"/>
  <c r="F41" i="58"/>
  <c r="H40" i="58"/>
  <c r="G40" i="58"/>
  <c r="F40" i="58"/>
  <c r="H39" i="58"/>
  <c r="G39" i="58"/>
  <c r="F39" i="58"/>
  <c r="M34" i="58"/>
  <c r="F2" i="58"/>
  <c r="F34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85" i="51"/>
  <c r="H288" i="51"/>
  <c r="C288" i="51"/>
  <c r="F282" i="51"/>
  <c r="F281" i="51"/>
  <c r="F280" i="51"/>
  <c r="K279" i="51"/>
  <c r="F279" i="51"/>
  <c r="K278" i="51"/>
  <c r="F278" i="51"/>
  <c r="K277" i="51"/>
  <c r="F277" i="51"/>
  <c r="K276" i="51"/>
  <c r="F276" i="51"/>
  <c r="K275" i="51"/>
  <c r="F275" i="51"/>
  <c r="K274" i="51"/>
  <c r="F274" i="51"/>
  <c r="K273" i="51"/>
  <c r="F273" i="51"/>
  <c r="K272" i="51"/>
  <c r="F272" i="51"/>
  <c r="K271" i="51"/>
  <c r="F271" i="51"/>
  <c r="K270" i="51"/>
  <c r="F270" i="51"/>
  <c r="K269" i="51"/>
  <c r="F269" i="51"/>
  <c r="K268" i="51"/>
  <c r="F268" i="51"/>
  <c r="K267" i="51"/>
  <c r="F267" i="51"/>
  <c r="K266" i="51"/>
  <c r="F266" i="51"/>
  <c r="K265" i="51"/>
  <c r="F265" i="51"/>
  <c r="K264" i="51"/>
  <c r="F264" i="51"/>
  <c r="F263" i="51"/>
  <c r="K262" i="51"/>
  <c r="F262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P43" i="51"/>
  <c r="H183" i="51"/>
  <c r="G183" i="51"/>
  <c r="F183" i="51"/>
  <c r="P42" i="51"/>
  <c r="H182" i="51"/>
  <c r="G182" i="51"/>
  <c r="F182" i="51"/>
  <c r="P41" i="51"/>
  <c r="H181" i="51"/>
  <c r="G181" i="51"/>
  <c r="F181" i="51"/>
  <c r="P40" i="51"/>
  <c r="H180" i="51"/>
  <c r="G180" i="51"/>
  <c r="F180" i="51"/>
  <c r="P39" i="51"/>
  <c r="H179" i="51"/>
  <c r="G179" i="51"/>
  <c r="F179" i="51"/>
  <c r="P38" i="51"/>
  <c r="H178" i="51"/>
  <c r="G178" i="51"/>
  <c r="F178" i="51"/>
  <c r="P37" i="51"/>
  <c r="H177" i="51"/>
  <c r="G177" i="51"/>
  <c r="F177" i="51"/>
  <c r="P36" i="51"/>
  <c r="H176" i="51"/>
  <c r="G176" i="51"/>
  <c r="F176" i="51"/>
  <c r="P35" i="51"/>
  <c r="H175" i="51"/>
  <c r="G175" i="51"/>
  <c r="F175" i="51"/>
  <c r="P34" i="51"/>
  <c r="H174" i="51"/>
  <c r="G174" i="51"/>
  <c r="F174" i="51"/>
  <c r="P33" i="51"/>
  <c r="H173" i="51"/>
  <c r="G173" i="51"/>
  <c r="F173" i="51"/>
  <c r="P32" i="51"/>
  <c r="H172" i="51"/>
  <c r="G172" i="51"/>
  <c r="F172" i="51"/>
  <c r="P31" i="51"/>
  <c r="H171" i="51"/>
  <c r="G171" i="51"/>
  <c r="F171" i="51"/>
  <c r="P30" i="51"/>
  <c r="H170" i="51"/>
  <c r="G170" i="51"/>
  <c r="F170" i="51"/>
  <c r="P29" i="51"/>
  <c r="H169" i="51"/>
  <c r="G169" i="51"/>
  <c r="F169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F2" i="51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H272" i="25"/>
  <c r="G272" i="25"/>
  <c r="H271" i="25"/>
  <c r="G271" i="25"/>
  <c r="H270" i="25"/>
  <c r="G270" i="25"/>
  <c r="H269" i="25"/>
  <c r="G269" i="25"/>
  <c r="H268" i="25"/>
  <c r="G268" i="25"/>
  <c r="H267" i="25"/>
  <c r="G267" i="25"/>
  <c r="H96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H18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Q11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M100" i="34"/>
  <c r="M23" i="57"/>
  <c r="M67" i="60"/>
  <c r="M35" i="58"/>
  <c r="F451" i="17"/>
  <c r="M19" i="62"/>
  <c r="K55" i="50"/>
  <c r="C65" i="63"/>
  <c r="C19" i="68"/>
  <c r="H104" i="45"/>
  <c r="K119" i="7"/>
  <c r="M19" i="61"/>
  <c r="C104" i="45"/>
  <c r="F23" i="17"/>
  <c r="H19" i="34"/>
  <c r="M104" i="45"/>
  <c r="K184" i="58"/>
  <c r="H19" i="63"/>
  <c r="F97" i="25"/>
  <c r="C19" i="54"/>
  <c r="M19" i="70"/>
  <c r="H156" i="49"/>
  <c r="C19" i="63"/>
  <c r="H19" i="68"/>
  <c r="M51" i="54"/>
  <c r="K19" i="69"/>
  <c r="H19" i="59"/>
  <c r="F19" i="66"/>
  <c r="F19" i="64"/>
  <c r="F19" i="68"/>
  <c r="K77" i="70"/>
  <c r="M19" i="73"/>
  <c r="M94" i="52"/>
  <c r="C90" i="72"/>
  <c r="M19" i="60"/>
  <c r="M184" i="58"/>
  <c r="C75" i="41"/>
  <c r="H75" i="41"/>
  <c r="C19" i="69"/>
  <c r="K86" i="53"/>
  <c r="M63" i="66"/>
  <c r="F67" i="60"/>
  <c r="M119" i="7"/>
  <c r="M19" i="69"/>
  <c r="K19" i="60"/>
  <c r="C19" i="59"/>
  <c r="F156" i="49"/>
  <c r="M19" i="52"/>
  <c r="H19" i="73"/>
  <c r="M65" i="63"/>
  <c r="H67" i="60"/>
  <c r="H19" i="71"/>
  <c r="C35" i="58"/>
  <c r="H19" i="53"/>
  <c r="F19" i="70"/>
  <c r="C156" i="49"/>
  <c r="F65" i="63"/>
  <c r="F19" i="45"/>
  <c r="H63" i="66"/>
  <c r="H97" i="25"/>
  <c r="C19" i="66"/>
  <c r="H19" i="75"/>
  <c r="H51" i="54"/>
  <c r="K19" i="54"/>
  <c r="H55" i="50"/>
  <c r="F75" i="41"/>
  <c r="H65" i="71"/>
  <c r="C19" i="60"/>
  <c r="C97" i="25"/>
  <c r="F58" i="51"/>
  <c r="M156" i="49"/>
  <c r="K51" i="54"/>
  <c r="C19" i="61"/>
  <c r="C19" i="73"/>
  <c r="F65" i="71"/>
  <c r="K72" i="59"/>
  <c r="H81" i="61"/>
  <c r="C100" i="34"/>
  <c r="K19" i="3"/>
  <c r="C55" i="50"/>
  <c r="C19" i="50"/>
  <c r="C23" i="57"/>
  <c r="K19" i="71"/>
  <c r="C19" i="71"/>
  <c r="K65" i="63"/>
  <c r="H451" i="17"/>
  <c r="C30" i="49"/>
  <c r="K19" i="75"/>
  <c r="M19" i="54"/>
  <c r="C184" i="58"/>
  <c r="F81" i="61"/>
  <c r="C119" i="7"/>
  <c r="M19" i="41"/>
  <c r="H23" i="17"/>
  <c r="F19" i="62"/>
  <c r="K35" i="58"/>
  <c r="H19" i="50"/>
  <c r="K19" i="63"/>
  <c r="K25" i="31"/>
  <c r="C19" i="45"/>
  <c r="K104" i="45"/>
  <c r="F19" i="71"/>
  <c r="F19" i="69"/>
  <c r="H72" i="59"/>
  <c r="F25" i="31"/>
  <c r="H19" i="54"/>
  <c r="F19" i="60"/>
  <c r="F30" i="49"/>
  <c r="K63" i="66"/>
  <c r="F55" i="50"/>
  <c r="C19" i="41"/>
  <c r="M19" i="55"/>
  <c r="M19" i="68"/>
  <c r="C19" i="34"/>
  <c r="C25" i="31"/>
  <c r="M30" i="49"/>
  <c r="H213" i="57"/>
  <c r="K75" i="41"/>
  <c r="K94" i="52"/>
  <c r="F19" i="50"/>
  <c r="K156" i="49"/>
  <c r="H19" i="61"/>
  <c r="M19" i="45"/>
  <c r="H19" i="41"/>
  <c r="M81" i="61"/>
  <c r="F19" i="52"/>
  <c r="M451" i="17"/>
  <c r="K19" i="50"/>
  <c r="M90" i="72"/>
  <c r="H77" i="70"/>
  <c r="F19" i="73"/>
  <c r="M58" i="51"/>
  <c r="F35" i="58"/>
  <c r="C77" i="70"/>
  <c r="F19" i="55"/>
  <c r="H35" i="58"/>
  <c r="H184" i="58"/>
  <c r="F19" i="34"/>
  <c r="H19" i="70"/>
  <c r="F18" i="74"/>
  <c r="F77" i="70"/>
  <c r="F19" i="54"/>
  <c r="H100" i="34"/>
  <c r="C451" i="17"/>
  <c r="M19" i="50"/>
  <c r="C19" i="53"/>
  <c r="M72" i="59"/>
  <c r="K19" i="66"/>
  <c r="F19" i="41"/>
  <c r="K19" i="62"/>
  <c r="C213" i="57"/>
  <c r="K213" i="57"/>
  <c r="K65" i="71"/>
  <c r="M65" i="71"/>
  <c r="H86" i="53"/>
  <c r="F30" i="40"/>
  <c r="C51" i="54"/>
  <c r="H19" i="3"/>
  <c r="M19" i="72"/>
  <c r="F19" i="63"/>
  <c r="K23" i="57"/>
  <c r="F63" i="66"/>
  <c r="C94" i="52"/>
  <c r="K19" i="72"/>
  <c r="K30" i="40"/>
  <c r="K90" i="72"/>
  <c r="M19" i="75"/>
  <c r="F85" i="64"/>
  <c r="F94" i="52"/>
  <c r="K19" i="53"/>
  <c r="H65" i="63"/>
  <c r="H90" i="72"/>
  <c r="F184" i="58"/>
  <c r="F19" i="53"/>
  <c r="H19" i="60"/>
  <c r="F19" i="61"/>
  <c r="K19" i="55"/>
  <c r="K81" i="61"/>
  <c r="K19" i="59"/>
  <c r="F213" i="57"/>
  <c r="K67" i="60"/>
  <c r="M23" i="17"/>
  <c r="F72" i="59"/>
  <c r="K19" i="73"/>
  <c r="M19" i="59"/>
  <c r="F25" i="43"/>
  <c r="C85" i="64"/>
  <c r="F51" i="54"/>
  <c r="M19" i="34"/>
  <c r="H94" i="52"/>
  <c r="K19" i="70"/>
  <c r="C86" i="53"/>
  <c r="M19" i="63"/>
  <c r="K23" i="17"/>
  <c r="H19" i="55"/>
  <c r="K100" i="34"/>
  <c r="C19" i="3"/>
  <c r="K19" i="68"/>
  <c r="H19" i="66"/>
  <c r="K19" i="52"/>
  <c r="H119" i="7"/>
  <c r="C63" i="66"/>
  <c r="M75" i="41"/>
  <c r="C65" i="71"/>
  <c r="M25" i="31"/>
  <c r="H25" i="31"/>
  <c r="F119" i="7"/>
  <c r="M19" i="3"/>
  <c r="C19" i="55"/>
  <c r="C19" i="64"/>
  <c r="K19" i="34"/>
  <c r="K58" i="51"/>
  <c r="M19" i="53"/>
  <c r="C23" i="17"/>
  <c r="C19" i="70"/>
  <c r="K451" i="17"/>
  <c r="C30" i="40"/>
  <c r="M86" i="53"/>
  <c r="F19" i="3"/>
  <c r="M213" i="57"/>
  <c r="M19" i="66"/>
  <c r="F90" i="72"/>
  <c r="H30" i="40"/>
  <c r="C67" i="60"/>
  <c r="C72" i="59"/>
  <c r="C19" i="72"/>
  <c r="C19" i="75"/>
  <c r="K18" i="74"/>
  <c r="F104" i="45"/>
  <c r="C19" i="52"/>
  <c r="F19" i="75"/>
  <c r="F86" i="53"/>
  <c r="F19" i="72"/>
  <c r="C81" i="61"/>
  <c r="C19" i="62"/>
  <c r="F100" i="34"/>
  <c r="H19" i="52"/>
  <c r="M77" i="70"/>
  <c r="K19" i="41"/>
  <c r="F23" i="57"/>
  <c r="M30" i="40"/>
  <c r="H19" i="62"/>
  <c r="F19" i="59"/>
  <c r="H19" i="72"/>
  <c r="M55" i="50"/>
  <c r="K19" i="61"/>
  <c r="M19" i="71"/>
  <c r="H19" i="69"/>
  <c r="V707" i="38" l="1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96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49"/>
  <c r="F155" i="49"/>
  <c r="Q2" i="41"/>
  <c r="Q8" i="41" s="1"/>
  <c r="F183" i="58"/>
  <c r="K183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707" i="38" s="1"/>
  <c r="Y707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3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06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4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3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06" i="46"/>
  <c r="F51" i="24"/>
  <c r="F120" i="40"/>
  <c r="M81" i="43"/>
  <c r="Q10" i="43" s="1"/>
  <c r="F288" i="51"/>
  <c r="K288" i="51"/>
  <c r="Q2" i="44"/>
  <c r="Q3" i="44" s="1"/>
  <c r="Q6" i="44" s="1"/>
  <c r="Q2" i="32"/>
  <c r="Q8" i="32" s="1"/>
  <c r="F44" i="26"/>
  <c r="K44" i="26"/>
  <c r="Q2" i="71"/>
  <c r="M104" i="49"/>
  <c r="Q2" i="25"/>
  <c r="W706" i="38" l="1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702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65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92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57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707" i="38" l="1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<sst xmlns="http://schemas.openxmlformats.org/spreadsheetml/2006/main" count="7883" uniqueCount="1264">
  <si>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</si>
  <si>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</si>
  <si>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</si>
  <si>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</si>
  <si>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</si>
  <si>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</si>
  <si>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</si>
  <si>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</si>
  <si>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</si>
  <si>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</si>
  <si>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</si>
  <si>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</si>
  <si>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</si>
  <si>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</si>
  <si>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</si>
  <si>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</si>
  <si>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</si>
  <si>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</si>
  <si>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</si>
  <si>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</si>
  <si>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</si>
  <si>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</si>
  <si>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</si>
  <si>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</si>
  <si>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</si>
  <si>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</si>
  <si>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</si>
  <si>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</si>
  <si>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</si>
  <si>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</si>
  <si>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</si>
  <si>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</si>
  <si>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</si>
  <si>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</si>
  <si>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</si>
  <si>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</si>
  <si>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</si>
  <si>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</si>
  <si>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</si>
  <si>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</si>
  <si>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</si>
  <si>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</si>
  <si>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</si>
  <si>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</si>
  <si>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</si>
  <si>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</si>
  <si>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</si>
  <si>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</si>
  <si>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</si>
  <si>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</si>
  <si>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</si>
  <si>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</si>
  <si>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</si>
  <si>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</si>
  <si>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</si>
  <si>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</si>
  <si>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</si>
  <si>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</si>
  <si>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</si>
  <si>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</si>
  <si>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</si>
  <si>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</si>
  <si>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</si>
  <si>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</si>
  <si>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</si>
  <si>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</si>
  <si>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</si>
  <si>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</si>
  <si>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</si>
  <si>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</si>
  <si>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</si>
  <si>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</si>
  <si>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</si>
  <si>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</si>
  <si>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</si>
  <si>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</si>
  <si>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</si>
  <si>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</si>
  <si>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</si>
  <si>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</si>
  <si>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</si>
  <si>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</si>
  <si>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</si>
  <si>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</si>
  <si>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</si>
  <si>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</si>
  <si>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</si>
  <si>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</si>
  <si>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</si>
  <si>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</si>
  <si>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</si>
  <si>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</si>
  <si>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</si>
  <si>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</si>
  <si>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</si>
  <si>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</si>
  <si>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</si>
  <si>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</si>
  <si>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</si>
  <si>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</si>
  <si>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</si>
  <si>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</si>
  <si>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</si>
  <si>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</si>
  <si>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</si>
  <si>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</si>
  <si>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</si>
  <si>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</si>
  <si>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</si>
  <si>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</si>
  <si>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</si>
  <si>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</si>
  <si>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</si>
  <si>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</si>
  <si>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</si>
  <si>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</si>
  <si>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</si>
  <si>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</si>
  <si>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</si>
  <si>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</si>
  <si>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</si>
  <si>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</si>
  <si>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</si>
  <si>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</si>
  <si>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</si>
  <si>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</si>
  <si>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</si>
  <si>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</si>
  <si>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</si>
  <si>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</si>
  <si>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</si>
  <si>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</si>
  <si>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</si>
  <si>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</si>
  <si>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</si>
  <si>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</si>
  <si>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</si>
  <si>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</si>
  <si>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</si>
  <si>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</si>
  <si>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</si>
  <si>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</si>
  <si>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</si>
  <si>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</si>
  <si>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</si>
  <si>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</si>
  <si>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</si>
  <si>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</si>
  <si>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</si>
  <si>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</si>
  <si>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</si>
  <si>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</si>
  <si>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</si>
  <si>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</si>
  <si>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</si>
  <si>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</si>
  <si>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</si>
  <si>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</si>
  <si>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</si>
  <si>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</si>
  <si>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</si>
  <si>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</si>
  <si>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</si>
  <si>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</si>
  <si>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</si>
  <si>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</si>
  <si>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</si>
  <si>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</si>
  <si>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</si>
  <si>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</si>
  <si>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</si>
  <si>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</si>
  <si>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</si>
  <si>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</si>
  <si>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</si>
  <si>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</si>
  <si>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</si>
  <si>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</si>
  <si>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</si>
  <si>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</si>
  <si>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</si>
  <si>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</si>
  <si>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</si>
  <si>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</si>
  <si>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</si>
  <si>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</si>
  <si>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</si>
  <si>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</si>
  <si>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</si>
  <si>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</si>
  <si>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</si>
  <si>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</si>
  <si>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</si>
  <si>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</si>
  <si>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</si>
  <si>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</si>
  <si>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</si>
  <si>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</si>
  <si>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</si>
  <si>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</si>
  <si>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</si>
  <si>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</si>
  <si>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</si>
  <si>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</si>
  <si>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</si>
  <si>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</si>
  <si>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</si>
  <si>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</si>
  <si>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</si>
  <si>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</si>
  <si>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</si>
  <si>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</si>
  <si>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</si>
  <si>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</si>
  <si>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</si>
  <si>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</si>
  <si>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</si>
  <si>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</si>
  <si>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</si>
  <si>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</si>
  <si>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</si>
  <si>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</si>
  <si>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</si>
  <si>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</si>
  <si>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</si>
  <si>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</si>
  <si>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</si>
  <si>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</si>
  <si>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</si>
  <si>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</si>
  <si>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</si>
  <si>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</si>
  <si>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</si>
  <si>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</si>
  <si>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</si>
  <si>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</si>
  <si>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</si>
  <si>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</si>
  <si>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</si>
  <si>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</si>
  <si>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</si>
  <si>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</si>
  <si>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</si>
  <si>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</si>
  <si>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</si>
  <si>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</si>
  <si>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</si>
  <si>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</si>
  <si>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</si>
  <si>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</si>
  <si>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</si>
  <si>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</si>
  <si>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</si>
  <si>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</si>
  <si>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</si>
  <si>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</si>
  <si>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</si>
  <si>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</si>
  <si>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</si>
  <si>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</si>
  <si>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</si>
  <si>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</si>
  <si>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</si>
  <si>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</si>
  <si>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</si>
  <si>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</si>
  <si>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</si>
  <si>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</si>
  <si>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</si>
  <si>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</si>
  <si>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</si>
  <si>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</si>
  <si>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</si>
  <si>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</si>
  <si>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</si>
  <si>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</si>
  <si>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</si>
  <si>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</si>
  <si>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</si>
  <si>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</si>
  <si>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</si>
  <si>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</si>
  <si>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</si>
  <si>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</si>
  <si>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</si>
  <si>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</si>
  <si>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</si>
  <si>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</si>
  <si>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</si>
  <si>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</si>
  <si>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</si>
  <si>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</si>
  <si>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</si>
  <si>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</si>
  <si>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</si>
  <si>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</si>
  <si>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</si>
  <si>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</si>
  <si>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</si>
  <si>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</si>
  <si>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</si>
  <si>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</si>
  <si>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</si>
  <si>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</si>
  <si>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</si>
  <si>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</si>
  <si>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</si>
  <si>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</si>
  <si>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</si>
  <si>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</si>
  <si>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</si>
  <si>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</si>
  <si>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</si>
  <si>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</si>
  <si>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</si>
  <si>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</si>
  <si>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</si>
  <si>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</si>
  <si>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</si>
  <si>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</si>
  <si>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</si>
  <si>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</si>
  <si>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</si>
  <si>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</si>
  <si>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</si>
  <si>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</si>
  <si>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</si>
  <si>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</si>
  <si>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</si>
  <si>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</si>
  <si>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</si>
  <si>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</si>
  <si>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</si>
  <si>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</si>
  <si>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</si>
  <si>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</si>
  <si>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</si>
  <si>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</si>
  <si>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</si>
  <si>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</si>
  <si>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</si>
  <si>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</si>
  <si>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</si>
  <si>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</si>
  <si>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</si>
  <si>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</si>
  <si>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</si>
  <si>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</si>
  <si>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</si>
  <si>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</si>
  <si>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</si>
  <si>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</si>
  <si>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</si>
  <si>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</si>
  <si>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</si>
  <si>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</si>
  <si>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</si>
  <si>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</si>
  <si>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</si>
  <si>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</si>
  <si>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</si>
  <si>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</si>
  <si>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</si>
  <si>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</si>
  <si>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</si>
  <si>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</si>
  <si>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</si>
  <si>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</si>
  <si>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</si>
  <si>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</si>
  <si>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</si>
  <si>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</si>
  <si>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</si>
  <si>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</si>
  <si>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</si>
  <si>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</si>
  <si>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</si>
  <si>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</si>
  <si>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</si>
  <si>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</si>
  <si>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</si>
  <si>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</si>
  <si>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</si>
  <si>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</si>
  <si>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</si>
  <si>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</si>
  <si>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</si>
  <si>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</si>
  <si>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</si>
  <si>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</si>
  <si>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</si>
  <si>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</si>
  <si>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</si>
  <si>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</si>
  <si>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</si>
  <si>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</si>
  <si>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</si>
  <si>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</si>
  <si>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</si>
  <si>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</si>
  <si>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</si>
  <si>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</si>
  <si>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</si>
  <si>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</si>
  <si>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</si>
  <si>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</si>
  <si>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</si>
  <si>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</si>
  <si>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</si>
  <si>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</si>
  <si>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</si>
  <si>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</si>
  <si>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</si>
  <si>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</si>
  <si>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</si>
  <si>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</si>
  <si>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</si>
  <si>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</si>
  <si>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</si>
  <si>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</si>
  <si>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</si>
  <si>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</si>
  <si>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</si>
  <si>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</si>
  <si>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</si>
  <si>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</si>
  <si>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</si>
  <si>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</si>
  <si>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</si>
  <si>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</si>
  <si>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</si>
  <si>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</si>
  <si>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</si>
  <si>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</si>
  <si>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</si>
  <si>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</si>
  <si>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</si>
  <si>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</si>
  <si>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</si>
  <si>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</si>
  <si>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</si>
  <si>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</si>
  <si>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</si>
  <si>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</si>
  <si>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</si>
  <si>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</si>
  <si>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</si>
  <si>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</si>
  <si>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</si>
  <si>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</si>
  <si>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</si>
  <si>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</si>
  <si>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</si>
  <si>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</si>
  <si>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</si>
  <si>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</si>
  <si>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</si>
  <si>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</si>
  <si>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</si>
  <si>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</si>
  <si>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</si>
  <si>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</si>
  <si>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</si>
  <si>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</si>
  <si>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</si>
  <si>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</si>
  <si>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</si>
  <si>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</si>
  <si>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</si>
  <si>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</si>
  <si>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</si>
  <si>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</si>
  <si>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</si>
  <si>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</si>
  <si>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</si>
  <si>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</si>
  <si>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</si>
  <si>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</si>
  <si>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</si>
  <si>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</si>
  <si>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</si>
  <si>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</si>
  <si>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</si>
  <si>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</si>
  <si>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</si>
  <si>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</si>
  <si>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</si>
  <si>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</si>
  <si>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</si>
  <si>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</si>
  <si>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</si>
  <si>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</si>
  <si>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</si>
  <si>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</si>
  <si>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</si>
  <si>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</si>
  <si>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</si>
  <si>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</si>
  <si>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</si>
  <si>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</si>
  <si>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</si>
  <si>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</si>
  <si>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</si>
  <si>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</si>
  <si>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</si>
  <si>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</si>
  <si>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</si>
  <si>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</si>
  <si>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</si>
  <si>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</si>
  <si>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</si>
  <si>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</si>
  <si>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</si>
  <si>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</si>
  <si>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</si>
  <si>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</si>
  <si>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</si>
  <si>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</si>
  <si>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</si>
  <si>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</si>
  <si>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</si>
  <si>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</si>
  <si>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</si>
  <si>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</si>
  <si>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</si>
  <si>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</si>
  <si>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</si>
  <si>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</si>
  <si>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</si>
  <si>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</si>
  <si>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</si>
  <si>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</si>
  <si>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</si>
  <si>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</si>
  <si>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</si>
  <si>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</si>
  <si>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</si>
  <si>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</si>
  <si>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</si>
  <si>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</si>
  <si>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</si>
  <si>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</si>
  <si>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</si>
  <si>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</si>
  <si>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</si>
  <si>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</si>
  <si>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</si>
  <si>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</si>
  <si>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</si>
  <si>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</si>
  <si>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</si>
  <si>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</si>
  <si>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</si>
  <si>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</si>
  <si>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</si>
  <si>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</si>
  <si>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</si>
  <si>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</si>
  <si>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</si>
  <si>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</si>
  <si>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</si>
  <si>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</si>
  <si>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</si>
  <si>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</si>
  <si>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</si>
  <si>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</si>
  <si>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</si>
  <si>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</si>
  <si>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</si>
  <si>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</si>
  <si>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</si>
  <si>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</si>
  <si>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</si>
  <si>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</si>
  <si>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</si>
  <si>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</si>
  <si>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</si>
  <si>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</si>
  <si>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</si>
  <si>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</si>
  <si>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</si>
  <si>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</si>
  <si>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</si>
  <si>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</si>
  <si>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</si>
  <si>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</si>
  <si>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</si>
  <si>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</si>
  <si>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</si>
  <si>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</si>
  <si>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</si>
  <si>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</si>
  <si>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</si>
  <si>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</si>
  <si>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</si>
  <si>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</si>
  <si>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</si>
  <si>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</si>
  <si>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</si>
  <si>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</si>
  <si>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</si>
  <si>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</si>
  <si>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</si>
  <si>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</si>
  <si>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</si>
  <si>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</si>
  <si>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</si>
  <si>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</si>
  <si>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</si>
  <si>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</si>
  <si>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</si>
  <si>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</si>
  <si>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</si>
  <si>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</si>
  <si>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</si>
  <si>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</si>
  <si>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</si>
  <si>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</si>
  <si>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</si>
  <si>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</si>
  <si>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</si>
  <si>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</si>
  <si>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</si>
  <si>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</si>
  <si>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</si>
  <si>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</si>
  <si>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</si>
  <si>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</si>
  <si>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</si>
  <si>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</si>
  <si>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</si>
  <si>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</si>
  <si>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</si>
  <si>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</si>
  <si>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</si>
  <si>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</si>
  <si>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</si>
  <si>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</si>
  <si>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</si>
  <si>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</si>
  <si>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</si>
  <si>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</si>
  <si>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</si>
  <si>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</si>
  <si>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</si>
  <si>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</si>
  <si>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</si>
  <si>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</si>
  <si>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</si>
  <si>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</si>
  <si>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</si>
  <si>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</si>
  <si>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</si>
  <si>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</si>
  <si>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</si>
  <si>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</si>
  <si>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</si>
  <si>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</si>
  <si>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</si>
  <si>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</si>
  <si>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</si>
  <si>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</si>
  <si>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</si>
  <si>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</si>
  <si>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</si>
  <si>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</si>
  <si>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</si>
  <si>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</si>
  <si>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</si>
  <si>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</si>
  <si>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</si>
  <si>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</si>
  <si>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</si>
  <si>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</si>
  <si>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</si>
  <si>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</si>
  <si>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</si>
  <si>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</si>
  <si>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</si>
  <si>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</si>
  <si>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</si>
  <si>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</si>
  <si>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</si>
  <si>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</si>
  <si>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</si>
  <si>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</si>
  <si>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</si>
  <si>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</si>
  <si>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</si>
  <si>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</si>
  <si>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</si>
  <si>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</si>
  <si>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</si>
  <si>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</si>
  <si>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</si>
  <si>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</si>
  <si>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</si>
  <si>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</si>
  <si>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</si>
  <si>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</si>
  <si>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</si>
  <si>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</si>
  <si>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</si>
  <si>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</si>
  <si>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</si>
  <si>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</si>
  <si>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</si>
  <si>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</si>
  <si>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</si>
  <si>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</si>
  <si>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</si>
  <si>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</si>
  <si>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</si>
  <si>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</si>
  <si>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</si>
  <si>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</si>
  <si>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</si>
  <si>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</si>
  <si>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</si>
  <si>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</si>
  <si>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</si>
  <si>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</si>
  <si>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</si>
  <si>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</si>
  <si>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</si>
  <si>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</si>
  <si>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</si>
  <si>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</si>
  <si>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</si>
  <si>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</si>
  <si>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</si>
  <si>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</si>
  <si>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</si>
  <si>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</si>
  <si>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</si>
  <si>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</si>
  <si>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</si>
  <si>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</si>
  <si>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</si>
  <si>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</si>
  <si>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</si>
  <si>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</si>
  <si>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</si>
  <si>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</si>
  <si>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</si>
  <si>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</si>
  <si>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</si>
  <si>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</si>
  <si>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</si>
  <si>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</si>
  <si>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</si>
  <si>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</si>
  <si>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</si>
  <si>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</si>
  <si>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</si>
  <si>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</si>
  <si>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</si>
  <si>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</si>
  <si>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</si>
  <si>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</si>
  <si>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</si>
  <si>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</si>
  <si>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</si>
  <si>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</si>
  <si>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</si>
  <si>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</si>
  <si>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</si>
  <si>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</si>
  <si>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</si>
  <si>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</si>
  <si>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</si>
  <si>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</si>
  <si>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</si>
  <si>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</si>
  <si>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</si>
  <si>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</si>
  <si>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</si>
  <si>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</si>
  <si>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</si>
  <si>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</si>
  <si>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</si>
  <si>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</si>
  <si>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</si>
  <si>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</si>
  <si>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</si>
  <si>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</si>
  <si>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</si>
  <si>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</si>
  <si>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</si>
  <si>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</si>
  <si>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</si>
  <si>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</si>
  <si>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</si>
  <si>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</si>
  <si>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</si>
  <si>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</si>
  <si>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</si>
  <si>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</si>
  <si>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</si>
  <si>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</si>
  <si>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</si>
  <si>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</si>
  <si>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</si>
  <si>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</si>
  <si>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</si>
  <si>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</si>
  <si>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</si>
  <si>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</si>
  <si>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</si>
  <si>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</si>
  <si>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</si>
  <si>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</si>
  <si>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</si>
  <si>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</si>
  <si>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</si>
  <si>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</si>
  <si>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</si>
  <si>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</si>
  <si>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</si>
  <si>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</si>
  <si>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</si>
  <si>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</si>
  <si>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</si>
  <si>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</si>
  <si>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</si>
  <si>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</si>
  <si>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</si>
  <si>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</si>
  <si>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</si>
  <si>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</si>
  <si>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</si>
  <si>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</si>
  <si>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</si>
  <si>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</si>
  <si>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</si>
  <si>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</si>
  <si>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</si>
  <si>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</si>
  <si>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</si>
  <si>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</si>
  <si>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</si>
  <si>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</si>
  <si>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</si>
  <si>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</si>
  <si>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</si>
  <si>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</si>
  <si>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</si>
  <si>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</si>
  <si>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</si>
  <si>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</si>
  <si>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</si>
  <si>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</si>
  <si>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</si>
  <si>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</si>
  <si>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</si>
  <si>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</si>
  <si>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</si>
  <si>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</si>
  <si>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</si>
  <si>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</si>
  <si>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</si>
  <si>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</si>
  <si>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</si>
  <si>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</si>
  <si>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</si>
  <si>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</si>
  <si>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</si>
  <si>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</si>
  <si>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</si>
  <si>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</si>
  <si>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</si>
  <si>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</si>
  <si>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</si>
  <si>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</si>
  <si>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</si>
  <si>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</si>
  <si>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</si>
  <si>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</si>
  <si>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</si>
  <si>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</si>
  <si>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</si>
  <si>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</si>
  <si>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</si>
  <si>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</si>
  <si>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</si>
  <si>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</si>
  <si>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</si>
  <si>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</si>
  <si>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</si>
  <si>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</si>
  <si>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</si>
  <si>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</si>
  <si>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</si>
  <si>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</si>
  <si>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</si>
  <si>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</si>
  <si>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</si>
  <si>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</si>
  <si>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</si>
  <si>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</si>
  <si>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</si>
  <si>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</si>
  <si>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</si>
  <si>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</si>
  <si>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</si>
  <si>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</si>
  <si>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</si>
  <si>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</si>
  <si>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</si>
  <si>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</si>
  <si>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</si>
  <si>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</si>
  <si>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</si>
  <si>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</si>
  <si>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</si>
  <si>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</si>
  <si>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</si>
  <si>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</si>
  <si>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</si>
  <si>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</si>
  <si>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</si>
  <si>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</si>
  <si>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</si>
  <si>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</si>
  <si>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</si>
  <si>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</si>
  <si>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</si>
  <si>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</si>
  <si>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</si>
  <si>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</si>
  <si>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</si>
  <si>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</si>
  <si>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</si>
  <si>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</si>
  <si>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</si>
  <si>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</si>
  <si>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</si>
  <si>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</si>
  <si>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</si>
  <si>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</si>
  <si>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</si>
  <si>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</si>
  <si>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</si>
  <si>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</si>
  <si>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</si>
  <si>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</si>
  <si>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</si>
  <si>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</si>
  <si>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</si>
  <si>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</si>
  <si>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</si>
  <si>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</si>
  <si>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</si>
  <si>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</si>
  <si>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</si>
  <si>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</si>
  <si>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</si>
  <si>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</si>
  <si>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</si>
  <si>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</si>
  <si>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</si>
  <si>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</si>
  <si>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</si>
  <si>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</si>
  <si>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</si>
  <si>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</si>
  <si>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</si>
  <si>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</si>
  <si>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</si>
  <si>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</si>
  <si>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</si>
  <si>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</si>
  <si>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</si>
  <si>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</si>
  <si>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</si>
  <si>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</si>
  <si>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</si>
  <si>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</si>
  <si>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</si>
  <si>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</si>
  <si>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</si>
  <si>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</si>
  <si>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</si>
  <si>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</si>
  <si>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</si>
  <si>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</si>
  <si>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</si>
  <si>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</si>
  <si>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</si>
  <si>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</si>
  <si>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</si>
  <si>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</si>
  <si>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</si>
  <si>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</si>
  <si>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</si>
  <si>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</si>
  <si>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</si>
  <si>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</si>
  <si>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</si>
  <si>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</si>
  <si>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</si>
  <si>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</si>
  <si>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</si>
  <si>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</si>
  <si>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</si>
  <si>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</si>
  <si>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</si>
  <si>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</si>
  <si>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</si>
  <si>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</si>
  <si>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</si>
  <si>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</si>
  <si>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</si>
  <si>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</si>
  <si>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</si>
  <si>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</si>
  <si>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</si>
  <si>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</si>
  <si>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</si>
  <si>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</si>
  <si>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</si>
  <si>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</si>
  <si>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</si>
  <si>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</si>
  <si>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</si>
  <si>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</si>
  <si>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</si>
  <si>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</si>
  <si>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</si>
  <si>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</si>
  <si>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</si>
  <si>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</si>
  <si>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</si>
  <si>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</si>
  <si>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</si>
  <si>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</si>
  <si>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</si>
  <si>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</si>
  <si>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</si>
  <si>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</si>
  <si>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</si>
  <si>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</si>
  <si>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</si>
  <si>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</si>
  <si>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</si>
  <si>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</si>
  <si>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</si>
  <si>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</si>
  <si>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</si>
  <si>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</si>
  <si>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</si>
  <si>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</si>
  <si>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</si>
  <si>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</si>
  <si>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</si>
  <si>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</si>
  <si>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</si>
  <si>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</si>
  <si>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</si>
  <si>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</si>
  <si>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</si>
  <si>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</si>
  <si>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</si>
  <si>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</si>
  <si>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</si>
  <si>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</si>
  <si>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</si>
  <si>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</si>
  <si>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</si>
  <si>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</si>
  <si>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</si>
  <si>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</si>
  <si>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</si>
  <si>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</si>
  <si>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</si>
  <si>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</si>
  <si>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</si>
  <si>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</si>
  <si>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</si>
  <si>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</si>
  <si>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</si>
  <si>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</si>
  <si>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</si>
  <si>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</si>
  <si>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</si>
  <si>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</si>
  <si>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</si>
  <si>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</si>
  <si>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IRR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</si>
  <si>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</si>
  <si>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</si>
  <si>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</si>
  <si>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</si>
  <si>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</si>
  <si>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</si>
  <si>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</si>
  <si>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</si>
  <si>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</si>
  <si>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</si>
  <si>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8/1/2018 AH</t>
  </si>
  <si>
    <t>7/13/2018 PM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</si>
  <si>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</si>
  <si>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</si>
  <si>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</si>
  <si>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</si>
  <si>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</si>
  <si>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</si>
  <si>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</si>
  <si>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</si>
  <si>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</si>
  <si>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</si>
  <si>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</si>
  <si>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</si>
  <si>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7/26/2018 PM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</si>
  <si>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</si>
  <si>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</si>
  <si>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</si>
  <si>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</si>
  <si>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</si>
  <si>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</si>
  <si>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</si>
  <si>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</si>
  <si>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</si>
  <si>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</si>
  <si>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</si>
  <si>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</si>
  <si>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</si>
  <si>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</si>
  <si>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</si>
  <si>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</si>
  <si>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</si>
  <si>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8/30/2018 est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</si>
  <si>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</si>
  <si>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</si>
  <si>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</si>
  <si>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</si>
  <si>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</si>
  <si>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</si>
  <si>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</si>
  <si>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</si>
  <si>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</si>
  <si>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9/28/2018 est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</si>
  <si>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</si>
  <si>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</si>
  <si>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</si>
  <si>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</si>
  <si>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</si>
  <si>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</si>
  <si>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</si>
  <si>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</si>
  <si>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</si>
  <si>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</si>
  <si>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</si>
  <si>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</si>
  <si>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</si>
  <si>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</si>
  <si>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</si>
  <si>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</si>
  <si>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</si>
  <si>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</si>
  <si>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</si>
  <si>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</si>
  <si>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</si>
  <si>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</si>
  <si>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</si>
  <si>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</si>
  <si>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</si>
  <si>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</si>
  <si>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</si>
  <si>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</si>
  <si>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</si>
  <si>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</si>
  <si>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</si>
  <si>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</si>
  <si>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</si>
  <si>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</si>
  <si>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</si>
  <si>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</si>
  <si>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</si>
  <si>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</si>
  <si>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</si>
  <si>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</si>
  <si>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</si>
  <si>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8/7/2018 PM</t>
  </si>
  <si>
    <t>LUV ER PM, AAL ER</t>
  </si>
  <si>
    <t>10/3/2018 est</t>
  </si>
  <si>
    <t>8/2/2018 PM</t>
  </si>
  <si>
    <t>7/23/2018 PM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</si>
  <si>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</si>
  <si>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</si>
  <si>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</si>
  <si>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</si>
  <si>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</si>
  <si>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</si>
  <si>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</si>
  <si>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</si>
  <si>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</si>
  <si>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</si>
  <si>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</si>
  <si>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</si>
  <si>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</si>
  <si>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</si>
  <si>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</si>
  <si>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</si>
  <si>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</si>
  <si>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8/6/2018 AH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</si>
  <si>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</si>
  <si>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</si>
  <si>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</si>
  <si>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</si>
  <si>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</si>
  <si>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8/8/2018 PM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</si>
  <si>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</si>
  <si>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</si>
  <si>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</si>
  <si>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</si>
  <si>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</si>
  <si>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</si>
  <si>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</si>
  <si>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</si>
  <si>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10/25/2018 PM</t>
  </si>
  <si>
    <t>11/3/2018 est</t>
  </si>
  <si>
    <t>9/6/2018 AH</t>
  </si>
  <si>
    <t>PEP, NESN, unilever</t>
  </si>
  <si>
    <t>competitors</t>
  </si>
  <si>
    <t>10-year PE</t>
  </si>
  <si>
    <t>Bernando Hees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</si>
  <si>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</si>
  <si>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</si>
  <si>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</si>
  <si>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</si>
  <si>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</si>
  <si>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</si>
  <si>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</si>
  <si>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</si>
  <si>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</si>
  <si>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</si>
  <si>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</si>
  <si>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</si>
  <si>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</si>
  <si>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</si>
  <si>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</si>
  <si>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</si>
  <si>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</si>
  <si>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</si>
  <si>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9/19/2018 est</t>
  </si>
  <si>
    <t>relatively safe at this price</t>
  </si>
  <si>
    <t>debt is somewhat concerning. Sale growth is key</t>
  </si>
  <si>
    <t>10/23/2018 est</t>
  </si>
  <si>
    <t xml:space="preserve"> Announces Agreement to Sell Goody Products, Inc. to ACON Investments</t>
  </si>
  <si>
    <t>more insider buy at 32.36</t>
  </si>
  <si>
    <t>11/5/2018 est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</si>
  <si>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</si>
  <si>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</si>
  <si>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</si>
  <si>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</si>
  <si>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</si>
  <si>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</si>
  <si>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</si>
  <si>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</si>
  <si>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</si>
  <si>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</si>
  <si>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</si>
  <si>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8/24/2018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</si>
</sst>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7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lef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10" fontId="0" fillId="0" borderId="0" xfId="0" applyNumberFormat="1" applyBorder="1"/>
    <xf numFmtId="0" fontId="15" fillId="7" borderId="4" xfId="2" applyFill="1" applyAlignment="1">
      <alignment horizontal="center"/>
    </xf>
    <xf numFmtId="0" fontId="0" fillId="0" borderId="0" xfId="0" applyFont="1" applyFill="1"/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0" fontId="0" fillId="33" borderId="0" xfId="0" applyFill="1"/>
    <xf numFmtId="2" fontId="0" fillId="33" borderId="0" xfId="0" applyNumberFormat="1" applyFill="1"/>
    <xf numFmtId="0" fontId="14" fillId="0" borderId="0" xfId="0" applyFont="1" applyFill="1" applyAlignment="1">
      <alignment horizontal="center" vertical="center" wrapText="1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87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873"/>
      <tableStyleElement type="headerRow" dxfId="2872"/>
    </tableStyle>
  </tableStyles>
  <colors>
    <mruColors>
      <color rgb="FFE7271D"/>
      <color rgb="FFFF7C5D"/>
      <color rgb="FFFBDBD9"/>
      <color rgb="FFF9DEDB"/>
      <color rgb="FFED5C55"/>
      <color rgb="FFFF3300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theme" Target="theme/theme1.xml"/><Relationship Id="rId9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Balance!$B$2:$B$849</c:f>
              <c:numCache>
                <c:formatCode>m/d/yyyy</c:formatCode>
                <c:ptCount val="84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</c:numCache>
            </c:numRef>
          </c:xVal>
          <c:yVal>
            <c:numRef>
              <c:f>Balance!$I$2:$I$851</c:f>
              <c:numCache>
                <c:formatCode>0.00</c:formatCode>
                <c:ptCount val="850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894232"/>
        <c:axId val="456519256"/>
      </c:scatterChart>
      <c:valAx>
        <c:axId val="460894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519256"/>
        <c:crosses val="autoZero"/>
        <c:crossBetween val="midCat"/>
      </c:valAx>
      <c:valAx>
        <c:axId val="456519256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894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Balance!$B$2:$B$740</c:f>
              <c:numCache>
                <c:formatCode>m/d/yyyy</c:formatCode>
                <c:ptCount val="73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</c:numCache>
            </c:numRef>
          </c:xVal>
          <c:yVal>
            <c:numRef>
              <c:f>Balance!$M$2:$M$790</c:f>
              <c:numCache>
                <c:formatCode>0.00</c:formatCode>
                <c:ptCount val="789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430232"/>
        <c:axId val="448591560"/>
      </c:scatterChart>
      <c:valAx>
        <c:axId val="470430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591560"/>
        <c:crosses val="autoZero"/>
        <c:crossBetween val="midCat"/>
      </c:valAx>
      <c:valAx>
        <c:axId val="448591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430232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Balance!$B$2:$B$990</c:f>
              <c:numCache>
                <c:formatCode>m/d/yyyy</c:formatCode>
                <c:ptCount val="9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</c:numCache>
            </c:numRef>
          </c:xVal>
          <c:yVal>
            <c:numRef>
              <c:f>Balance!$C$2:$C$992</c:f>
              <c:numCache>
                <c:formatCode>0.00</c:formatCode>
                <c:ptCount val="991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416368"/>
        <c:axId val="365593400"/>
      </c:scatterChart>
      <c:valAx>
        <c:axId val="47041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593400"/>
        <c:crosses val="autoZero"/>
        <c:crossBetween val="midCat"/>
      </c:valAx>
      <c:valAx>
        <c:axId val="36559340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41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</c:numCache>
            </c:numRef>
          </c:xVal>
          <c:yVal>
            <c:numRef>
              <c:f>Balance!$Q$2:$Q$793</c:f>
              <c:numCache>
                <c:formatCode>0.00%</c:formatCode>
                <c:ptCount val="7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97800"/>
        <c:axId val="470696624"/>
      </c:scatterChart>
      <c:valAx>
        <c:axId val="470697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696624"/>
        <c:crosses val="autoZero"/>
        <c:crossBetween val="midCat"/>
      </c:valAx>
      <c:valAx>
        <c:axId val="470696624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697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</c:numCache>
            </c:numRef>
          </c:xVal>
          <c:yVal>
            <c:numRef>
              <c:f>Balance!$W$2:$W$794</c:f>
              <c:numCache>
                <c:formatCode>0.00%</c:formatCode>
                <c:ptCount val="793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98976"/>
        <c:axId val="470702112"/>
      </c:scatterChart>
      <c:valAx>
        <c:axId val="470698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702112"/>
        <c:crosses val="autoZero"/>
        <c:crossBetween val="midCat"/>
      </c:valAx>
      <c:valAx>
        <c:axId val="470702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698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Balance!$B$2:$B$740</c:f>
              <c:numCache>
                <c:formatCode>m/d/yyyy</c:formatCode>
                <c:ptCount val="73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</c:numCache>
            </c:numRef>
          </c:xVal>
          <c:yVal>
            <c:numRef>
              <c:f>Balance!$Y$2:$Y$794</c:f>
              <c:numCache>
                <c:formatCode>0.00</c:formatCode>
                <c:ptCount val="793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700152"/>
        <c:axId val="470700936"/>
      </c:scatterChart>
      <c:valAx>
        <c:axId val="470700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700936"/>
        <c:crosses val="autoZero"/>
        <c:crossBetween val="midCat"/>
      </c:valAx>
      <c:valAx>
        <c:axId val="470700936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700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Balance!$B$2:$B$788</c:f>
              <c:numCache>
                <c:formatCode>m/d/yyyy</c:formatCode>
                <c:ptCount val="7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</c:numCache>
            </c:numRef>
          </c:xVal>
          <c:yVal>
            <c:numRef>
              <c:f>Balance!$S$2:$S$794</c:f>
              <c:numCache>
                <c:formatCode>0.00%</c:formatCode>
                <c:ptCount val="793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95056"/>
        <c:axId val="470699760"/>
      </c:scatterChart>
      <c:valAx>
        <c:axId val="470695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699760"/>
        <c:crosses val="autoZero"/>
        <c:crossBetween val="midCat"/>
      </c:valAx>
      <c:valAx>
        <c:axId val="4706997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69505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Balance!$B$2:$B$788</c:f>
              <c:numCache>
                <c:formatCode>m/d/yyyy</c:formatCode>
                <c:ptCount val="7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</c:numCache>
            </c:numRef>
          </c:xVal>
          <c:yVal>
            <c:numRef>
              <c:f>Balance!$Z$3:$Z$789</c:f>
              <c:numCache>
                <c:formatCode>0.00</c:formatCode>
                <c:ptCount val="787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99368"/>
        <c:axId val="470695840"/>
      </c:scatterChart>
      <c:valAx>
        <c:axId val="470699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695840"/>
        <c:crosses val="autoZero"/>
        <c:crossBetween val="midCat"/>
      </c:valAx>
      <c:valAx>
        <c:axId val="47069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699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364384"/>
        <c:axId val="471358112"/>
      </c:lineChart>
      <c:dateAx>
        <c:axId val="471364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358112"/>
        <c:crosses val="autoZero"/>
        <c:auto val="1"/>
        <c:lblOffset val="100"/>
        <c:baseTimeUnit val="days"/>
      </c:dateAx>
      <c:valAx>
        <c:axId val="471358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364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365168"/>
        <c:axId val="471362032"/>
      </c:lineChart>
      <c:dateAx>
        <c:axId val="471365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362032"/>
        <c:crosses val="autoZero"/>
        <c:auto val="1"/>
        <c:lblOffset val="100"/>
        <c:baseTimeUnit val="days"/>
      </c:dateAx>
      <c:valAx>
        <c:axId val="47136203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365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361248"/>
        <c:axId val="470698192"/>
      </c:lineChart>
      <c:dateAx>
        <c:axId val="471361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698192"/>
        <c:crosses val="autoZero"/>
        <c:auto val="1"/>
        <c:lblOffset val="100"/>
        <c:baseTimeUnit val="days"/>
      </c:dateAx>
      <c:valAx>
        <c:axId val="47069819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361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6330632"/>
        <c:axId val="696331024"/>
      </c:lineChart>
      <c:dateAx>
        <c:axId val="6963306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331024"/>
        <c:crosses val="autoZero"/>
        <c:auto val="1"/>
        <c:lblOffset val="100"/>
        <c:baseTimeUnit val="days"/>
      </c:dateAx>
      <c:valAx>
        <c:axId val="69633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330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7417800"/>
        <c:axId val="597426032"/>
      </c:lineChart>
      <c:dateAx>
        <c:axId val="5974178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426032"/>
        <c:crosses val="autoZero"/>
        <c:auto val="1"/>
        <c:lblOffset val="100"/>
        <c:baseTimeUnit val="days"/>
      </c:dateAx>
      <c:valAx>
        <c:axId val="597426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417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MRO!$D$100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MRO!$B$101:$B$264</c:f>
              <c:numCache>
                <c:formatCode>m/d/yyyy</c:formatCode>
                <c:ptCount val="164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</c:numCache>
            </c:numRef>
          </c:cat>
          <c:val>
            <c:numRef>
              <c:f>MRO!$D$101:$D$264</c:f>
              <c:numCache>
                <c:formatCode>0.000</c:formatCode>
                <c:ptCount val="164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MRO!$E$100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MRO!$B$101:$B$264</c:f>
              <c:numCache>
                <c:formatCode>m/d/yyyy</c:formatCode>
                <c:ptCount val="164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</c:numCache>
            </c:numRef>
          </c:cat>
          <c:val>
            <c:numRef>
              <c:f>MRO!$E$101:$E$264</c:f>
              <c:numCache>
                <c:formatCode>0.00</c:formatCode>
                <c:ptCount val="164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157768"/>
        <c:axId val="475161296"/>
      </c:lineChart>
      <c:dateAx>
        <c:axId val="4751577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161296"/>
        <c:crosses val="autoZero"/>
        <c:auto val="1"/>
        <c:lblOffset val="100"/>
        <c:baseTimeUnit val="days"/>
      </c:dateAx>
      <c:valAx>
        <c:axId val="475161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157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MRO!$K$100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MRO!$B$101:$B$264</c:f>
              <c:numCache>
                <c:formatCode>m/d/yyyy</c:formatCode>
                <c:ptCount val="164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</c:numCache>
            </c:numRef>
          </c:cat>
          <c:val>
            <c:numRef>
              <c:f>MRO!$K$101:$K$264</c:f>
              <c:numCache>
                <c:formatCode>0.00</c:formatCode>
                <c:ptCount val="164"/>
                <c:pt idx="2">
                  <c:v>13681</c:v>
                </c:pt>
                <c:pt idx="3">
                  <c:v>11921</c:v>
                </c:pt>
                <c:pt idx="4">
                  <c:v>12161</c:v>
                </c:pt>
                <c:pt idx="5">
                  <c:v>13901</c:v>
                </c:pt>
                <c:pt idx="6">
                  <c:v>4183.99</c:v>
                </c:pt>
                <c:pt idx="7">
                  <c:v>12020</c:v>
                </c:pt>
                <c:pt idx="8">
                  <c:v>12890</c:v>
                </c:pt>
                <c:pt idx="9">
                  <c:v>10970</c:v>
                </c:pt>
                <c:pt idx="10">
                  <c:v>8000</c:v>
                </c:pt>
                <c:pt idx="11">
                  <c:v>9439</c:v>
                </c:pt>
                <c:pt idx="12">
                  <c:v>6300</c:v>
                </c:pt>
                <c:pt idx="13">
                  <c:v>3484</c:v>
                </c:pt>
                <c:pt idx="14">
                  <c:v>4380</c:v>
                </c:pt>
                <c:pt idx="15">
                  <c:v>7452</c:v>
                </c:pt>
                <c:pt idx="16">
                  <c:v>9051</c:v>
                </c:pt>
                <c:pt idx="17">
                  <c:v>12159</c:v>
                </c:pt>
                <c:pt idx="18">
                  <c:v>11731</c:v>
                </c:pt>
                <c:pt idx="19">
                  <c:v>6457</c:v>
                </c:pt>
                <c:pt idx="20">
                  <c:v>5245</c:v>
                </c:pt>
                <c:pt idx="21">
                  <c:v>1644</c:v>
                </c:pt>
                <c:pt idx="22">
                  <c:v>1644</c:v>
                </c:pt>
                <c:pt idx="23">
                  <c:v>3559</c:v>
                </c:pt>
                <c:pt idx="24">
                  <c:v>2855</c:v>
                </c:pt>
                <c:pt idx="25">
                  <c:v>2044</c:v>
                </c:pt>
                <c:pt idx="26">
                  <c:v>2098</c:v>
                </c:pt>
                <c:pt idx="27">
                  <c:v>1016</c:v>
                </c:pt>
                <c:pt idx="28">
                  <c:v>3664</c:v>
                </c:pt>
                <c:pt idx="29">
                  <c:v>-3227</c:v>
                </c:pt>
                <c:pt idx="30">
                  <c:v>-6296</c:v>
                </c:pt>
                <c:pt idx="31">
                  <c:v>-15256</c:v>
                </c:pt>
                <c:pt idx="32">
                  <c:v>-12200</c:v>
                </c:pt>
                <c:pt idx="33">
                  <c:v>-11091</c:v>
                </c:pt>
                <c:pt idx="34">
                  <c:v>-9442</c:v>
                </c:pt>
                <c:pt idx="35">
                  <c:v>-6322</c:v>
                </c:pt>
                <c:pt idx="36">
                  <c:v>-22952</c:v>
                </c:pt>
                <c:pt idx="37">
                  <c:v>-19413</c:v>
                </c:pt>
                <c:pt idx="38">
                  <c:v>-17305</c:v>
                </c:pt>
                <c:pt idx="39">
                  <c:v>-20585</c:v>
                </c:pt>
                <c:pt idx="40">
                  <c:v>-18951</c:v>
                </c:pt>
                <c:pt idx="41">
                  <c:v>-12635</c:v>
                </c:pt>
                <c:pt idx="42">
                  <c:v>-6955</c:v>
                </c:pt>
                <c:pt idx="44">
                  <c:v>-6370</c:v>
                </c:pt>
                <c:pt idx="45">
                  <c:v>-2155</c:v>
                </c:pt>
                <c:pt idx="46">
                  <c:v>71</c:v>
                </c:pt>
                <c:pt idx="47">
                  <c:v>-1188</c:v>
                </c:pt>
                <c:pt idx="48">
                  <c:v>341</c:v>
                </c:pt>
                <c:pt idx="49">
                  <c:v>277</c:v>
                </c:pt>
                <c:pt idx="50">
                  <c:v>1429</c:v>
                </c:pt>
                <c:pt idx="51">
                  <c:v>-491</c:v>
                </c:pt>
                <c:pt idx="52">
                  <c:v>7289</c:v>
                </c:pt>
                <c:pt idx="53">
                  <c:v>11549</c:v>
                </c:pt>
                <c:pt idx="54">
                  <c:v>15824</c:v>
                </c:pt>
                <c:pt idx="55">
                  <c:v>12858</c:v>
                </c:pt>
                <c:pt idx="56">
                  <c:v>7308</c:v>
                </c:pt>
                <c:pt idx="57">
                  <c:v>5398</c:v>
                </c:pt>
                <c:pt idx="60">
                  <c:v>9079</c:v>
                </c:pt>
                <c:pt idx="61">
                  <c:v>9964</c:v>
                </c:pt>
                <c:pt idx="62">
                  <c:v>10864</c:v>
                </c:pt>
                <c:pt idx="63">
                  <c:v>11502</c:v>
                </c:pt>
                <c:pt idx="64">
                  <c:v>14803</c:v>
                </c:pt>
                <c:pt idx="65">
                  <c:v>16478</c:v>
                </c:pt>
                <c:pt idx="66">
                  <c:v>18624</c:v>
                </c:pt>
                <c:pt idx="67">
                  <c:v>20244</c:v>
                </c:pt>
                <c:pt idx="68">
                  <c:v>20245</c:v>
                </c:pt>
                <c:pt idx="69">
                  <c:v>21827</c:v>
                </c:pt>
                <c:pt idx="70">
                  <c:v>23190</c:v>
                </c:pt>
                <c:pt idx="71">
                  <c:v>25283</c:v>
                </c:pt>
                <c:pt idx="72">
                  <c:v>24225</c:v>
                </c:pt>
                <c:pt idx="73">
                  <c:v>24961</c:v>
                </c:pt>
                <c:pt idx="74">
                  <c:v>27465</c:v>
                </c:pt>
                <c:pt idx="75">
                  <c:v>28411</c:v>
                </c:pt>
                <c:pt idx="76">
                  <c:v>26011</c:v>
                </c:pt>
                <c:pt idx="77">
                  <c:v>26011</c:v>
                </c:pt>
                <c:pt idx="78">
                  <c:v>27692</c:v>
                </c:pt>
                <c:pt idx="79">
                  <c:v>29291</c:v>
                </c:pt>
                <c:pt idx="80">
                  <c:v>30285</c:v>
                </c:pt>
                <c:pt idx="81">
                  <c:v>28105</c:v>
                </c:pt>
                <c:pt idx="82">
                  <c:v>28106</c:v>
                </c:pt>
                <c:pt idx="83">
                  <c:v>25451</c:v>
                </c:pt>
                <c:pt idx="84">
                  <c:v>22847</c:v>
                </c:pt>
                <c:pt idx="85">
                  <c:v>13547</c:v>
                </c:pt>
                <c:pt idx="89">
                  <c:v>12882</c:v>
                </c:pt>
                <c:pt idx="90">
                  <c:v>17117</c:v>
                </c:pt>
                <c:pt idx="91">
                  <c:v>17807</c:v>
                </c:pt>
                <c:pt idx="92">
                  <c:v>14407</c:v>
                </c:pt>
                <c:pt idx="93">
                  <c:v>17321</c:v>
                </c:pt>
                <c:pt idx="94">
                  <c:v>15521</c:v>
                </c:pt>
                <c:pt idx="95">
                  <c:v>12591</c:v>
                </c:pt>
                <c:pt idx="96">
                  <c:v>14031</c:v>
                </c:pt>
                <c:pt idx="97">
                  <c:v>7819</c:v>
                </c:pt>
                <c:pt idx="98">
                  <c:v>11083</c:v>
                </c:pt>
                <c:pt idx="99">
                  <c:v>12299</c:v>
                </c:pt>
                <c:pt idx="100">
                  <c:v>10013</c:v>
                </c:pt>
                <c:pt idx="101">
                  <c:v>17438</c:v>
                </c:pt>
                <c:pt idx="102">
                  <c:v>19438</c:v>
                </c:pt>
                <c:pt idx="105">
                  <c:v>16525</c:v>
                </c:pt>
                <c:pt idx="106">
                  <c:v>19075</c:v>
                </c:pt>
                <c:pt idx="107">
                  <c:v>16825</c:v>
                </c:pt>
                <c:pt idx="108">
                  <c:v>14299</c:v>
                </c:pt>
                <c:pt idx="109">
                  <c:v>18478</c:v>
                </c:pt>
                <c:pt idx="110">
                  <c:v>18477</c:v>
                </c:pt>
                <c:pt idx="111">
                  <c:v>15767</c:v>
                </c:pt>
                <c:pt idx="112">
                  <c:v>15831</c:v>
                </c:pt>
                <c:pt idx="113">
                  <c:v>18019</c:v>
                </c:pt>
                <c:pt idx="114">
                  <c:v>21859</c:v>
                </c:pt>
                <c:pt idx="115">
                  <c:v>20339</c:v>
                </c:pt>
                <c:pt idx="116">
                  <c:v>18931</c:v>
                </c:pt>
                <c:pt idx="117">
                  <c:v>23474</c:v>
                </c:pt>
                <c:pt idx="118">
                  <c:v>28154</c:v>
                </c:pt>
                <c:pt idx="119">
                  <c:v>29075</c:v>
                </c:pt>
                <c:pt idx="120">
                  <c:v>27651</c:v>
                </c:pt>
                <c:pt idx="121">
                  <c:v>28301</c:v>
                </c:pt>
                <c:pt idx="122">
                  <c:v>32986</c:v>
                </c:pt>
                <c:pt idx="123">
                  <c:v>34045</c:v>
                </c:pt>
                <c:pt idx="124">
                  <c:v>34414</c:v>
                </c:pt>
                <c:pt idx="125">
                  <c:v>38800</c:v>
                </c:pt>
                <c:pt idx="126">
                  <c:v>39274</c:v>
                </c:pt>
                <c:pt idx="127">
                  <c:v>40213</c:v>
                </c:pt>
                <c:pt idx="128">
                  <c:v>38393</c:v>
                </c:pt>
                <c:pt idx="129">
                  <c:v>40793</c:v>
                </c:pt>
                <c:pt idx="130">
                  <c:v>40656</c:v>
                </c:pt>
                <c:pt idx="131">
                  <c:v>37972</c:v>
                </c:pt>
                <c:pt idx="132">
                  <c:v>37978</c:v>
                </c:pt>
                <c:pt idx="133">
                  <c:v>38913</c:v>
                </c:pt>
                <c:pt idx="134">
                  <c:v>40357</c:v>
                </c:pt>
                <c:pt idx="135">
                  <c:v>38279</c:v>
                </c:pt>
                <c:pt idx="136">
                  <c:v>39003</c:v>
                </c:pt>
                <c:pt idx="137">
                  <c:v>41027</c:v>
                </c:pt>
                <c:pt idx="138">
                  <c:v>39795</c:v>
                </c:pt>
                <c:pt idx="139">
                  <c:v>40659</c:v>
                </c:pt>
                <c:pt idx="140">
                  <c:v>40419</c:v>
                </c:pt>
                <c:pt idx="141">
                  <c:v>40028</c:v>
                </c:pt>
                <c:pt idx="142">
                  <c:v>40952</c:v>
                </c:pt>
                <c:pt idx="143">
                  <c:v>42264</c:v>
                </c:pt>
                <c:pt idx="144">
                  <c:v>41299</c:v>
                </c:pt>
                <c:pt idx="145">
                  <c:v>38334</c:v>
                </c:pt>
                <c:pt idx="146">
                  <c:v>38284</c:v>
                </c:pt>
                <c:pt idx="147">
                  <c:v>39994</c:v>
                </c:pt>
                <c:pt idx="148">
                  <c:v>40306</c:v>
                </c:pt>
                <c:pt idx="149">
                  <c:v>41142</c:v>
                </c:pt>
                <c:pt idx="150">
                  <c:v>41782</c:v>
                </c:pt>
                <c:pt idx="151">
                  <c:v>40962</c:v>
                </c:pt>
                <c:pt idx="152">
                  <c:v>41564</c:v>
                </c:pt>
                <c:pt idx="153">
                  <c:v>41676</c:v>
                </c:pt>
                <c:pt idx="154">
                  <c:v>40882</c:v>
                </c:pt>
                <c:pt idx="155">
                  <c:v>41430</c:v>
                </c:pt>
                <c:pt idx="156">
                  <c:v>39989</c:v>
                </c:pt>
                <c:pt idx="157">
                  <c:v>40541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5162472"/>
        <c:axId val="475162864"/>
      </c:lineChart>
      <c:dateAx>
        <c:axId val="4751624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162864"/>
        <c:crosses val="autoZero"/>
        <c:auto val="1"/>
        <c:lblOffset val="100"/>
        <c:baseTimeUnit val="days"/>
      </c:dateAx>
      <c:valAx>
        <c:axId val="47516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162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XRAY!$B$25:$B$47</c:f>
              <c:numCache>
                <c:formatCode>d\-mmm</c:formatCode>
                <c:ptCount val="23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</c:numCache>
            </c:numRef>
          </c:cat>
          <c:val>
            <c:numRef>
              <c:f>XRAY!$D$25:$D$47</c:f>
              <c:numCache>
                <c:formatCode>0.00</c:formatCode>
                <c:ptCount val="23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XRAY!$B$25:$B$47</c:f>
              <c:numCache>
                <c:formatCode>d\-mmm</c:formatCode>
                <c:ptCount val="23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</c:numCache>
            </c:numRef>
          </c:cat>
          <c:val>
            <c:numRef>
              <c:f>XRAY!$E$25:$E$47</c:f>
              <c:numCache>
                <c:formatCode>0.00</c:formatCode>
                <c:ptCount val="23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163648"/>
        <c:axId val="475164040"/>
      </c:lineChart>
      <c:dateAx>
        <c:axId val="4751636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164040"/>
        <c:crosses val="autoZero"/>
        <c:auto val="1"/>
        <c:lblOffset val="100"/>
        <c:baseTimeUnit val="days"/>
      </c:dateAx>
      <c:valAx>
        <c:axId val="47516404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163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XRAY!$B$25:$B$47</c:f>
              <c:numCache>
                <c:formatCode>d\-mmm</c:formatCode>
                <c:ptCount val="23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</c:numCache>
            </c:numRef>
          </c:cat>
          <c:val>
            <c:numRef>
              <c:f>XRAY!$F$25:$F$47</c:f>
              <c:numCache>
                <c:formatCode>0.00</c:formatCode>
                <c:ptCount val="23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156984"/>
        <c:axId val="475157376"/>
      </c:lineChart>
      <c:dateAx>
        <c:axId val="4751569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157376"/>
        <c:crosses val="autoZero"/>
        <c:auto val="1"/>
        <c:lblOffset val="100"/>
        <c:baseTimeUnit val="days"/>
      </c:dateAx>
      <c:valAx>
        <c:axId val="475157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156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KR!$B$63:$B$168</c:f>
              <c:strCache>
                <c:ptCount val="100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  <c:pt idx="91">
                  <c:v>27-Jun</c:v>
                </c:pt>
                <c:pt idx="92">
                  <c:v>4-Jul</c:v>
                </c:pt>
                <c:pt idx="93">
                  <c:v>7-Jul</c:v>
                </c:pt>
                <c:pt idx="94">
                  <c:v>15-Jul</c:v>
                </c:pt>
                <c:pt idx="95">
                  <c:v>29-Jul</c:v>
                </c:pt>
                <c:pt idx="96">
                  <c:v>31-Jul</c:v>
                </c:pt>
                <c:pt idx="97">
                  <c:v>4-Aug</c:v>
                </c:pt>
                <c:pt idx="98">
                  <c:v>8-Aug</c:v>
                </c:pt>
                <c:pt idx="99">
                  <c:v>9-Aug</c:v>
                </c:pt>
              </c:strCache>
            </c:strRef>
          </c:cat>
          <c:val>
            <c:numRef>
              <c:f>KR!$E$64:$E$168</c:f>
              <c:numCache>
                <c:formatCode>0.00</c:formatCode>
                <c:ptCount val="105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KR!$B$63:$B$168</c:f>
              <c:strCache>
                <c:ptCount val="100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  <c:pt idx="91">
                  <c:v>27-Jun</c:v>
                </c:pt>
                <c:pt idx="92">
                  <c:v>4-Jul</c:v>
                </c:pt>
                <c:pt idx="93">
                  <c:v>7-Jul</c:v>
                </c:pt>
                <c:pt idx="94">
                  <c:v>15-Jul</c:v>
                </c:pt>
                <c:pt idx="95">
                  <c:v>29-Jul</c:v>
                </c:pt>
                <c:pt idx="96">
                  <c:v>31-Jul</c:v>
                </c:pt>
                <c:pt idx="97">
                  <c:v>4-Aug</c:v>
                </c:pt>
                <c:pt idx="98">
                  <c:v>8-Aug</c:v>
                </c:pt>
                <c:pt idx="99">
                  <c:v>9-Aug</c:v>
                </c:pt>
              </c:strCache>
            </c:strRef>
          </c:cat>
          <c:val>
            <c:numRef>
              <c:f>KR!$D$64:$D$168</c:f>
              <c:numCache>
                <c:formatCode>0.00</c:formatCode>
                <c:ptCount val="105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160120"/>
        <c:axId val="475162080"/>
      </c:lineChart>
      <c:catAx>
        <c:axId val="475160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162080"/>
        <c:crosses val="autoZero"/>
        <c:auto val="1"/>
        <c:lblAlgn val="ctr"/>
        <c:lblOffset val="100"/>
        <c:noMultiLvlLbl val="0"/>
      </c:catAx>
      <c:valAx>
        <c:axId val="475162080"/>
        <c:scaling>
          <c:orientation val="minMax"/>
          <c:max val="36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160120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KR!$K$63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KR!$B$63:$B$168</c:f>
              <c:strCache>
                <c:ptCount val="100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  <c:pt idx="91">
                  <c:v>27-Jun</c:v>
                </c:pt>
                <c:pt idx="92">
                  <c:v>4-Jul</c:v>
                </c:pt>
                <c:pt idx="93">
                  <c:v>7-Jul</c:v>
                </c:pt>
                <c:pt idx="94">
                  <c:v>15-Jul</c:v>
                </c:pt>
                <c:pt idx="95">
                  <c:v>29-Jul</c:v>
                </c:pt>
                <c:pt idx="96">
                  <c:v>31-Jul</c:v>
                </c:pt>
                <c:pt idx="97">
                  <c:v>4-Aug</c:v>
                </c:pt>
                <c:pt idx="98">
                  <c:v>8-Aug</c:v>
                </c:pt>
                <c:pt idx="99">
                  <c:v>9-Aug</c:v>
                </c:pt>
              </c:strCache>
            </c:strRef>
          </c:cat>
          <c:val>
            <c:numRef>
              <c:f>KR!$K$64:$K$168</c:f>
              <c:numCache>
                <c:formatCode>0.00</c:formatCode>
                <c:ptCount val="105"/>
                <c:pt idx="10">
                  <c:v>-1739</c:v>
                </c:pt>
                <c:pt idx="11">
                  <c:v>-3059</c:v>
                </c:pt>
                <c:pt idx="12">
                  <c:v>-2785</c:v>
                </c:pt>
                <c:pt idx="13">
                  <c:v>-2395</c:v>
                </c:pt>
                <c:pt idx="14">
                  <c:v>-2016</c:v>
                </c:pt>
                <c:pt idx="15">
                  <c:v>-2196</c:v>
                </c:pt>
                <c:pt idx="17">
                  <c:v>-13175</c:v>
                </c:pt>
                <c:pt idx="18">
                  <c:v>-11235</c:v>
                </c:pt>
                <c:pt idx="19">
                  <c:v>-9196</c:v>
                </c:pt>
                <c:pt idx="20">
                  <c:v>-11435</c:v>
                </c:pt>
                <c:pt idx="21">
                  <c:v>-12815</c:v>
                </c:pt>
                <c:pt idx="22">
                  <c:v>-14974</c:v>
                </c:pt>
                <c:pt idx="23">
                  <c:v>-14836</c:v>
                </c:pt>
                <c:pt idx="24">
                  <c:v>-14267</c:v>
                </c:pt>
                <c:pt idx="25">
                  <c:v>-16713</c:v>
                </c:pt>
                <c:pt idx="26">
                  <c:v>-15957</c:v>
                </c:pt>
                <c:pt idx="27">
                  <c:v>-14477</c:v>
                </c:pt>
                <c:pt idx="28">
                  <c:v>-14377</c:v>
                </c:pt>
                <c:pt idx="29">
                  <c:v>-12917</c:v>
                </c:pt>
                <c:pt idx="30">
                  <c:v>-10423</c:v>
                </c:pt>
                <c:pt idx="31">
                  <c:v>-4969</c:v>
                </c:pt>
                <c:pt idx="32">
                  <c:v>-3881</c:v>
                </c:pt>
                <c:pt idx="33">
                  <c:v>-5887</c:v>
                </c:pt>
                <c:pt idx="34">
                  <c:v>-4271</c:v>
                </c:pt>
                <c:pt idx="35">
                  <c:v>-3679</c:v>
                </c:pt>
                <c:pt idx="36">
                  <c:v>-3274</c:v>
                </c:pt>
                <c:pt idx="37">
                  <c:v>-1977</c:v>
                </c:pt>
                <c:pt idx="38">
                  <c:v>-2543</c:v>
                </c:pt>
                <c:pt idx="39">
                  <c:v>-1865</c:v>
                </c:pt>
                <c:pt idx="40">
                  <c:v>-2450</c:v>
                </c:pt>
                <c:pt idx="41">
                  <c:v>-3426</c:v>
                </c:pt>
                <c:pt idx="42">
                  <c:v>-3981</c:v>
                </c:pt>
                <c:pt idx="43">
                  <c:v>-2938</c:v>
                </c:pt>
                <c:pt idx="44">
                  <c:v>-2093</c:v>
                </c:pt>
                <c:pt idx="45">
                  <c:v>-1830</c:v>
                </c:pt>
                <c:pt idx="46">
                  <c:v>-1141</c:v>
                </c:pt>
                <c:pt idx="47">
                  <c:v>247.38</c:v>
                </c:pt>
                <c:pt idx="48">
                  <c:v>262</c:v>
                </c:pt>
                <c:pt idx="49">
                  <c:v>-154</c:v>
                </c:pt>
                <c:pt idx="50">
                  <c:v>1153</c:v>
                </c:pt>
                <c:pt idx="51">
                  <c:v>1757</c:v>
                </c:pt>
                <c:pt idx="52">
                  <c:v>1253</c:v>
                </c:pt>
                <c:pt idx="53">
                  <c:v>78</c:v>
                </c:pt>
                <c:pt idx="54">
                  <c:v>144</c:v>
                </c:pt>
                <c:pt idx="55">
                  <c:v>-2556</c:v>
                </c:pt>
                <c:pt idx="56">
                  <c:v>-360</c:v>
                </c:pt>
                <c:pt idx="57">
                  <c:v>-2700</c:v>
                </c:pt>
                <c:pt idx="58">
                  <c:v>-1539</c:v>
                </c:pt>
                <c:pt idx="59">
                  <c:v>-4653</c:v>
                </c:pt>
                <c:pt idx="62">
                  <c:v>-11202</c:v>
                </c:pt>
                <c:pt idx="63">
                  <c:v>-8302</c:v>
                </c:pt>
                <c:pt idx="64">
                  <c:v>-9873</c:v>
                </c:pt>
                <c:pt idx="65">
                  <c:v>-7898</c:v>
                </c:pt>
                <c:pt idx="66">
                  <c:v>-7507</c:v>
                </c:pt>
                <c:pt idx="67">
                  <c:v>-8282</c:v>
                </c:pt>
                <c:pt idx="68">
                  <c:v>-6207</c:v>
                </c:pt>
                <c:pt idx="69">
                  <c:v>-7007</c:v>
                </c:pt>
                <c:pt idx="70">
                  <c:v>-5257</c:v>
                </c:pt>
                <c:pt idx="71">
                  <c:v>-6457</c:v>
                </c:pt>
                <c:pt idx="72">
                  <c:v>-5182</c:v>
                </c:pt>
                <c:pt idx="73">
                  <c:v>-3934</c:v>
                </c:pt>
                <c:pt idx="75">
                  <c:v>-4162</c:v>
                </c:pt>
                <c:pt idx="76">
                  <c:v>-4860</c:v>
                </c:pt>
                <c:pt idx="77">
                  <c:v>-6100</c:v>
                </c:pt>
                <c:pt idx="78">
                  <c:v>-6100</c:v>
                </c:pt>
                <c:pt idx="79">
                  <c:v>-3636</c:v>
                </c:pt>
                <c:pt idx="80">
                  <c:v>-4456</c:v>
                </c:pt>
                <c:pt idx="81">
                  <c:v>-4696</c:v>
                </c:pt>
                <c:pt idx="82">
                  <c:v>-5096</c:v>
                </c:pt>
                <c:pt idx="83">
                  <c:v>-5176</c:v>
                </c:pt>
                <c:pt idx="84">
                  <c:v>-3108</c:v>
                </c:pt>
                <c:pt idx="85">
                  <c:v>-1723</c:v>
                </c:pt>
                <c:pt idx="86">
                  <c:v>-1896</c:v>
                </c:pt>
                <c:pt idx="87">
                  <c:v>-1635</c:v>
                </c:pt>
                <c:pt idx="88">
                  <c:v>2744</c:v>
                </c:pt>
                <c:pt idx="89">
                  <c:v>4709</c:v>
                </c:pt>
                <c:pt idx="90">
                  <c:v>3689</c:v>
                </c:pt>
                <c:pt idx="91">
                  <c:v>3224</c:v>
                </c:pt>
                <c:pt idx="92">
                  <c:v>3854</c:v>
                </c:pt>
                <c:pt idx="93">
                  <c:v>2249</c:v>
                </c:pt>
                <c:pt idx="94">
                  <c:v>3224</c:v>
                </c:pt>
                <c:pt idx="95">
                  <c:v>3674</c:v>
                </c:pt>
                <c:pt idx="96">
                  <c:v>5069</c:v>
                </c:pt>
                <c:pt idx="97">
                  <c:v>5890.62</c:v>
                </c:pt>
                <c:pt idx="98">
                  <c:v>5873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235640"/>
        <c:axId val="487239560"/>
      </c:lineChart>
      <c:catAx>
        <c:axId val="487235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239560"/>
        <c:crosses val="autoZero"/>
        <c:auto val="1"/>
        <c:lblAlgn val="ctr"/>
        <c:lblOffset val="100"/>
        <c:noMultiLvlLbl val="0"/>
      </c:catAx>
      <c:valAx>
        <c:axId val="487239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235640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ULTA!$B$36:$B$87</c:f>
              <c:numCache>
                <c:formatCode>d\-mmm</c:formatCode>
                <c:ptCount val="52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</c:numCache>
            </c:numRef>
          </c:cat>
          <c:val>
            <c:numRef>
              <c:f>ULTA!$E$36:$E$87</c:f>
              <c:numCache>
                <c:formatCode>0.00</c:formatCode>
                <c:ptCount val="52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ULTA!$B$36:$B$87</c:f>
              <c:numCache>
                <c:formatCode>d\-mmm</c:formatCode>
                <c:ptCount val="52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</c:numCache>
            </c:numRef>
          </c:cat>
          <c:val>
            <c:numRef>
              <c:f>ULTA!$D$36:$D$87</c:f>
              <c:numCache>
                <c:formatCode>0.00</c:formatCode>
                <c:ptCount val="52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1783424"/>
        <c:axId val="501783032"/>
      </c:lineChart>
      <c:dateAx>
        <c:axId val="5017834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783032"/>
        <c:crosses val="autoZero"/>
        <c:auto val="1"/>
        <c:lblOffset val="100"/>
        <c:baseTimeUnit val="days"/>
      </c:dateAx>
      <c:valAx>
        <c:axId val="501783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783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ULTA!$B$36:$B$87</c:f>
              <c:numCache>
                <c:formatCode>d\-mmm</c:formatCode>
                <c:ptCount val="52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</c:numCache>
            </c:numRef>
          </c:cat>
          <c:val>
            <c:numRef>
              <c:f>ULTA!$J$36:$J$87</c:f>
              <c:numCache>
                <c:formatCode>0.00</c:formatCode>
                <c:ptCount val="52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2645112"/>
        <c:axId val="692645504"/>
      </c:lineChart>
      <c:dateAx>
        <c:axId val="6926451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645504"/>
        <c:crosses val="autoZero"/>
        <c:auto val="1"/>
        <c:lblOffset val="100"/>
        <c:baseTimeUnit val="days"/>
      </c:dateAx>
      <c:valAx>
        <c:axId val="69264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645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238384"/>
        <c:axId val="487238776"/>
      </c:lineChart>
      <c:dateAx>
        <c:axId val="4872383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238776"/>
        <c:crosses val="autoZero"/>
        <c:auto val="1"/>
        <c:lblOffset val="100"/>
        <c:baseTimeUnit val="days"/>
      </c:dateAx>
      <c:valAx>
        <c:axId val="487238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238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56.65</c:v>
                </c:pt>
                <c:pt idx="18">
                  <c:v>56.65</c:v>
                </c:pt>
                <c:pt idx="19">
                  <c:v>56.65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239952"/>
        <c:axId val="487237992"/>
      </c:lineChart>
      <c:dateAx>
        <c:axId val="4872399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237992"/>
        <c:crosses val="autoZero"/>
        <c:auto val="1"/>
        <c:lblOffset val="100"/>
        <c:baseTimeUnit val="days"/>
      </c:dateAx>
      <c:valAx>
        <c:axId val="487237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239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</c:numCache>
            </c:numRef>
          </c:cat>
          <c:val>
            <c:numRef>
              <c:f>MO!$F$25:$F$61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615.99999999999966</c:v>
                </c:pt>
                <c:pt idx="18">
                  <c:v>392.00000000000017</c:v>
                </c:pt>
                <c:pt idx="19">
                  <c:v>479.99999999999972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240344"/>
        <c:axId val="487236424"/>
      </c:lineChart>
      <c:dateAx>
        <c:axId val="4872403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236424"/>
        <c:crosses val="autoZero"/>
        <c:auto val="1"/>
        <c:lblOffset val="100"/>
        <c:baseTimeUnit val="days"/>
      </c:dateAx>
      <c:valAx>
        <c:axId val="487236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240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</c:numCache>
            </c:numRef>
          </c:cat>
          <c:val>
            <c:numRef>
              <c:f>T!$E$25:$E$49</c:f>
              <c:numCache>
                <c:formatCode>0.00</c:formatCode>
                <c:ptCount val="25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</c:numCache>
            </c:numRef>
          </c:cat>
          <c:val>
            <c:numRef>
              <c:f>T!$D$25:$D$63</c:f>
              <c:numCache>
                <c:formatCode>0.00</c:formatCode>
                <c:ptCount val="39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241128"/>
        <c:axId val="487242696"/>
      </c:lineChart>
      <c:dateAx>
        <c:axId val="4872411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242696"/>
        <c:crosses val="autoZero"/>
        <c:auto val="1"/>
        <c:lblOffset val="100"/>
        <c:baseTimeUnit val="days"/>
      </c:dateAx>
      <c:valAx>
        <c:axId val="487242696"/>
        <c:scaling>
          <c:orientation val="minMax"/>
          <c:max val="37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241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</c:numCache>
            </c:numRef>
          </c:cat>
          <c:val>
            <c:numRef>
              <c:f>T!$F$25:$F$63</c:f>
              <c:numCache>
                <c:formatCode>0.00</c:formatCode>
                <c:ptCount val="39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158944"/>
        <c:axId val="487487736"/>
      </c:lineChart>
      <c:dateAx>
        <c:axId val="4751589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487736"/>
        <c:crosses val="autoZero"/>
        <c:auto val="1"/>
        <c:lblOffset val="100"/>
        <c:baseTimeUnit val="days"/>
      </c:dateAx>
      <c:valAx>
        <c:axId val="487487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158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488912"/>
        <c:axId val="487482640"/>
      </c:lineChart>
      <c:dateAx>
        <c:axId val="487488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482640"/>
        <c:crosses val="autoZero"/>
        <c:auto val="1"/>
        <c:lblOffset val="100"/>
        <c:baseTimeUnit val="days"/>
      </c:dateAx>
      <c:valAx>
        <c:axId val="48748264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488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</c:numCache>
            </c:numRef>
          </c:cat>
          <c:val>
            <c:numRef>
              <c:f>WBA!$E$31:$E$88</c:f>
              <c:numCache>
                <c:formatCode>0.00</c:formatCode>
                <c:ptCount val="58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</c:numCache>
            </c:numRef>
          </c:cat>
          <c:val>
            <c:numRef>
              <c:f>WBA!$D$31:$D$88</c:f>
              <c:numCache>
                <c:formatCode>0.00</c:formatCode>
                <c:ptCount val="58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484600"/>
        <c:axId val="487483424"/>
      </c:lineChart>
      <c:dateAx>
        <c:axId val="4874846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483424"/>
        <c:crosses val="autoZero"/>
        <c:auto val="1"/>
        <c:lblOffset val="100"/>
        <c:baseTimeUnit val="days"/>
      </c:dateAx>
      <c:valAx>
        <c:axId val="48748342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484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</c:numCache>
            </c:numRef>
          </c:cat>
          <c:val>
            <c:numRef>
              <c:f>WBA!$F$31:$F$88</c:f>
              <c:numCache>
                <c:formatCode>0.00</c:formatCode>
                <c:ptCount val="58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485384"/>
        <c:axId val="487485776"/>
      </c:lineChart>
      <c:dateAx>
        <c:axId val="4874853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485776"/>
        <c:crosses val="autoZero"/>
        <c:auto val="1"/>
        <c:lblOffset val="100"/>
        <c:baseTimeUnit val="days"/>
      </c:dateAx>
      <c:valAx>
        <c:axId val="487485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485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</c:numCache>
            </c:numRef>
          </c:cat>
          <c:val>
            <c:numRef>
              <c:f>KHC!$D$25:$D$58</c:f>
              <c:numCache>
                <c:formatCode>0.00</c:formatCode>
                <c:ptCount val="34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</c:numCache>
            </c:numRef>
          </c:cat>
          <c:val>
            <c:numRef>
              <c:f>KHC!$E$25:$E$58</c:f>
              <c:numCache>
                <c:formatCode>0.00</c:formatCode>
                <c:ptCount val="34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486952"/>
        <c:axId val="488431872"/>
      </c:lineChart>
      <c:dateAx>
        <c:axId val="4874869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431872"/>
        <c:crosses val="autoZero"/>
        <c:auto val="1"/>
        <c:lblOffset val="100"/>
        <c:baseTimeUnit val="days"/>
      </c:dateAx>
      <c:valAx>
        <c:axId val="48843187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486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434224"/>
        <c:axId val="488433832"/>
      </c:lineChart>
      <c:dateAx>
        <c:axId val="4884342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433832"/>
        <c:crosses val="autoZero"/>
        <c:auto val="1"/>
        <c:lblOffset val="100"/>
        <c:baseTimeUnit val="days"/>
      </c:dateAx>
      <c:valAx>
        <c:axId val="488433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434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</c:numCache>
            </c:numRef>
          </c:cat>
          <c:val>
            <c:numRef>
              <c:f>AYI!$E$25:$E$55</c:f>
              <c:numCache>
                <c:formatCode>0.00</c:formatCode>
                <c:ptCount val="31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</c:numCache>
            </c:numRef>
          </c:cat>
          <c:val>
            <c:numRef>
              <c:f>AYI!$D$25:$D$55</c:f>
              <c:numCache>
                <c:formatCode>0.00</c:formatCode>
                <c:ptCount val="31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8437752"/>
        <c:axId val="488433048"/>
      </c:lineChart>
      <c:dateAx>
        <c:axId val="4884377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433048"/>
        <c:crosses val="autoZero"/>
        <c:auto val="1"/>
        <c:lblOffset val="100"/>
        <c:baseTimeUnit val="days"/>
      </c:dateAx>
      <c:valAx>
        <c:axId val="488433048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437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MOS!$E$38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MOS!$B$39:$B$120</c:f>
              <c:numCache>
                <c:formatCode>d\-mmm</c:formatCode>
                <c:ptCount val="82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</c:numCache>
            </c:numRef>
          </c:cat>
          <c:val>
            <c:numRef>
              <c:f>MOS!$E$39:$E$120</c:f>
              <c:numCache>
                <c:formatCode>0.00</c:formatCode>
                <c:ptCount val="82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MOS!$D$38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MOS!$B$39:$B$120</c:f>
              <c:numCache>
                <c:formatCode>d\-mmm</c:formatCode>
                <c:ptCount val="82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</c:numCache>
            </c:numRef>
          </c:cat>
          <c:val>
            <c:numRef>
              <c:f>MOS!$D$39:$D$120</c:f>
              <c:numCache>
                <c:formatCode>0.00</c:formatCode>
                <c:ptCount val="82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435400"/>
        <c:axId val="488432656"/>
      </c:lineChart>
      <c:dateAx>
        <c:axId val="4884354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432656"/>
        <c:crosses val="autoZero"/>
        <c:auto val="1"/>
        <c:lblOffset val="100"/>
        <c:baseTimeUnit val="days"/>
      </c:dateAx>
      <c:valAx>
        <c:axId val="488432656"/>
        <c:scaling>
          <c:orientation val="minMax"/>
          <c:max val="35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435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MOS!$K$38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MOS!$B$39:$B$120</c:f>
              <c:numCache>
                <c:formatCode>d\-mmm</c:formatCode>
                <c:ptCount val="82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</c:numCache>
            </c:numRef>
          </c:cat>
          <c:val>
            <c:numRef>
              <c:f>MOS!$K$39:$K$120</c:f>
              <c:numCache>
                <c:formatCode>0.00</c:formatCode>
                <c:ptCount val="82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5473</c:v>
                </c:pt>
                <c:pt idx="66">
                  <c:v>5693</c:v>
                </c:pt>
                <c:pt idx="67">
                  <c:v>5361</c:v>
                </c:pt>
                <c:pt idx="68">
                  <c:v>5361</c:v>
                </c:pt>
                <c:pt idx="69">
                  <c:v>5696</c:v>
                </c:pt>
                <c:pt idx="70">
                  <c:v>5828</c:v>
                </c:pt>
                <c:pt idx="71">
                  <c:v>5882</c:v>
                </c:pt>
                <c:pt idx="72">
                  <c:v>6466</c:v>
                </c:pt>
                <c:pt idx="73">
                  <c:v>7038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435792"/>
        <c:axId val="488433440"/>
      </c:lineChart>
      <c:dateAx>
        <c:axId val="4884357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433440"/>
        <c:crosses val="autoZero"/>
        <c:auto val="1"/>
        <c:lblOffset val="100"/>
        <c:baseTimeUnit val="days"/>
      </c:dateAx>
      <c:valAx>
        <c:axId val="48843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435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032720"/>
        <c:axId val="502033112"/>
      </c:lineChart>
      <c:catAx>
        <c:axId val="5020327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033112"/>
        <c:crosses val="autoZero"/>
        <c:auto val="1"/>
        <c:lblAlgn val="ctr"/>
        <c:lblOffset val="100"/>
        <c:noMultiLvlLbl val="0"/>
      </c:catAx>
      <c:valAx>
        <c:axId val="5020331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032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PDCO!$B$31:$B$75</c:f>
              <c:numCache>
                <c:formatCode>d\-mmm</c:formatCode>
                <c:ptCount val="4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</c:numCache>
            </c:numRef>
          </c:xVal>
          <c:yVal>
            <c:numRef>
              <c:f>PDCO!$E$31:$E$75</c:f>
              <c:numCache>
                <c:formatCode>0.00</c:formatCode>
                <c:ptCount val="45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PDCO!$B$31:$B$75</c:f>
              <c:numCache>
                <c:formatCode>d\-mmm</c:formatCode>
                <c:ptCount val="4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</c:numCache>
            </c:numRef>
          </c:xVal>
          <c:yVal>
            <c:numRef>
              <c:f>PDCO!$D$31:$D$75</c:f>
              <c:numCache>
                <c:formatCode>0.00</c:formatCode>
                <c:ptCount val="45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2035856"/>
        <c:axId val="502032328"/>
      </c:scatterChart>
      <c:valAx>
        <c:axId val="502035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032328"/>
        <c:crosses val="autoZero"/>
        <c:crossBetween val="midCat"/>
      </c:valAx>
      <c:valAx>
        <c:axId val="50203232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035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PDCO!$B$31:$B$75</c:f>
              <c:numCache>
                <c:formatCode>d\-mmm</c:formatCode>
                <c:ptCount val="4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</c:numCache>
            </c:numRef>
          </c:xVal>
          <c:yVal>
            <c:numRef>
              <c:f>PDCO!$F$31:$F$75</c:f>
              <c:numCache>
                <c:formatCode>0.00</c:formatCode>
                <c:ptCount val="45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2033504"/>
        <c:axId val="502037816"/>
      </c:scatterChart>
      <c:valAx>
        <c:axId val="502033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037816"/>
        <c:crosses val="autoZero"/>
        <c:crossBetween val="midCat"/>
      </c:valAx>
      <c:valAx>
        <c:axId val="502037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033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037032"/>
        <c:axId val="502036248"/>
      </c:lineChart>
      <c:catAx>
        <c:axId val="5020370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036248"/>
        <c:crosses val="autoZero"/>
        <c:auto val="1"/>
        <c:lblAlgn val="ctr"/>
        <c:lblOffset val="100"/>
        <c:noMultiLvlLbl val="0"/>
      </c:catAx>
      <c:valAx>
        <c:axId val="50203624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037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2987264"/>
        <c:axId val="512987656"/>
      </c:lineChart>
      <c:dateAx>
        <c:axId val="512987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987656"/>
        <c:crosses val="autoZero"/>
        <c:auto val="1"/>
        <c:lblOffset val="100"/>
        <c:baseTimeUnit val="days"/>
      </c:dateAx>
      <c:valAx>
        <c:axId val="51298765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987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2988832"/>
        <c:axId val="501390472"/>
      </c:lineChart>
      <c:dateAx>
        <c:axId val="512988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390472"/>
        <c:crosses val="autoZero"/>
        <c:auto val="1"/>
        <c:lblOffset val="100"/>
        <c:baseTimeUnit val="days"/>
      </c:dateAx>
      <c:valAx>
        <c:axId val="50139047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988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389688"/>
        <c:axId val="501389296"/>
      </c:lineChart>
      <c:dateAx>
        <c:axId val="501389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389296"/>
        <c:crosses val="autoZero"/>
        <c:auto val="1"/>
        <c:lblOffset val="100"/>
        <c:baseTimeUnit val="days"/>
      </c:dateAx>
      <c:valAx>
        <c:axId val="50138929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389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NWL!$E$34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NWL!$B$35:$B$92</c:f>
              <c:numCache>
                <c:formatCode>d\-mmm</c:formatCode>
                <c:ptCount val="58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</c:numCache>
            </c:numRef>
          </c:cat>
          <c:val>
            <c:numRef>
              <c:f>NWL!$E$35:$E$92</c:f>
              <c:numCache>
                <c:formatCode>0.00</c:formatCode>
                <c:ptCount val="58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NWL!$D$34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NWL!$B$35:$B$92</c:f>
              <c:numCache>
                <c:formatCode>d\-mmm</c:formatCode>
                <c:ptCount val="58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</c:numCache>
            </c:numRef>
          </c:cat>
          <c:val>
            <c:numRef>
              <c:f>NWL!$D$35:$D$92</c:f>
              <c:numCache>
                <c:formatCode>0.00</c:formatCode>
                <c:ptCount val="58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1393608"/>
        <c:axId val="501387728"/>
      </c:lineChart>
      <c:dateAx>
        <c:axId val="5013936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387728"/>
        <c:crosses val="autoZero"/>
        <c:auto val="1"/>
        <c:lblOffset val="100"/>
        <c:baseTimeUnit val="days"/>
      </c:dateAx>
      <c:valAx>
        <c:axId val="501387728"/>
        <c:scaling>
          <c:orientation val="minMax"/>
          <c:max val="4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393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NWL!$F$34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NWL!$B$35:$B$92</c:f>
              <c:numCache>
                <c:formatCode>d\-mmm</c:formatCode>
                <c:ptCount val="58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</c:numCache>
            </c:numRef>
          </c:cat>
          <c:val>
            <c:numRef>
              <c:f>NWL!$F$35:$F$92</c:f>
              <c:numCache>
                <c:formatCode>0.00</c:formatCode>
                <c:ptCount val="58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390080"/>
        <c:axId val="566425824"/>
      </c:lineChart>
      <c:dateAx>
        <c:axId val="5013900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425824"/>
        <c:crosses val="autoZero"/>
        <c:auto val="1"/>
        <c:lblOffset val="100"/>
        <c:baseTimeUnit val="days"/>
      </c:dateAx>
      <c:valAx>
        <c:axId val="56642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39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427000"/>
        <c:axId val="566423864"/>
      </c:lineChart>
      <c:dateAx>
        <c:axId val="5664270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423864"/>
        <c:crosses val="autoZero"/>
        <c:auto val="1"/>
        <c:lblOffset val="100"/>
        <c:baseTimeUnit val="days"/>
      </c:dateAx>
      <c:valAx>
        <c:axId val="56642386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427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411320"/>
        <c:axId val="566411712"/>
      </c:lineChart>
      <c:catAx>
        <c:axId val="5664113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411712"/>
        <c:crosses val="autoZero"/>
        <c:auto val="1"/>
        <c:lblAlgn val="ctr"/>
        <c:lblOffset val="100"/>
        <c:noMultiLvlLbl val="0"/>
      </c:catAx>
      <c:valAx>
        <c:axId val="5664117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4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423472"/>
        <c:axId val="566416024"/>
      </c:lineChart>
      <c:catAx>
        <c:axId val="5664234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416024"/>
        <c:crosses val="autoZero"/>
        <c:auto val="1"/>
        <c:lblAlgn val="ctr"/>
        <c:lblOffset val="100"/>
        <c:noMultiLvlLbl val="0"/>
      </c:catAx>
      <c:valAx>
        <c:axId val="56641602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423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1781856"/>
        <c:axId val="501781464"/>
      </c:lineChart>
      <c:dateAx>
        <c:axId val="5017818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781464"/>
        <c:crosses val="autoZero"/>
        <c:auto val="1"/>
        <c:lblOffset val="100"/>
        <c:baseTimeUnit val="days"/>
      </c:dateAx>
      <c:valAx>
        <c:axId val="501781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781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1056.74</c:v>
                </c:pt>
                <c:pt idx="1">
                  <c:v>872.74</c:v>
                </c:pt>
                <c:pt idx="2">
                  <c:v>822.74</c:v>
                </c:pt>
                <c:pt idx="3">
                  <c:v>1156</c:v>
                </c:pt>
                <c:pt idx="4">
                  <c:v>842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5206160"/>
        <c:axId val="765203024"/>
      </c:lineChart>
      <c:dateAx>
        <c:axId val="7652061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203024"/>
        <c:crosses val="autoZero"/>
        <c:auto val="1"/>
        <c:lblOffset val="100"/>
        <c:baseTimeUnit val="days"/>
      </c:dateAx>
      <c:valAx>
        <c:axId val="76520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206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422296"/>
        <c:axId val="566412496"/>
      </c:lineChart>
      <c:dateAx>
        <c:axId val="566422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412496"/>
        <c:crosses val="autoZero"/>
        <c:auto val="1"/>
        <c:lblOffset val="100"/>
        <c:baseTimeUnit val="days"/>
      </c:dateAx>
      <c:valAx>
        <c:axId val="56641249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422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417592"/>
        <c:axId val="566413280"/>
      </c:lineChart>
      <c:dateAx>
        <c:axId val="566417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413280"/>
        <c:crosses val="autoZero"/>
        <c:auto val="1"/>
        <c:lblOffset val="100"/>
        <c:baseTimeUnit val="days"/>
      </c:dateAx>
      <c:valAx>
        <c:axId val="56641328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417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GIS!$E$27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GIS!$B$28:$B$80</c:f>
              <c:numCache>
                <c:formatCode>d\-mmm</c:formatCode>
                <c:ptCount val="53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</c:numCache>
            </c:numRef>
          </c:cat>
          <c:val>
            <c:numRef>
              <c:f>GIS!$E$28:$E$80</c:f>
              <c:numCache>
                <c:formatCode>0.00</c:formatCode>
                <c:ptCount val="53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GIS!$D$27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GIS!$B$28:$B$80</c:f>
              <c:numCache>
                <c:formatCode>d\-mmm</c:formatCode>
                <c:ptCount val="53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</c:numCache>
            </c:numRef>
          </c:cat>
          <c:val>
            <c:numRef>
              <c:f>GIS!$D$28:$D$80</c:f>
              <c:numCache>
                <c:formatCode>0.00</c:formatCode>
                <c:ptCount val="53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421120"/>
        <c:axId val="566421512"/>
      </c:lineChart>
      <c:dateAx>
        <c:axId val="5664211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421512"/>
        <c:crosses val="autoZero"/>
        <c:auto val="1"/>
        <c:lblOffset val="100"/>
        <c:baseTimeUnit val="days"/>
      </c:dateAx>
      <c:valAx>
        <c:axId val="56642151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421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GIS!$F$27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GIS!$B$28:$B$80</c:f>
              <c:numCache>
                <c:formatCode>d\-mmm</c:formatCode>
                <c:ptCount val="53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</c:numCache>
            </c:numRef>
          </c:cat>
          <c:val>
            <c:numRef>
              <c:f>GIS!$F$28:$F$80</c:f>
              <c:numCache>
                <c:formatCode>0.00</c:formatCode>
                <c:ptCount val="53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421904"/>
        <c:axId val="487243088"/>
      </c:lineChart>
      <c:dateAx>
        <c:axId val="5664219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243088"/>
        <c:crosses val="autoZero"/>
        <c:auto val="1"/>
        <c:lblOffset val="100"/>
        <c:baseTimeUnit val="days"/>
      </c:dateAx>
      <c:valAx>
        <c:axId val="48724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421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798752"/>
        <c:axId val="566788168"/>
      </c:lineChart>
      <c:catAx>
        <c:axId val="5667987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788168"/>
        <c:crosses val="autoZero"/>
        <c:auto val="1"/>
        <c:lblAlgn val="ctr"/>
        <c:lblOffset val="100"/>
        <c:noMultiLvlLbl val="0"/>
      </c:catAx>
      <c:valAx>
        <c:axId val="56678816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79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796400"/>
        <c:axId val="566794832"/>
      </c:lineChart>
      <c:dateAx>
        <c:axId val="5667964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794832"/>
        <c:crosses val="autoZero"/>
        <c:auto val="1"/>
        <c:lblOffset val="100"/>
        <c:baseTimeUnit val="days"/>
      </c:dateAx>
      <c:valAx>
        <c:axId val="56679483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796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chart" Target="../charts/chart14.xml"/><Relationship Id="rId1" Type="http://schemas.openxmlformats.org/officeDocument/2006/relationships/image" Target="../media/image5.gif"/><Relationship Id="rId4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gif"/><Relationship Id="rId3" Type="http://schemas.openxmlformats.org/officeDocument/2006/relationships/image" Target="../media/image10.gif"/><Relationship Id="rId7" Type="http://schemas.openxmlformats.org/officeDocument/2006/relationships/image" Target="../media/image14.gif"/><Relationship Id="rId2" Type="http://schemas.openxmlformats.org/officeDocument/2006/relationships/image" Target="../media/image9.gif"/><Relationship Id="rId1" Type="http://schemas.openxmlformats.org/officeDocument/2006/relationships/image" Target="../media/image5.gif"/><Relationship Id="rId6" Type="http://schemas.openxmlformats.org/officeDocument/2006/relationships/image" Target="../media/image13.gif"/><Relationship Id="rId5" Type="http://schemas.openxmlformats.org/officeDocument/2006/relationships/image" Target="../media/image12.gif"/><Relationship Id="rId10" Type="http://schemas.openxmlformats.org/officeDocument/2006/relationships/chart" Target="../charts/chart19.xml"/><Relationship Id="rId4" Type="http://schemas.openxmlformats.org/officeDocument/2006/relationships/image" Target="../media/image11.gif"/><Relationship Id="rId9" Type="http://schemas.openxmlformats.org/officeDocument/2006/relationships/chart" Target="../charts/chart18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image" Target="../media/image16.png"/><Relationship Id="rId1" Type="http://schemas.openxmlformats.org/officeDocument/2006/relationships/chart" Target="../charts/chart25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image" Target="../media/image17.png"/><Relationship Id="rId1" Type="http://schemas.openxmlformats.org/officeDocument/2006/relationships/chart" Target="../charts/chart28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0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8.xml"/><Relationship Id="rId1" Type="http://schemas.openxmlformats.org/officeDocument/2006/relationships/chart" Target="../charts/chart47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50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2.xml"/><Relationship Id="rId1" Type="http://schemas.openxmlformats.org/officeDocument/2006/relationships/chart" Target="../charts/chart51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5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295274</xdr:colOff>
      <xdr:row>98</xdr:row>
      <xdr:rowOff>0</xdr:rowOff>
    </xdr:from>
    <xdr:to>
      <xdr:col>19</xdr:col>
      <xdr:colOff>962024</xdr:colOff>
      <xdr:row>124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12</xdr:col>
      <xdr:colOff>304799</xdr:colOff>
      <xdr:row>126</xdr:row>
      <xdr:rowOff>61911</xdr:rowOff>
    </xdr:from>
    <xdr:to>
      <xdr:col>19</xdr:col>
      <xdr:colOff>952499</xdr:colOff>
      <xdr:row>142</xdr:row>
      <xdr:rowOff>104774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33337</xdr:rowOff>
    </xdr:from>
    <xdr:to>
      <xdr:col>20</xdr:col>
      <xdr:colOff>1647825</xdr:colOff>
      <xdr:row>105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419100</xdr:colOff>
      <xdr:row>106</xdr:row>
      <xdr:rowOff>9525</xdr:rowOff>
    </xdr:from>
    <xdr:to>
      <xdr:col>20</xdr:col>
      <xdr:colOff>1666875</xdr:colOff>
      <xdr:row>134</xdr:row>
      <xdr:rowOff>52388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128587</xdr:colOff>
      <xdr:row>44</xdr:row>
      <xdr:rowOff>161924</xdr:rowOff>
    </xdr:from>
    <xdr:to>
      <xdr:col>18</xdr:col>
      <xdr:colOff>1438275</xdr:colOff>
      <xdr:row>64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76200</xdr:rowOff>
    </xdr:from>
    <xdr:to>
      <xdr:col>20</xdr:col>
      <xdr:colOff>2667000</xdr:colOff>
      <xdr:row>58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419100</xdr:colOff>
      <xdr:row>79</xdr:row>
      <xdr:rowOff>9525</xdr:rowOff>
    </xdr:from>
    <xdr:to>
      <xdr:col>20</xdr:col>
      <xdr:colOff>2827798</xdr:colOff>
      <xdr:row>109</xdr:row>
      <xdr:rowOff>104048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15375" y="15144750"/>
          <a:ext cx="9019048" cy="5819048"/>
        </a:xfrm>
        <a:prstGeom prst="rect">
          <a:avLst/>
        </a:prstGeom>
      </xdr:spPr>
    </xdr:pic>
    <xdr:clientData/>
  </xdr:twoCellAnchor>
  <xdr:twoCellAnchor>
    <xdr:from>
      <xdr:col>13</xdr:col>
      <xdr:colOff>466725</xdr:colOff>
      <xdr:row>58</xdr:row>
      <xdr:rowOff>123825</xdr:rowOff>
    </xdr:from>
    <xdr:to>
      <xdr:col>20</xdr:col>
      <xdr:colOff>2662238</xdr:colOff>
      <xdr:row>77</xdr:row>
      <xdr:rowOff>57150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342900</xdr:colOff>
      <xdr:row>86</xdr:row>
      <xdr:rowOff>66675</xdr:rowOff>
    </xdr:from>
    <xdr:to>
      <xdr:col>20</xdr:col>
      <xdr:colOff>2865889</xdr:colOff>
      <xdr:row>115</xdr:row>
      <xdr:rowOff>104079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86775" y="16535400"/>
          <a:ext cx="9085714" cy="5571429"/>
        </a:xfrm>
        <a:prstGeom prst="rect">
          <a:avLst/>
        </a:prstGeom>
      </xdr:spPr>
    </xdr:pic>
    <xdr:clientData/>
  </xdr:twoCellAnchor>
  <xdr:twoCellAnchor>
    <xdr:from>
      <xdr:col>13</xdr:col>
      <xdr:colOff>161925</xdr:colOff>
      <xdr:row>64</xdr:row>
      <xdr:rowOff>114300</xdr:rowOff>
    </xdr:from>
    <xdr:to>
      <xdr:col>19</xdr:col>
      <xdr:colOff>742950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238124</xdr:colOff>
      <xdr:row>44</xdr:row>
      <xdr:rowOff>100012</xdr:rowOff>
    </xdr:from>
    <xdr:to>
      <xdr:col>20</xdr:col>
      <xdr:colOff>752474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65</xdr:row>
      <xdr:rowOff>9525</xdr:rowOff>
    </xdr:from>
    <xdr:to>
      <xdr:col>18</xdr:col>
      <xdr:colOff>2447925</xdr:colOff>
      <xdr:row>76</xdr:row>
      <xdr:rowOff>171450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481011</xdr:colOff>
      <xdr:row>39</xdr:row>
      <xdr:rowOff>47625</xdr:rowOff>
    </xdr:from>
    <xdr:to>
      <xdr:col>20</xdr:col>
      <xdr:colOff>400049</xdr:colOff>
      <xdr:row>62</xdr:row>
      <xdr:rowOff>180975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485775</xdr:colOff>
      <xdr:row>63</xdr:row>
      <xdr:rowOff>133350</xdr:rowOff>
    </xdr:from>
    <xdr:to>
      <xdr:col>20</xdr:col>
      <xdr:colOff>404813</xdr:colOff>
      <xdr:row>87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2871" dataDxfId="2870">
  <autoFilter ref="O15:W26"/>
  <tableColumns count="9">
    <tableColumn id="1" name="Date" dataDxfId="2869"/>
    <tableColumn id="2" name="Quarter" dataDxfId="2868"/>
    <tableColumn id="3" name="Time" dataDxfId="2867"/>
    <tableColumn id="4" name="EPS estimate" dataDxfId="2866"/>
    <tableColumn id="5" name="EPS Actual" dataDxfId="2865"/>
    <tableColumn id="6" name="Sales Estiamte (B)" dataDxfId="2864"/>
    <tableColumn id="7" name="Sales Actual (B)" dataDxfId="2863"/>
    <tableColumn id="8" name="Guidance" dataDxfId="2862"/>
    <tableColumn id="9" name="Reaction" dataDxfId="2861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8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5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19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http://www.wsj.com/mdc/public/page/2_3021-peyield.html" TargetMode="Externa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21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53.bin"/><Relationship Id="rId1" Type="http://schemas.openxmlformats.org/officeDocument/2006/relationships/hyperlink" Target="http://www.nasdaq.com/markets/corn.aspx?timeframe=2y" TargetMode="Externa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23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59.bin"/><Relationship Id="rId1" Type="http://schemas.openxmlformats.org/officeDocument/2006/relationships/hyperlink" Target="http://www.trendforce.com/price" TargetMode="Externa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27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62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4.bin"/><Relationship Id="rId4" Type="http://schemas.openxmlformats.org/officeDocument/2006/relationships/queryTable" Target="../queryTables/queryTable32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65.bin"/><Relationship Id="rId1" Type="http://schemas.openxmlformats.org/officeDocument/2006/relationships/hyperlink" Target="http://www.wsj.com/mdc/public/page/2_3021-peyield.html" TargetMode="Externa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6.bin"/><Relationship Id="rId4" Type="http://schemas.openxmlformats.org/officeDocument/2006/relationships/queryTable" Target="../queryTables/queryTable34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9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3.bin"/><Relationship Id="rId4" Type="http://schemas.openxmlformats.org/officeDocument/2006/relationships/queryTable" Target="../queryTables/queryTable42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8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75.bin"/><Relationship Id="rId4" Type="http://schemas.openxmlformats.org/officeDocument/2006/relationships/queryTable" Target="../queryTables/queryTable46.x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76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77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79.bin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3.xml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80.bin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81.bin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4.xml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6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82.bin"/><Relationship Id="rId4" Type="http://schemas.openxmlformats.org/officeDocument/2006/relationships/queryTable" Target="../queryTables/queryTable58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60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84.bin"/><Relationship Id="rId4" Type="http://schemas.openxmlformats.org/officeDocument/2006/relationships/queryTable" Target="../queryTables/queryTable62.xm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tabSelected="1" topLeftCell="I1" zoomScaleNormal="100" workbookViewId="0">
      <pane ySplit="1" topLeftCell="A67" activePane="bottomLeft" state="frozen"/>
      <selection pane="bottomLeft" activeCell="O88" sqref="O88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42578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9.7109375" style="835" bestFit="1" customWidth="1"/>
    <col min="15" max="15" width="13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0.28515625" style="49" bestFit="1" customWidth="1"/>
    <col min="20" max="21" width="10.7109375" style="49" bestFit="1" customWidth="1"/>
    <col min="22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1149</v>
      </c>
      <c r="J1" s="57" t="s">
        <v>74</v>
      </c>
      <c r="K1" s="357" t="s">
        <v>1148</v>
      </c>
      <c r="L1" s="346" t="s">
        <v>1150</v>
      </c>
      <c r="M1" s="357" t="s">
        <v>178</v>
      </c>
      <c r="N1" s="57" t="s">
        <v>226</v>
      </c>
      <c r="O1" s="834" t="s">
        <v>925</v>
      </c>
      <c r="P1" s="346" t="s">
        <v>204</v>
      </c>
      <c r="Q1" s="346" t="s">
        <v>275</v>
      </c>
      <c r="R1" s="357" t="s">
        <v>952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1"/>
      <c r="D2" s="788"/>
      <c r="E2" s="22" t="s">
        <v>50</v>
      </c>
      <c r="F2" s="2">
        <v>20.38</v>
      </c>
      <c r="G2" s="78">
        <v>9.1080217391304146</v>
      </c>
      <c r="H2">
        <v>2300</v>
      </c>
      <c r="I2" s="2">
        <v>46874</v>
      </c>
      <c r="J2" s="2">
        <v>20948.449999999953</v>
      </c>
      <c r="K2" s="2">
        <v>25925.550000000047</v>
      </c>
      <c r="L2" s="736">
        <v>1.2375879838365178</v>
      </c>
      <c r="M2" s="2">
        <v>40541.121000001673</v>
      </c>
      <c r="N2">
        <v>600</v>
      </c>
      <c r="O2" t="s">
        <v>1099</v>
      </c>
      <c r="P2" s="736">
        <v>9.8135426889106973E-3</v>
      </c>
      <c r="Q2" s="736">
        <v>1.44E-2</v>
      </c>
      <c r="R2" s="2">
        <v>32.349206349206348</v>
      </c>
      <c r="S2" s="736"/>
      <c r="U2" s="48"/>
    </row>
    <row r="3" spans="1:41" ht="21.95" customHeight="1" x14ac:dyDescent="0.25">
      <c r="A3" s="50"/>
      <c r="B3" s="50"/>
      <c r="C3" s="51"/>
      <c r="D3" s="788"/>
      <c r="E3" s="22" t="s">
        <v>899</v>
      </c>
      <c r="F3" s="78">
        <v>32.26</v>
      </c>
      <c r="G3" s="78">
        <v>30.683714285714284</v>
      </c>
      <c r="H3">
        <v>1400</v>
      </c>
      <c r="I3" s="2">
        <v>45164</v>
      </c>
      <c r="J3" s="2">
        <v>42957.2</v>
      </c>
      <c r="K3" s="2">
        <v>2206.8000000000029</v>
      </c>
      <c r="L3" s="736">
        <v>5.1372063356084643E-2</v>
      </c>
      <c r="M3" s="2">
        <v>2206.8000000000029</v>
      </c>
      <c r="N3">
        <v>200</v>
      </c>
      <c r="O3" t="s">
        <v>1248</v>
      </c>
      <c r="P3" s="736">
        <v>6.1996280223186616E-2</v>
      </c>
      <c r="Q3" s="736">
        <v>-7.1000000000000004E-3</v>
      </c>
      <c r="R3" s="2">
        <v>9.2968299711815554</v>
      </c>
      <c r="S3" s="736"/>
      <c r="U3" s="48"/>
      <c r="V3" s="48"/>
    </row>
    <row r="4" spans="1:41" ht="21.95" customHeight="1" x14ac:dyDescent="0.25">
      <c r="A4" s="50"/>
      <c r="B4" s="50"/>
      <c r="C4" s="51"/>
      <c r="D4" s="788"/>
      <c r="E4" s="22" t="s">
        <v>174</v>
      </c>
      <c r="F4" s="2">
        <v>20.82</v>
      </c>
      <c r="G4" s="78">
        <v>26.401439999999994</v>
      </c>
      <c r="H4">
        <v>1000</v>
      </c>
      <c r="I4" s="2">
        <v>20820</v>
      </c>
      <c r="J4" s="2">
        <v>26401.439999999995</v>
      </c>
      <c r="K4" s="2">
        <v>-5581.4399999999951</v>
      </c>
      <c r="L4" s="736">
        <v>-0.21140665054633365</v>
      </c>
      <c r="M4" s="2">
        <v>-5506.4199999999946</v>
      </c>
      <c r="N4">
        <v>160</v>
      </c>
      <c r="O4" t="s">
        <v>1198</v>
      </c>
      <c r="P4" s="736">
        <v>4.4188280499519693E-2</v>
      </c>
      <c r="Q4" s="736">
        <v>-2.8999999999999998E-3</v>
      </c>
      <c r="R4" s="2">
        <v>8.1647058823529424</v>
      </c>
      <c r="V4" s="48"/>
    </row>
    <row r="5" spans="1:41" ht="21.95" customHeight="1" x14ac:dyDescent="0.25">
      <c r="A5" s="50"/>
      <c r="B5" s="50"/>
      <c r="C5" s="51"/>
      <c r="D5" s="788"/>
      <c r="E5" s="22" t="s">
        <v>171</v>
      </c>
      <c r="F5" s="2">
        <v>45.179900000000004</v>
      </c>
      <c r="G5" s="78">
        <v>48.274866666666668</v>
      </c>
      <c r="H5">
        <v>300</v>
      </c>
      <c r="I5" s="2">
        <v>13553.970000000001</v>
      </c>
      <c r="J5" s="2">
        <v>14482.460000000001</v>
      </c>
      <c r="K5" s="2">
        <v>-928.48999999999796</v>
      </c>
      <c r="L5" s="736">
        <v>-6.4111345724414168E-2</v>
      </c>
      <c r="M5" s="2">
        <v>-878.53999999999814</v>
      </c>
      <c r="N5">
        <v>150</v>
      </c>
      <c r="O5" t="s">
        <v>1245</v>
      </c>
      <c r="P5" s="736">
        <v>4.3382123466408733E-2</v>
      </c>
      <c r="Q5" s="852">
        <v>-2E-3</v>
      </c>
      <c r="R5" s="2">
        <v>14.96023178807947</v>
      </c>
      <c r="S5" s="48"/>
      <c r="T5" s="48"/>
      <c r="U5" s="48"/>
      <c r="V5" s="48"/>
      <c r="X5" s="850"/>
    </row>
    <row r="6" spans="1:41" ht="21.95" customHeight="1" x14ac:dyDescent="0.25">
      <c r="A6" s="50"/>
      <c r="B6" s="51"/>
      <c r="C6" s="51"/>
      <c r="D6" s="788"/>
      <c r="E6" s="22" t="s">
        <v>714</v>
      </c>
      <c r="F6" s="78">
        <v>66.489900000000006</v>
      </c>
      <c r="G6" s="78">
        <v>62.082000000000043</v>
      </c>
      <c r="H6">
        <v>200</v>
      </c>
      <c r="I6" s="2">
        <v>13297.980000000001</v>
      </c>
      <c r="J6" s="2">
        <v>12416.400000000009</v>
      </c>
      <c r="K6" s="2">
        <v>881.57999999999265</v>
      </c>
      <c r="L6" s="736">
        <v>7.1001256402821414E-2</v>
      </c>
      <c r="M6" s="2">
        <v>881.57999999999265</v>
      </c>
      <c r="N6">
        <v>200</v>
      </c>
      <c r="O6" t="s">
        <v>1141</v>
      </c>
      <c r="P6" s="736">
        <v>2.4063805179433267E-2</v>
      </c>
      <c r="Q6" s="736">
        <v>4.7999999999999996E-3</v>
      </c>
      <c r="R6" s="2">
        <v>11.128016736401674</v>
      </c>
      <c r="S6" s="736"/>
      <c r="T6" s="48"/>
      <c r="U6" s="48"/>
    </row>
    <row r="7" spans="1:41" ht="21.95" customHeight="1" x14ac:dyDescent="0.25">
      <c r="A7" s="50"/>
      <c r="B7" s="50"/>
      <c r="C7" s="51"/>
      <c r="D7" s="788"/>
      <c r="E7" s="22" t="s">
        <v>223</v>
      </c>
      <c r="F7" s="2">
        <v>31.49</v>
      </c>
      <c r="G7" s="78">
        <v>17.576174999999893</v>
      </c>
      <c r="H7">
        <v>400</v>
      </c>
      <c r="I7" s="2">
        <v>12596</v>
      </c>
      <c r="J7" s="2">
        <v>7030.4699999999575</v>
      </c>
      <c r="K7" s="2">
        <v>5565.5300000000425</v>
      </c>
      <c r="L7" s="736">
        <v>0.79162986258387791</v>
      </c>
      <c r="M7" s="2">
        <v>7017.7900000000409</v>
      </c>
      <c r="N7">
        <v>200</v>
      </c>
      <c r="O7" t="s">
        <v>1205</v>
      </c>
      <c r="P7" s="736">
        <v>3.1756113051762467E-3</v>
      </c>
      <c r="Q7" s="736">
        <v>-1.78E-2</v>
      </c>
      <c r="R7" s="2">
        <v>22.492857142857144</v>
      </c>
      <c r="U7" s="48"/>
      <c r="W7" s="48"/>
    </row>
    <row r="8" spans="1:41" ht="21.95" customHeight="1" x14ac:dyDescent="0.25">
      <c r="A8" s="50"/>
      <c r="B8" s="50"/>
      <c r="C8" s="51"/>
      <c r="D8" s="788"/>
      <c r="E8" s="22" t="s">
        <v>52</v>
      </c>
      <c r="F8" s="2">
        <v>48.399900000000002</v>
      </c>
      <c r="G8" s="78">
        <v>49.260280000000002</v>
      </c>
      <c r="H8">
        <v>250</v>
      </c>
      <c r="I8" s="2">
        <v>12099.975</v>
      </c>
      <c r="J8" s="2">
        <v>12315.07</v>
      </c>
      <c r="K8" s="2">
        <v>-215.09499999999935</v>
      </c>
      <c r="L8" s="736">
        <v>-1.7465998975239264E-2</v>
      </c>
      <c r="M8" s="2">
        <v>841.64499999999862</v>
      </c>
      <c r="N8" s="29">
        <v>43329</v>
      </c>
      <c r="O8" t="s">
        <v>1251</v>
      </c>
      <c r="P8" s="736">
        <v>3.9338924253975727E-2</v>
      </c>
      <c r="Q8" s="736">
        <v>-1.9699999999999999E-2</v>
      </c>
      <c r="R8" s="2">
        <v>9.8775306122448985</v>
      </c>
      <c r="S8" s="48"/>
      <c r="T8" s="48"/>
      <c r="V8" s="48"/>
      <c r="X8"/>
      <c r="Y8"/>
      <c r="Z8"/>
      <c r="AA8" s="2"/>
      <c r="AB8"/>
      <c r="AC8"/>
      <c r="AD8" s="2"/>
      <c r="AE8"/>
      <c r="AF8"/>
      <c r="AG8" s="2"/>
      <c r="AH8"/>
      <c r="AI8" s="2"/>
      <c r="AJ8"/>
      <c r="AK8"/>
      <c r="AL8"/>
      <c r="AM8"/>
      <c r="AN8"/>
      <c r="AO8"/>
    </row>
    <row r="9" spans="1:41" ht="21.95" customHeight="1" x14ac:dyDescent="0.25">
      <c r="A9" s="50"/>
      <c r="B9" s="50"/>
      <c r="C9" s="51"/>
      <c r="D9" s="788"/>
      <c r="E9" s="22" t="s">
        <v>920</v>
      </c>
      <c r="F9" s="78">
        <v>59.649900000000002</v>
      </c>
      <c r="G9" s="78">
        <v>59.337049999999998</v>
      </c>
      <c r="H9">
        <v>200</v>
      </c>
      <c r="I9" s="2">
        <v>11929.98</v>
      </c>
      <c r="J9" s="2">
        <v>11867.41</v>
      </c>
      <c r="K9" s="2">
        <v>62.569999999999709</v>
      </c>
      <c r="L9" s="736">
        <v>5.2724225420711767E-3</v>
      </c>
      <c r="M9" s="2">
        <v>62.569999999999709</v>
      </c>
      <c r="N9" s="29">
        <v>43336</v>
      </c>
      <c r="O9" t="s">
        <v>1221</v>
      </c>
      <c r="P9" s="736">
        <v>4.1911218627357298E-2</v>
      </c>
      <c r="Q9" s="736">
        <v>-5.7999999999999996E-3</v>
      </c>
      <c r="R9" s="2">
        <v>15.738759894459104</v>
      </c>
      <c r="S9" s="48"/>
      <c r="T9" s="48"/>
      <c r="X9"/>
      <c r="Y9"/>
      <c r="Z9"/>
      <c r="AA9" s="2"/>
      <c r="AB9"/>
      <c r="AC9"/>
      <c r="AD9" s="2"/>
      <c r="AE9"/>
      <c r="AF9"/>
      <c r="AG9" s="2"/>
      <c r="AH9"/>
      <c r="AI9" s="2"/>
      <c r="AJ9"/>
      <c r="AK9"/>
      <c r="AL9"/>
      <c r="AM9"/>
      <c r="AN9"/>
      <c r="AO9"/>
    </row>
    <row r="10" spans="1:41" ht="21.95" customHeight="1" x14ac:dyDescent="0.25">
      <c r="A10" s="50"/>
      <c r="B10" s="50"/>
      <c r="C10" s="51"/>
      <c r="D10" s="788"/>
      <c r="E10" s="22" t="s">
        <v>14</v>
      </c>
      <c r="F10" s="2">
        <v>59.049900000000001</v>
      </c>
      <c r="G10" s="78">
        <v>56.6158</v>
      </c>
      <c r="H10">
        <v>200</v>
      </c>
      <c r="I10" s="2">
        <v>11809.98</v>
      </c>
      <c r="J10" s="2">
        <v>11323.16</v>
      </c>
      <c r="K10" s="2">
        <v>486.81999999999971</v>
      </c>
      <c r="L10" s="736">
        <v>4.2993298690471582E-2</v>
      </c>
      <c r="M10" s="2">
        <v>486.81999999999971</v>
      </c>
      <c r="N10" s="29">
        <v>43328</v>
      </c>
      <c r="O10" t="s">
        <v>1220</v>
      </c>
      <c r="P10" s="736">
        <v>4.7417523145678479E-2</v>
      </c>
      <c r="Q10" s="736">
        <v>-2.8999999999999998E-3</v>
      </c>
      <c r="R10" s="2">
        <v>14.818042659974905</v>
      </c>
      <c r="S10" s="736"/>
      <c r="T10" s="48"/>
    </row>
    <row r="11" spans="1:41" ht="21.95" customHeight="1" x14ac:dyDescent="0.25">
      <c r="A11" s="50"/>
      <c r="B11" s="51"/>
      <c r="C11" s="51"/>
      <c r="D11" s="788"/>
      <c r="E11" s="22" t="s">
        <v>674</v>
      </c>
      <c r="F11" s="2">
        <v>236.52</v>
      </c>
      <c r="G11" s="78">
        <v>152.44888888888914</v>
      </c>
      <c r="H11">
        <v>45</v>
      </c>
      <c r="I11" s="2">
        <v>10643.4</v>
      </c>
      <c r="J11" s="2">
        <v>6860.2000000000116</v>
      </c>
      <c r="K11" s="2">
        <v>3783.199999999988</v>
      </c>
      <c r="L11" s="736">
        <v>0.55147080260050474</v>
      </c>
      <c r="M11" s="2">
        <v>4007.9699999999884</v>
      </c>
      <c r="N11">
        <v>15</v>
      </c>
      <c r="O11" t="s">
        <v>1144</v>
      </c>
      <c r="P11" s="736">
        <v>0</v>
      </c>
      <c r="Q11" s="736">
        <v>1.6000000000000001E-3</v>
      </c>
      <c r="R11" s="2">
        <v>24.154411764705884</v>
      </c>
      <c r="S11" s="736"/>
      <c r="T11" s="48"/>
      <c r="U11" s="48"/>
    </row>
    <row r="12" spans="1:41" ht="21.95" customHeight="1" x14ac:dyDescent="0.25">
      <c r="A12" s="50"/>
      <c r="B12" s="50"/>
      <c r="C12" s="51"/>
      <c r="D12" s="788"/>
      <c r="E12" s="22" t="s">
        <v>271</v>
      </c>
      <c r="F12" s="2">
        <v>69.049899999999994</v>
      </c>
      <c r="G12" s="78">
        <v>64.313333333333333</v>
      </c>
      <c r="H12">
        <v>150</v>
      </c>
      <c r="I12" s="2">
        <v>10357.484999999999</v>
      </c>
      <c r="J12" s="2">
        <v>9647</v>
      </c>
      <c r="K12" s="2">
        <v>710.48499999999876</v>
      </c>
      <c r="L12" s="736">
        <v>7.3648284440758702E-2</v>
      </c>
      <c r="M12" s="2">
        <v>907.69499999999425</v>
      </c>
      <c r="N12" s="29">
        <v>43332</v>
      </c>
      <c r="O12" t="s">
        <v>1211</v>
      </c>
      <c r="P12" s="736">
        <v>2.8964560412107768E-2</v>
      </c>
      <c r="Q12" s="736">
        <v>7.0000000000000001E-3</v>
      </c>
      <c r="R12" s="2">
        <v>9.8996272401433689</v>
      </c>
      <c r="V12" s="48"/>
    </row>
    <row r="13" spans="1:41" ht="21.95" customHeight="1" x14ac:dyDescent="0.25">
      <c r="A13" s="50"/>
      <c r="B13" s="51"/>
      <c r="C13" s="51"/>
      <c r="D13" s="788"/>
      <c r="E13" s="22" t="s">
        <v>897</v>
      </c>
      <c r="F13" s="2">
        <v>135.7099</v>
      </c>
      <c r="G13" s="78">
        <v>124.49828571428566</v>
      </c>
      <c r="H13">
        <v>70</v>
      </c>
      <c r="I13" s="2">
        <v>9499.6930000000011</v>
      </c>
      <c r="J13" s="2">
        <v>8714.8799999999956</v>
      </c>
      <c r="K13" s="2">
        <v>784.81300000000374</v>
      </c>
      <c r="L13" s="736">
        <v>9.0054366784167381E-2</v>
      </c>
      <c r="M13" s="2">
        <v>784.81300000000374</v>
      </c>
      <c r="N13">
        <v>50</v>
      </c>
      <c r="O13" t="s">
        <v>1185</v>
      </c>
      <c r="P13" s="736">
        <v>3.8317027718685224E-3</v>
      </c>
      <c r="Q13" s="736">
        <v>4.0000000000000001E-3</v>
      </c>
      <c r="R13" s="2">
        <v>15.743607888631093</v>
      </c>
      <c r="S13" s="48"/>
      <c r="T13" s="48"/>
      <c r="V13" s="48"/>
      <c r="X13"/>
      <c r="Y13"/>
      <c r="Z13"/>
      <c r="AA13" s="2"/>
      <c r="AB13"/>
      <c r="AC13"/>
      <c r="AD13" s="2"/>
      <c r="AE13"/>
      <c r="AF13"/>
      <c r="AG13" s="2"/>
      <c r="AH13"/>
      <c r="AI13" s="2"/>
      <c r="AJ13"/>
      <c r="AK13"/>
      <c r="AL13"/>
      <c r="AM13"/>
      <c r="AN13"/>
      <c r="AO13"/>
    </row>
    <row r="14" spans="1:41" ht="21.95" customHeight="1" x14ac:dyDescent="0.25">
      <c r="A14" s="50"/>
      <c r="B14" s="50"/>
      <c r="C14" s="51"/>
      <c r="D14" s="788"/>
      <c r="E14" s="22" t="s">
        <v>195</v>
      </c>
      <c r="F14" s="2">
        <v>30.139900000000001</v>
      </c>
      <c r="G14" s="78">
        <v>16.071166666666667</v>
      </c>
      <c r="H14">
        <v>300</v>
      </c>
      <c r="I14" s="2">
        <v>9041.9699999999993</v>
      </c>
      <c r="J14" s="2">
        <v>4821.3500000000004</v>
      </c>
      <c r="K14" s="2">
        <v>4220.6200000000226</v>
      </c>
      <c r="L14" s="736">
        <v>0.87540211766413978</v>
      </c>
      <c r="M14" s="2">
        <v>5968.5900000000165</v>
      </c>
      <c r="N14" s="29">
        <v>43353</v>
      </c>
      <c r="O14" t="s">
        <v>1131</v>
      </c>
      <c r="P14" s="736">
        <v>1.8580021831525653E-2</v>
      </c>
      <c r="Q14" s="736">
        <v>1.0699999999999999E-2</v>
      </c>
      <c r="R14" s="2">
        <v>14.525253012048191</v>
      </c>
      <c r="S14" s="736"/>
      <c r="X14"/>
      <c r="Y14"/>
      <c r="Z14"/>
      <c r="AA14" s="2"/>
      <c r="AB14"/>
      <c r="AC14"/>
      <c r="AD14" s="2"/>
      <c r="AE14"/>
      <c r="AF14"/>
      <c r="AG14" s="2"/>
      <c r="AH14"/>
      <c r="AI14" s="2"/>
      <c r="AJ14"/>
      <c r="AK14"/>
      <c r="AL14"/>
      <c r="AM14"/>
      <c r="AN14"/>
      <c r="AO14"/>
    </row>
    <row r="15" spans="1:41" ht="21.95" customHeight="1" x14ac:dyDescent="0.25">
      <c r="A15" s="50"/>
      <c r="B15" s="50"/>
      <c r="C15" s="51"/>
      <c r="D15" s="788"/>
      <c r="E15" s="22" t="s">
        <v>803</v>
      </c>
      <c r="F15" s="2">
        <v>22.4499</v>
      </c>
      <c r="G15" s="78">
        <v>29.624349999999986</v>
      </c>
      <c r="H15">
        <v>400</v>
      </c>
      <c r="I15" s="2">
        <v>8979.9599999999991</v>
      </c>
      <c r="J15" s="2">
        <v>11849.739999999994</v>
      </c>
      <c r="K15" s="2">
        <v>-2869.7799999999952</v>
      </c>
      <c r="L15" s="736">
        <v>-0.2421808410986229</v>
      </c>
      <c r="M15" s="2">
        <v>-2869.7799999999952</v>
      </c>
      <c r="N15">
        <v>100</v>
      </c>
      <c r="O15" t="s">
        <v>1200</v>
      </c>
      <c r="P15" s="736">
        <v>4.6325373386963867E-2</v>
      </c>
      <c r="Q15" s="736">
        <v>-6.6E-3</v>
      </c>
      <c r="R15" s="2">
        <v>13.205823529411765</v>
      </c>
      <c r="S15" s="48"/>
      <c r="U15" s="48"/>
    </row>
    <row r="16" spans="1:41" ht="21.95" customHeight="1" x14ac:dyDescent="0.25">
      <c r="A16" s="51"/>
      <c r="B16" s="51"/>
      <c r="C16" s="51"/>
      <c r="D16" s="788"/>
      <c r="E16" s="22" t="s">
        <v>943</v>
      </c>
      <c r="F16" s="2">
        <v>39.0199</v>
      </c>
      <c r="G16" s="78">
        <v>46.534050000000008</v>
      </c>
      <c r="H16">
        <v>200</v>
      </c>
      <c r="I16" s="2">
        <v>7803.98</v>
      </c>
      <c r="J16" s="2">
        <v>9306.8100000000013</v>
      </c>
      <c r="K16" s="2">
        <v>-1502.8300000000017</v>
      </c>
      <c r="L16" s="736">
        <v>-0.16147638127349773</v>
      </c>
      <c r="M16" s="2">
        <v>-1502.8300000000017</v>
      </c>
      <c r="N16">
        <v>100</v>
      </c>
      <c r="O16" t="s">
        <v>1183</v>
      </c>
      <c r="P16" s="736">
        <v>1.9900000000000001E-2</v>
      </c>
      <c r="Q16" s="736">
        <v>-2.7400000000000001E-2</v>
      </c>
      <c r="R16" s="2">
        <v>18.804771084337347</v>
      </c>
      <c r="S16" s="736"/>
      <c r="T16" s="48"/>
      <c r="V16" s="48"/>
      <c r="W16" s="48"/>
    </row>
    <row r="17" spans="1:41" ht="21.95" customHeight="1" x14ac:dyDescent="0.25">
      <c r="A17" s="50"/>
      <c r="B17" s="50"/>
      <c r="C17" s="50"/>
      <c r="D17" s="788"/>
      <c r="E17" s="22" t="s">
        <v>173</v>
      </c>
      <c r="F17" s="2">
        <v>58.049900000000001</v>
      </c>
      <c r="G17" s="78">
        <v>47.821833333333387</v>
      </c>
      <c r="H17">
        <v>120</v>
      </c>
      <c r="I17" s="2">
        <v>6965.9880000000003</v>
      </c>
      <c r="J17" s="2">
        <v>5738.6200000000063</v>
      </c>
      <c r="K17" s="2">
        <v>1227.367999999994</v>
      </c>
      <c r="L17" s="736">
        <v>0.21387859799045628</v>
      </c>
      <c r="M17" s="2">
        <v>2831.9479999999958</v>
      </c>
      <c r="N17">
        <v>120</v>
      </c>
      <c r="O17"/>
      <c r="P17" s="736">
        <v>2.9629680671284533E-2</v>
      </c>
      <c r="Q17" s="736">
        <v>-6.7000000000000002E-3</v>
      </c>
      <c r="R17" s="2">
        <v>12.842898230088498</v>
      </c>
      <c r="S17" s="736"/>
      <c r="X17"/>
      <c r="Y17"/>
      <c r="Z17"/>
      <c r="AA17" s="2"/>
      <c r="AB17"/>
      <c r="AC17"/>
      <c r="AD17" s="2"/>
      <c r="AE17"/>
      <c r="AF17"/>
      <c r="AG17" s="2"/>
      <c r="AH17"/>
      <c r="AI17" s="2"/>
      <c r="AJ17"/>
      <c r="AK17"/>
      <c r="AL17"/>
      <c r="AM17"/>
      <c r="AN17"/>
      <c r="AO17"/>
    </row>
    <row r="18" spans="1:41" ht="21.95" customHeight="1" x14ac:dyDescent="0.25">
      <c r="A18" s="50"/>
      <c r="B18" s="50"/>
      <c r="C18" s="51"/>
      <c r="D18" s="788"/>
      <c r="E18" s="22" t="s">
        <v>266</v>
      </c>
      <c r="F18" s="2">
        <v>130.75</v>
      </c>
      <c r="G18" s="78">
        <v>118.6816</v>
      </c>
      <c r="H18">
        <v>50</v>
      </c>
      <c r="I18" s="2">
        <v>6537.5</v>
      </c>
      <c r="J18" s="2">
        <v>5934.08</v>
      </c>
      <c r="K18" s="2">
        <v>603.42000000000007</v>
      </c>
      <c r="L18" s="736">
        <v>0.10168720340811041</v>
      </c>
      <c r="M18" s="2">
        <v>758.19999999999982</v>
      </c>
      <c r="N18">
        <v>50</v>
      </c>
      <c r="O18"/>
      <c r="P18" s="736">
        <v>2.5700000000000001E-2</v>
      </c>
      <c r="Q18" s="736">
        <v>-3.3999999999999998E-3</v>
      </c>
      <c r="R18" s="2">
        <v>16.102216748768473</v>
      </c>
      <c r="S18" s="48"/>
      <c r="T18" s="48"/>
      <c r="V18" s="48"/>
    </row>
    <row r="19" spans="1:41" ht="21.95" customHeight="1" x14ac:dyDescent="0.25">
      <c r="A19" s="50"/>
      <c r="B19" s="51"/>
      <c r="C19" s="51"/>
      <c r="D19" s="788"/>
      <c r="E19" s="22" t="s">
        <v>32</v>
      </c>
      <c r="F19" s="2">
        <v>54.709899999999998</v>
      </c>
      <c r="G19" s="78">
        <v>41.297200000000011</v>
      </c>
      <c r="H19">
        <v>100</v>
      </c>
      <c r="I19" s="2">
        <v>5470.99</v>
      </c>
      <c r="J19" s="2">
        <v>4129.7200000000012</v>
      </c>
      <c r="K19" s="2">
        <v>1341.2699999999986</v>
      </c>
      <c r="L19" s="736">
        <v>0.32478473116821438</v>
      </c>
      <c r="M19" s="2">
        <v>2539.7399999999957</v>
      </c>
      <c r="N19">
        <v>100</v>
      </c>
      <c r="O19"/>
      <c r="P19" s="736">
        <v>2.2299437578939096E-2</v>
      </c>
      <c r="Q19" s="736">
        <v>-1.14E-2</v>
      </c>
      <c r="R19" s="2">
        <v>9.9022443438914021</v>
      </c>
      <c r="T19" s="48"/>
      <c r="V19" s="48"/>
    </row>
    <row r="20" spans="1:41" ht="21.95" customHeight="1" x14ac:dyDescent="0.25">
      <c r="A20" s="50"/>
      <c r="B20" s="50"/>
      <c r="C20" s="51"/>
      <c r="D20" s="788"/>
      <c r="E20" s="22" t="s">
        <v>1201</v>
      </c>
      <c r="F20" s="2">
        <v>2723.4706999999999</v>
      </c>
      <c r="G20" s="78">
        <v>2868</v>
      </c>
      <c r="H20">
        <v>2</v>
      </c>
      <c r="I20" s="2">
        <v>5446.9413999999997</v>
      </c>
      <c r="J20" s="2">
        <v>5736</v>
      </c>
      <c r="K20" s="2">
        <v>-289.0586000000003</v>
      </c>
      <c r="L20" s="736">
        <v>-5.0393758716875924E-2</v>
      </c>
      <c r="M20" s="2">
        <v>-289.0586000000003</v>
      </c>
      <c r="N20" s="29">
        <v>43332</v>
      </c>
      <c r="O20"/>
      <c r="P20" s="736">
        <v>0</v>
      </c>
      <c r="Q20" s="736">
        <v>-1.2200000000000001E-2</v>
      </c>
      <c r="R20" s="2"/>
      <c r="T20" s="48"/>
      <c r="V20" s="48"/>
    </row>
    <row r="21" spans="1:41" ht="21.95" customHeight="1" x14ac:dyDescent="0.25">
      <c r="A21" s="50"/>
      <c r="B21" s="50"/>
      <c r="C21" s="51"/>
      <c r="D21" s="788"/>
      <c r="E21" s="22" t="s">
        <v>937</v>
      </c>
      <c r="F21" s="2">
        <v>35.08</v>
      </c>
      <c r="G21" s="78">
        <v>29.954800000000009</v>
      </c>
      <c r="H21">
        <v>150</v>
      </c>
      <c r="I21" s="2">
        <v>5262</v>
      </c>
      <c r="J21" s="2">
        <v>4493.2200000000012</v>
      </c>
      <c r="K21" s="2">
        <v>768.77999999999884</v>
      </c>
      <c r="L21" s="736">
        <v>0.1710977873329145</v>
      </c>
      <c r="M21" s="2">
        <v>768.77999999999884</v>
      </c>
      <c r="N21">
        <v>50</v>
      </c>
      <c r="O21" t="s">
        <v>1113</v>
      </c>
      <c r="P21" s="736">
        <v>2.1664766248574687E-2</v>
      </c>
      <c r="Q21" s="736">
        <v>-1.1599999999999999E-2</v>
      </c>
      <c r="R21" s="2">
        <v>14.032</v>
      </c>
      <c r="T21" s="48"/>
      <c r="V21" s="48"/>
    </row>
    <row r="22" spans="1:41" ht="21.95" customHeight="1" x14ac:dyDescent="0.25">
      <c r="A22" s="50"/>
      <c r="B22" s="50"/>
      <c r="C22" s="51"/>
      <c r="D22" s="788"/>
      <c r="E22" s="22" t="s">
        <v>1124</v>
      </c>
      <c r="F22" s="2">
        <v>52.239899999999999</v>
      </c>
      <c r="G22" s="78">
        <v>51.18</v>
      </c>
      <c r="H22">
        <v>100</v>
      </c>
      <c r="I22" s="2">
        <v>5223.99</v>
      </c>
      <c r="J22" s="2">
        <v>5118</v>
      </c>
      <c r="K22" s="2">
        <v>105.98999999999978</v>
      </c>
      <c r="L22" s="736">
        <v>2.0709261430246168E-2</v>
      </c>
      <c r="M22" s="2">
        <v>105.98999999999978</v>
      </c>
      <c r="N22">
        <v>100</v>
      </c>
      <c r="O22"/>
      <c r="P22" s="736">
        <v>3.3690722991429924E-2</v>
      </c>
      <c r="Q22" s="736">
        <v>-2.12E-2</v>
      </c>
      <c r="R22" s="2"/>
      <c r="S22" s="48"/>
      <c r="T22" s="48"/>
    </row>
    <row r="23" spans="1:41" ht="21.95" customHeight="1" x14ac:dyDescent="0.25">
      <c r="A23" s="50"/>
      <c r="B23" s="50"/>
      <c r="C23" s="51"/>
      <c r="D23" s="788"/>
      <c r="E23" s="22" t="s">
        <v>760</v>
      </c>
      <c r="F23" s="2">
        <v>12.77</v>
      </c>
      <c r="G23" s="78">
        <v>14.589050000000002</v>
      </c>
      <c r="H23">
        <v>400</v>
      </c>
      <c r="I23" s="2">
        <v>5108</v>
      </c>
      <c r="J23" s="2">
        <v>5835.6200000000008</v>
      </c>
      <c r="K23" s="2">
        <v>-727.6200000000008</v>
      </c>
      <c r="L23" s="736">
        <v>-0.12468598023860376</v>
      </c>
      <c r="M23" s="2">
        <v>-727.6200000000008</v>
      </c>
      <c r="N23">
        <v>200</v>
      </c>
      <c r="O23"/>
      <c r="P23" s="736">
        <v>3.7588097102584178E-2</v>
      </c>
      <c r="Q23" s="736">
        <v>-1.3100000000000001E-2</v>
      </c>
      <c r="R23" s="2">
        <v>13.442105263157895</v>
      </c>
      <c r="S23" s="48"/>
      <c r="T23" s="48"/>
      <c r="V23" s="48"/>
    </row>
    <row r="24" spans="1:41" ht="21.95" customHeight="1" x14ac:dyDescent="0.25">
      <c r="A24" s="51"/>
      <c r="B24" s="51"/>
      <c r="C24" s="51"/>
      <c r="D24" s="788"/>
      <c r="E24" s="22" t="s">
        <v>324</v>
      </c>
      <c r="F24" s="2">
        <v>22.479900000000001</v>
      </c>
      <c r="G24" s="78">
        <v>17.246149999999997</v>
      </c>
      <c r="H24">
        <v>200</v>
      </c>
      <c r="I24" s="2">
        <v>4495.9800000000005</v>
      </c>
      <c r="J24" s="2">
        <v>3449.2299999999991</v>
      </c>
      <c r="K24" s="2">
        <v>1046.7500000000009</v>
      </c>
      <c r="L24" s="736">
        <v>0.30347352887456069</v>
      </c>
      <c r="M24" s="2">
        <v>1331.7200000000057</v>
      </c>
      <c r="N24" s="29">
        <v>43346</v>
      </c>
      <c r="O24"/>
      <c r="P24" s="736">
        <v>0</v>
      </c>
      <c r="Q24" s="736">
        <v>6.7000000000000002E-3</v>
      </c>
      <c r="R24" s="2">
        <v>9.1754693877551023</v>
      </c>
      <c r="T24" s="48"/>
      <c r="U24" s="48"/>
      <c r="V24" s="48"/>
    </row>
    <row r="25" spans="1:41" ht="21.95" customHeight="1" x14ac:dyDescent="0.25">
      <c r="A25" s="50"/>
      <c r="B25" s="50"/>
      <c r="C25" s="51"/>
      <c r="D25" s="788"/>
      <c r="E25" s="22" t="s">
        <v>901</v>
      </c>
      <c r="F25" s="78">
        <v>73.27</v>
      </c>
      <c r="G25" s="78">
        <v>65.015000000000029</v>
      </c>
      <c r="H25">
        <v>60</v>
      </c>
      <c r="I25" s="2">
        <v>4396.2</v>
      </c>
      <c r="J25" s="2">
        <v>3900.9000000000019</v>
      </c>
      <c r="K25" s="2">
        <v>495.29999999999836</v>
      </c>
      <c r="L25" s="736">
        <v>0.12697069906944494</v>
      </c>
      <c r="M25" s="2">
        <v>495.29999999999836</v>
      </c>
      <c r="N25" s="29">
        <v>43332</v>
      </c>
      <c r="O25" t="s">
        <v>1186</v>
      </c>
      <c r="P25" s="736">
        <v>1.310222464856012E-2</v>
      </c>
      <c r="Q25" s="736">
        <v>5.9999999999999995E-4</v>
      </c>
      <c r="R25" s="2">
        <v>20.63943661971831</v>
      </c>
      <c r="S25" s="48"/>
      <c r="T25" s="48"/>
    </row>
    <row r="26" spans="1:41" ht="21.95" customHeight="1" x14ac:dyDescent="0.25">
      <c r="A26" s="50"/>
      <c r="B26" s="50"/>
      <c r="C26" s="51"/>
      <c r="D26" s="788"/>
      <c r="E26" s="22" t="s">
        <v>1215</v>
      </c>
      <c r="F26" s="2">
        <v>81.979900000000001</v>
      </c>
      <c r="G26" s="78">
        <v>79.98</v>
      </c>
      <c r="H26">
        <v>50</v>
      </c>
      <c r="I26" s="2">
        <v>4098.9949999999999</v>
      </c>
      <c r="J26" s="2">
        <v>3999</v>
      </c>
      <c r="K26" s="2">
        <v>99.994999999999891</v>
      </c>
      <c r="L26" s="736">
        <v>2.5005001250312537E-2</v>
      </c>
      <c r="M26" s="2">
        <v>99.994999999999891</v>
      </c>
      <c r="N26" s="29">
        <v>43346</v>
      </c>
      <c r="O26"/>
      <c r="P26" s="736">
        <v>0</v>
      </c>
      <c r="Q26" s="736">
        <v>-1.5100000000000001E-2</v>
      </c>
      <c r="R26" s="2"/>
      <c r="S26" s="48"/>
      <c r="T26" s="48"/>
      <c r="U26" s="48"/>
    </row>
    <row r="27" spans="1:41" ht="21.95" customHeight="1" x14ac:dyDescent="0.25">
      <c r="A27" s="51"/>
      <c r="B27" s="51"/>
      <c r="C27" s="51"/>
      <c r="D27" s="788"/>
      <c r="E27" s="22" t="s">
        <v>828</v>
      </c>
      <c r="F27" s="2">
        <v>97.82</v>
      </c>
      <c r="G27" s="78">
        <v>75.106999999999942</v>
      </c>
      <c r="H27">
        <v>40</v>
      </c>
      <c r="I27" s="2">
        <v>3912.7999999999997</v>
      </c>
      <c r="J27" s="2">
        <v>3004.2799999999979</v>
      </c>
      <c r="K27" s="2">
        <v>908.52000000000089</v>
      </c>
      <c r="L27" s="736">
        <v>0.3024085637823381</v>
      </c>
      <c r="M27" s="2">
        <v>908.52000000000089</v>
      </c>
      <c r="N27" s="29">
        <v>43353</v>
      </c>
      <c r="O27" t="s">
        <v>1187</v>
      </c>
      <c r="P27" s="736">
        <v>2.330811694949908E-2</v>
      </c>
      <c r="Q27" s="736">
        <v>-5.1999999999999998E-3</v>
      </c>
      <c r="R27" s="2">
        <v>20.550420168067227</v>
      </c>
      <c r="S27" s="48"/>
    </row>
    <row r="28" spans="1:41" ht="21.95" customHeight="1" x14ac:dyDescent="0.25">
      <c r="A28" s="51"/>
      <c r="B28" s="50"/>
      <c r="C28" s="51"/>
      <c r="D28" s="788"/>
      <c r="E28" s="22" t="s">
        <v>924</v>
      </c>
      <c r="F28" s="2">
        <v>47.97</v>
      </c>
      <c r="G28" s="78">
        <v>13.543400000000037</v>
      </c>
      <c r="H28">
        <v>50</v>
      </c>
      <c r="I28" s="2">
        <v>2398.5</v>
      </c>
      <c r="J28" s="2">
        <v>677.17000000000189</v>
      </c>
      <c r="K28" s="2">
        <v>1721.3299999999981</v>
      </c>
      <c r="L28" s="736">
        <v>2.5419466308312439</v>
      </c>
      <c r="M28" s="2">
        <v>1721.3299999999981</v>
      </c>
      <c r="N28" s="29">
        <v>43335</v>
      </c>
      <c r="O28" t="s">
        <v>1263</v>
      </c>
      <c r="P28" s="736">
        <v>2.8767979987492181E-2</v>
      </c>
      <c r="Q28" s="736">
        <v>7.6E-3</v>
      </c>
      <c r="R28" s="2">
        <v>10.902272727272726</v>
      </c>
      <c r="S28" s="736"/>
      <c r="T28" s="48"/>
    </row>
    <row r="29" spans="1:41" ht="21.95" customHeight="1" x14ac:dyDescent="0.25">
      <c r="A29" s="50"/>
      <c r="B29" s="50"/>
      <c r="C29" s="51"/>
      <c r="D29" s="788"/>
      <c r="E29" s="22" t="s">
        <v>62</v>
      </c>
      <c r="F29" s="78">
        <v>346.9</v>
      </c>
      <c r="G29" s="78">
        <v>346.9</v>
      </c>
      <c r="H29">
        <v>0</v>
      </c>
      <c r="I29" s="2">
        <v>0</v>
      </c>
      <c r="J29" s="2">
        <v>0</v>
      </c>
      <c r="K29" s="2">
        <v>0</v>
      </c>
      <c r="L29" s="736">
        <v>0</v>
      </c>
      <c r="M29" s="2">
        <v>1659.3600000000079</v>
      </c>
      <c r="N29">
        <v>0</v>
      </c>
      <c r="O29"/>
      <c r="P29" s="736">
        <v>0</v>
      </c>
      <c r="Q29" s="736">
        <v>-9.1000000000000004E-3</v>
      </c>
      <c r="R29" s="2"/>
      <c r="T29" s="48"/>
      <c r="U29" s="48"/>
      <c r="X29"/>
      <c r="Y29"/>
      <c r="Z29"/>
      <c r="AA29" s="2"/>
      <c r="AB29"/>
      <c r="AC29"/>
      <c r="AD29" s="2"/>
      <c r="AE29"/>
      <c r="AF29"/>
      <c r="AG29" s="2"/>
      <c r="AH29"/>
      <c r="AI29" s="2"/>
      <c r="AJ29"/>
      <c r="AK29"/>
      <c r="AL29"/>
      <c r="AM29"/>
      <c r="AN29"/>
      <c r="AO29"/>
    </row>
    <row r="30" spans="1:41" ht="21.95" customHeight="1" x14ac:dyDescent="0.25">
      <c r="A30" s="50"/>
      <c r="B30" s="50"/>
      <c r="C30" s="51"/>
      <c r="D30" s="788"/>
      <c r="E30" s="22" t="s">
        <v>202</v>
      </c>
      <c r="F30" s="2">
        <v>36.61</v>
      </c>
      <c r="G30" s="78">
        <v>36.61</v>
      </c>
      <c r="H30">
        <v>0</v>
      </c>
      <c r="I30" s="2">
        <v>0</v>
      </c>
      <c r="J30" s="2">
        <v>0</v>
      </c>
      <c r="K30" s="2">
        <v>0</v>
      </c>
      <c r="L30" s="736">
        <v>0</v>
      </c>
      <c r="M30" s="2">
        <v>555.54</v>
      </c>
      <c r="N30">
        <v>0</v>
      </c>
      <c r="O30"/>
      <c r="P30" s="736">
        <v>0</v>
      </c>
      <c r="Q30" s="736">
        <v>-6.6799999999999998E-2</v>
      </c>
      <c r="R30" s="2"/>
      <c r="S30" s="736"/>
      <c r="T30" s="48"/>
      <c r="W30" s="48"/>
      <c r="Y30" s="48"/>
    </row>
    <row r="31" spans="1:41" ht="21.95" customHeight="1" x14ac:dyDescent="0.25">
      <c r="A31" s="50"/>
      <c r="B31" s="50"/>
      <c r="C31" s="51"/>
      <c r="D31" s="788"/>
      <c r="E31" s="22" t="s">
        <v>211</v>
      </c>
      <c r="F31" s="2">
        <v>59.71</v>
      </c>
      <c r="G31" s="78">
        <v>59.71</v>
      </c>
      <c r="H31">
        <v>0</v>
      </c>
      <c r="I31" s="2">
        <v>0</v>
      </c>
      <c r="J31" s="2">
        <v>0</v>
      </c>
      <c r="K31" s="2">
        <v>973.83000000000175</v>
      </c>
      <c r="L31" s="736">
        <v>0</v>
      </c>
      <c r="M31" s="2">
        <v>2131.6999999999971</v>
      </c>
      <c r="N31">
        <v>0</v>
      </c>
      <c r="O31" t="s">
        <v>1200</v>
      </c>
      <c r="P31" s="736">
        <v>2.4786467928320215E-2</v>
      </c>
      <c r="Q31" s="736">
        <v>6.9999999999999999E-4</v>
      </c>
      <c r="R31" s="2">
        <v>14.9275</v>
      </c>
      <c r="T31" s="48"/>
      <c r="U31" s="48"/>
      <c r="V31" s="48"/>
      <c r="X31"/>
      <c r="Y31"/>
      <c r="Z31"/>
      <c r="AA31" s="2"/>
      <c r="AB31"/>
      <c r="AC31"/>
      <c r="AD31" s="2"/>
      <c r="AE31"/>
      <c r="AF31"/>
      <c r="AG31" s="2"/>
      <c r="AH31"/>
      <c r="AI31" s="2"/>
      <c r="AJ31"/>
      <c r="AK31"/>
      <c r="AL31"/>
      <c r="AM31" s="2"/>
      <c r="AN31"/>
      <c r="AO31"/>
    </row>
    <row r="32" spans="1:41" ht="21.95" customHeight="1" x14ac:dyDescent="0.25">
      <c r="A32" s="50"/>
      <c r="B32" s="50"/>
      <c r="C32" s="51"/>
      <c r="D32" s="788"/>
      <c r="E32" s="22" t="s">
        <v>201</v>
      </c>
      <c r="F32" s="2">
        <v>208.88</v>
      </c>
      <c r="G32" s="78">
        <v>208.88</v>
      </c>
      <c r="H32">
        <v>0</v>
      </c>
      <c r="I32" s="2">
        <v>0</v>
      </c>
      <c r="J32" s="2">
        <v>0</v>
      </c>
      <c r="K32" s="2">
        <v>0</v>
      </c>
      <c r="L32" s="736">
        <v>0</v>
      </c>
      <c r="M32" s="2">
        <v>363.09999999999945</v>
      </c>
      <c r="N32">
        <v>0</v>
      </c>
      <c r="O32"/>
      <c r="P32" s="736" t="e">
        <v>#VALUE!</v>
      </c>
      <c r="Q32" s="736">
        <v>7.9000000000000008E-3</v>
      </c>
      <c r="R32" s="2"/>
      <c r="S32" s="48"/>
      <c r="T32" s="48"/>
    </row>
    <row r="33" spans="1:41" ht="21.95" customHeight="1" x14ac:dyDescent="0.25">
      <c r="A33" s="51"/>
      <c r="B33" s="50"/>
      <c r="C33" s="51"/>
      <c r="D33" s="788"/>
      <c r="E33" s="22" t="s">
        <v>222</v>
      </c>
      <c r="F33" s="2">
        <v>102.99</v>
      </c>
      <c r="G33" s="78">
        <v>102.99</v>
      </c>
      <c r="H33">
        <v>0</v>
      </c>
      <c r="I33" s="2">
        <v>0</v>
      </c>
      <c r="J33" s="2">
        <v>0</v>
      </c>
      <c r="K33" s="2">
        <v>0</v>
      </c>
      <c r="L33" s="736">
        <v>0</v>
      </c>
      <c r="M33" s="2">
        <v>231.53999999999996</v>
      </c>
      <c r="N33">
        <v>0</v>
      </c>
      <c r="O33"/>
      <c r="P33" s="736">
        <v>1.6199999999999999E-2</v>
      </c>
      <c r="Q33" s="736">
        <v>1.6000000000000001E-3</v>
      </c>
      <c r="R33" s="2"/>
      <c r="S33" s="736"/>
      <c r="T33" s="48"/>
    </row>
    <row r="34" spans="1:41" ht="21.95" customHeight="1" x14ac:dyDescent="0.25">
      <c r="A34" s="50"/>
      <c r="B34" s="50"/>
      <c r="C34" s="51"/>
      <c r="D34" s="788"/>
      <c r="E34" s="22" t="s">
        <v>262</v>
      </c>
      <c r="F34" s="2">
        <v>102.98</v>
      </c>
      <c r="G34" s="78">
        <v>102.98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1857.7799999999988</v>
      </c>
      <c r="N34">
        <v>0</v>
      </c>
      <c r="O34"/>
      <c r="P34" s="736">
        <v>1.49E-2</v>
      </c>
      <c r="Q34" s="736">
        <v>1.18E-2</v>
      </c>
      <c r="R34" s="2"/>
      <c r="S34" s="48"/>
      <c r="U34" s="48"/>
    </row>
    <row r="35" spans="1:41" ht="21.95" customHeight="1" x14ac:dyDescent="0.25">
      <c r="A35" s="50"/>
      <c r="B35" s="50"/>
      <c r="C35" s="51"/>
      <c r="D35" s="788"/>
      <c r="E35" s="22" t="s">
        <v>23</v>
      </c>
      <c r="F35" s="2">
        <v>38.19</v>
      </c>
      <c r="G35" s="78">
        <v>38.19</v>
      </c>
      <c r="H35">
        <v>0</v>
      </c>
      <c r="I35" s="2">
        <v>0</v>
      </c>
      <c r="J35" s="2">
        <v>0</v>
      </c>
      <c r="K35" s="2">
        <v>0</v>
      </c>
      <c r="L35" s="736">
        <v>0</v>
      </c>
      <c r="M35" s="2">
        <v>171.89999999999964</v>
      </c>
      <c r="N35">
        <v>0</v>
      </c>
      <c r="O35"/>
      <c r="P35" s="736">
        <v>0</v>
      </c>
      <c r="Q35" s="736">
        <v>7.1000000000000004E-3</v>
      </c>
      <c r="R35" s="2"/>
      <c r="S35" s="48"/>
      <c r="U35" s="48"/>
    </row>
    <row r="36" spans="1:41" ht="21.95" customHeight="1" x14ac:dyDescent="0.25">
      <c r="A36" s="50"/>
      <c r="B36" s="50"/>
      <c r="C36" s="51"/>
      <c r="D36" s="788"/>
      <c r="E36" s="22" t="s">
        <v>263</v>
      </c>
      <c r="F36" s="2">
        <v>45.6</v>
      </c>
      <c r="G36" s="78">
        <v>45.6</v>
      </c>
      <c r="H36">
        <v>0</v>
      </c>
      <c r="I36" s="2">
        <v>0</v>
      </c>
      <c r="J36" s="2">
        <v>0</v>
      </c>
      <c r="K36" s="2">
        <v>0</v>
      </c>
      <c r="L36" s="736">
        <v>0</v>
      </c>
      <c r="M36" s="2">
        <v>98.449999999999818</v>
      </c>
      <c r="N36">
        <v>0</v>
      </c>
      <c r="O36"/>
      <c r="P36" s="736">
        <v>1.11E-2</v>
      </c>
      <c r="Q36" s="736">
        <v>3.0999999999999999E-3</v>
      </c>
      <c r="R36" s="2"/>
      <c r="S36" s="736"/>
      <c r="T36" s="48"/>
      <c r="V36" s="48"/>
    </row>
    <row r="37" spans="1:41" ht="21.95" customHeight="1" x14ac:dyDescent="0.25">
      <c r="A37" s="51"/>
      <c r="B37" s="51"/>
      <c r="C37" s="51"/>
      <c r="D37" s="788"/>
      <c r="E37" s="22" t="s">
        <v>321</v>
      </c>
      <c r="F37" s="2">
        <v>9.58</v>
      </c>
      <c r="G37" s="78">
        <v>9.58</v>
      </c>
      <c r="H37">
        <v>0</v>
      </c>
      <c r="I37" s="2">
        <v>0</v>
      </c>
      <c r="J37" s="2">
        <v>0</v>
      </c>
      <c r="K37" s="2">
        <v>-1184.9399999999987</v>
      </c>
      <c r="L37" s="736">
        <v>0</v>
      </c>
      <c r="M37" s="2">
        <v>98.479999999995925</v>
      </c>
      <c r="N37">
        <v>0</v>
      </c>
      <c r="O37" t="s">
        <v>1222</v>
      </c>
      <c r="P37" s="736">
        <v>0</v>
      </c>
      <c r="Q37" s="736">
        <v>3.1199999999999999E-2</v>
      </c>
      <c r="R37" s="2">
        <v>29.9375</v>
      </c>
      <c r="S37" s="48"/>
      <c r="T37" s="48"/>
      <c r="W37" s="48"/>
    </row>
    <row r="38" spans="1:41" ht="21.95" customHeight="1" x14ac:dyDescent="0.25">
      <c r="A38" s="50"/>
      <c r="B38" s="51"/>
      <c r="C38" s="51"/>
      <c r="D38" s="788"/>
      <c r="E38" s="22" t="s">
        <v>36</v>
      </c>
      <c r="F38" s="2">
        <v>58.99</v>
      </c>
      <c r="G38" s="78">
        <v>58.99</v>
      </c>
      <c r="H38">
        <v>0</v>
      </c>
      <c r="I38" s="2">
        <v>0</v>
      </c>
      <c r="J38" s="2">
        <v>0</v>
      </c>
      <c r="K38" s="2">
        <v>0</v>
      </c>
      <c r="L38" s="736">
        <v>0</v>
      </c>
      <c r="M38" s="2">
        <v>117.73999999999978</v>
      </c>
      <c r="N38">
        <v>0</v>
      </c>
      <c r="O38"/>
      <c r="P38" s="736">
        <v>0</v>
      </c>
      <c r="Q38" s="736">
        <v>2.8999999999999998E-3</v>
      </c>
      <c r="R38" s="2"/>
      <c r="S38" s="736"/>
    </row>
    <row r="39" spans="1:41" ht="21.95" customHeight="1" x14ac:dyDescent="0.25">
      <c r="A39" s="51"/>
      <c r="B39" s="51"/>
      <c r="C39" s="51"/>
      <c r="D39" s="788"/>
      <c r="E39" s="22" t="s">
        <v>309</v>
      </c>
      <c r="F39" s="2">
        <v>42.63</v>
      </c>
      <c r="G39" s="78">
        <v>42.63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264.92000000000007</v>
      </c>
      <c r="N39">
        <v>0</v>
      </c>
      <c r="O39"/>
      <c r="P39" s="736">
        <v>3.4200000000000001E-2</v>
      </c>
      <c r="Q39" s="736">
        <v>4.2599999999999999E-2</v>
      </c>
      <c r="R39" s="2"/>
      <c r="T39" s="48"/>
    </row>
    <row r="40" spans="1:41" ht="21.95" customHeight="1" x14ac:dyDescent="0.25">
      <c r="A40" s="50"/>
      <c r="B40" s="50"/>
      <c r="C40" s="51"/>
      <c r="D40" s="788"/>
      <c r="E40" s="22" t="s">
        <v>295</v>
      </c>
      <c r="F40" s="2">
        <v>59.53</v>
      </c>
      <c r="G40" s="78">
        <v>59.53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910.79999999999927</v>
      </c>
      <c r="N40">
        <v>0</v>
      </c>
      <c r="O40"/>
      <c r="P40" s="736">
        <v>2.87E-2</v>
      </c>
      <c r="Q40" s="736">
        <v>-1.0500000000000001E-2</v>
      </c>
      <c r="R40" s="2"/>
      <c r="S40" s="736"/>
    </row>
    <row r="41" spans="1:41" ht="21.95" customHeight="1" x14ac:dyDescent="0.25">
      <c r="A41" s="50"/>
      <c r="B41" s="51"/>
      <c r="C41" s="51"/>
      <c r="D41" s="788"/>
      <c r="E41" s="22" t="s">
        <v>673</v>
      </c>
      <c r="F41" s="2">
        <v>31.18</v>
      </c>
      <c r="G41" s="78">
        <v>31.18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557.94000000000005</v>
      </c>
      <c r="N41">
        <v>0</v>
      </c>
      <c r="O41"/>
      <c r="P41" s="736">
        <v>4.0599999999999997E-2</v>
      </c>
      <c r="Q41" s="736">
        <v>9.4000000000000004E-3</v>
      </c>
      <c r="R41" s="2"/>
    </row>
    <row r="42" spans="1:41" ht="21.95" customHeight="1" x14ac:dyDescent="0.25">
      <c r="A42" s="51"/>
      <c r="B42" s="51"/>
      <c r="C42" s="51"/>
      <c r="D42" s="788"/>
      <c r="E42" s="22" t="s">
        <v>244</v>
      </c>
      <c r="F42" s="2">
        <v>76.84</v>
      </c>
      <c r="G42" s="78">
        <v>76.84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329.74000000000069</v>
      </c>
      <c r="N42">
        <v>0</v>
      </c>
      <c r="O42"/>
      <c r="P42" s="736">
        <v>0</v>
      </c>
      <c r="Q42" s="736">
        <v>2.8999999999999998E-3</v>
      </c>
      <c r="R42" s="2"/>
      <c r="S42" s="736"/>
      <c r="T42" s="48"/>
      <c r="U42" s="48"/>
    </row>
    <row r="43" spans="1:41" ht="21.95" customHeight="1" x14ac:dyDescent="0.25">
      <c r="A43" s="51"/>
      <c r="B43" s="51"/>
      <c r="C43" s="51"/>
      <c r="D43" s="788"/>
      <c r="E43" s="22" t="s">
        <v>652</v>
      </c>
      <c r="F43" s="2">
        <v>20.77</v>
      </c>
      <c r="G43" s="78">
        <v>20.77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309.26000000000022</v>
      </c>
      <c r="N43">
        <v>0</v>
      </c>
      <c r="O43"/>
      <c r="P43" s="736">
        <v>8.8000000000000005E-3</v>
      </c>
      <c r="Q43" s="736">
        <v>-7.1999999999999998E-3</v>
      </c>
      <c r="R43" s="2"/>
      <c r="S43" s="48"/>
      <c r="V43" s="48"/>
      <c r="X43"/>
      <c r="Y43"/>
      <c r="Z43"/>
      <c r="AA43" s="2"/>
      <c r="AB43"/>
      <c r="AC43"/>
      <c r="AD43" s="2"/>
      <c r="AE43"/>
      <c r="AF43"/>
      <c r="AG43" s="2"/>
      <c r="AH43"/>
      <c r="AI43" s="2"/>
      <c r="AJ43"/>
      <c r="AK43"/>
      <c r="AL43"/>
      <c r="AM43"/>
      <c r="AN43"/>
      <c r="AO43"/>
    </row>
    <row r="44" spans="1:41" ht="21.95" customHeight="1" x14ac:dyDescent="0.25">
      <c r="A44" s="50"/>
      <c r="B44" s="50"/>
      <c r="C44" s="51"/>
      <c r="D44" s="788"/>
      <c r="E44" s="22" t="s">
        <v>715</v>
      </c>
      <c r="F44" s="2">
        <v>253.8</v>
      </c>
      <c r="G44" s="78">
        <v>253.8</v>
      </c>
      <c r="H44">
        <v>0</v>
      </c>
      <c r="I44" s="2">
        <v>0</v>
      </c>
      <c r="J44" s="2">
        <v>0</v>
      </c>
      <c r="K44" s="2">
        <v>0</v>
      </c>
      <c r="L44" s="736">
        <v>0</v>
      </c>
      <c r="M44" s="2">
        <v>843.18000000000029</v>
      </c>
      <c r="N44">
        <v>0</v>
      </c>
      <c r="O44"/>
      <c r="P44" s="736">
        <v>2.8E-3</v>
      </c>
      <c r="Q44" s="736">
        <v>-1E-4</v>
      </c>
      <c r="R44" s="2"/>
      <c r="S44" s="736"/>
      <c r="U44" s="48"/>
      <c r="X44" s="48"/>
    </row>
    <row r="45" spans="1:41" ht="21.95" customHeight="1" x14ac:dyDescent="0.25">
      <c r="A45" s="50"/>
      <c r="B45" s="50"/>
      <c r="C45" s="51"/>
      <c r="D45" s="788"/>
      <c r="E45" s="22" t="s">
        <v>1021</v>
      </c>
      <c r="F45" s="2">
        <v>53.44</v>
      </c>
      <c r="G45" s="78">
        <v>53.44</v>
      </c>
      <c r="H45">
        <v>0</v>
      </c>
      <c r="I45" s="2">
        <v>0</v>
      </c>
      <c r="J45" s="2">
        <v>0</v>
      </c>
      <c r="K45" s="2">
        <v>458.44000000000051</v>
      </c>
      <c r="L45" s="736">
        <v>0</v>
      </c>
      <c r="M45" s="2">
        <v>458.44000000000051</v>
      </c>
      <c r="N45">
        <v>0</v>
      </c>
      <c r="O45"/>
      <c r="P45" s="736">
        <v>2.8068862275449104E-2</v>
      </c>
      <c r="Q45" s="736">
        <v>-3.0000000000000001E-3</v>
      </c>
      <c r="R45" s="2"/>
      <c r="S45" s="736"/>
      <c r="T45" s="48"/>
    </row>
    <row r="46" spans="1:41" ht="21.95" customHeight="1" x14ac:dyDescent="0.25">
      <c r="A46" s="50"/>
      <c r="B46" s="50"/>
      <c r="C46" s="51"/>
      <c r="D46" s="788"/>
      <c r="E46" s="22" t="s">
        <v>196</v>
      </c>
      <c r="F46" s="2">
        <v>9.91</v>
      </c>
      <c r="G46" s="78">
        <v>9.91</v>
      </c>
      <c r="H46">
        <v>0</v>
      </c>
      <c r="I46" s="2">
        <v>0</v>
      </c>
      <c r="J46" s="2">
        <v>0</v>
      </c>
      <c r="K46" s="2">
        <v>0</v>
      </c>
      <c r="L46" s="736">
        <v>0</v>
      </c>
      <c r="M46" s="2">
        <v>495.20999999999913</v>
      </c>
      <c r="N46">
        <v>0</v>
      </c>
      <c r="O46"/>
      <c r="P46" s="736">
        <v>5.1499999999999997E-2</v>
      </c>
      <c r="Q46" s="736">
        <v>-1.3899999999999999E-2</v>
      </c>
      <c r="R46" s="2"/>
      <c r="S46" s="48"/>
      <c r="X46"/>
      <c r="Y46"/>
      <c r="Z46"/>
      <c r="AA46" s="2"/>
      <c r="AB46"/>
      <c r="AC46"/>
      <c r="AD46" s="2"/>
      <c r="AE46"/>
      <c r="AF46"/>
      <c r="AG46" s="2"/>
      <c r="AH46"/>
      <c r="AI46" s="2"/>
      <c r="AJ46"/>
      <c r="AK46"/>
      <c r="AL46"/>
      <c r="AM46"/>
      <c r="AN46"/>
      <c r="AO46"/>
    </row>
    <row r="47" spans="1:41" ht="21.95" customHeight="1" x14ac:dyDescent="0.25">
      <c r="A47" s="50"/>
      <c r="B47" s="50"/>
      <c r="C47" s="51"/>
      <c r="D47" s="788"/>
      <c r="E47" s="22" t="s">
        <v>807</v>
      </c>
      <c r="F47" s="2">
        <v>101.08</v>
      </c>
      <c r="G47" s="78">
        <v>101.08</v>
      </c>
      <c r="H47">
        <v>0</v>
      </c>
      <c r="I47" s="2">
        <v>0</v>
      </c>
      <c r="J47" s="2">
        <v>0</v>
      </c>
      <c r="K47" s="2">
        <v>604.30000000000109</v>
      </c>
      <c r="L47" s="736">
        <v>0</v>
      </c>
      <c r="M47" s="2">
        <v>604.30000000000109</v>
      </c>
      <c r="N47">
        <v>0</v>
      </c>
      <c r="O47" t="s">
        <v>1100</v>
      </c>
      <c r="P47" s="736">
        <v>6.7273446774831821E-3</v>
      </c>
      <c r="Q47" s="736">
        <v>-1.1999999999999999E-3</v>
      </c>
      <c r="R47" s="2">
        <v>21.28</v>
      </c>
      <c r="S47" s="48"/>
      <c r="T47" s="48"/>
    </row>
    <row r="48" spans="1:41" ht="21.95" customHeight="1" x14ac:dyDescent="0.25">
      <c r="A48" s="50"/>
      <c r="B48" s="50"/>
      <c r="C48" s="51"/>
      <c r="D48" s="788"/>
      <c r="E48" s="22" t="s">
        <v>659</v>
      </c>
      <c r="F48" s="2">
        <v>0</v>
      </c>
      <c r="G48" s="78">
        <v>0</v>
      </c>
      <c r="H48">
        <v>0</v>
      </c>
      <c r="I48" s="2">
        <v>0</v>
      </c>
      <c r="J48" s="2">
        <v>0</v>
      </c>
      <c r="K48" s="2">
        <v>2714.0600000000013</v>
      </c>
      <c r="L48" s="736"/>
      <c r="M48" s="2">
        <v>2714.0600000000013</v>
      </c>
      <c r="N48">
        <v>0</v>
      </c>
      <c r="O48"/>
      <c r="P48" s="736">
        <v>2.8E-3</v>
      </c>
      <c r="Q48" s="736">
        <v>0</v>
      </c>
      <c r="R48" s="2">
        <v>0</v>
      </c>
      <c r="S48" s="736"/>
      <c r="T48" s="48"/>
      <c r="X48"/>
      <c r="Y48"/>
      <c r="Z48"/>
      <c r="AA48" s="2"/>
      <c r="AB48"/>
      <c r="AC48"/>
      <c r="AD48" s="2"/>
      <c r="AE48"/>
      <c r="AF48"/>
      <c r="AG48" s="2"/>
      <c r="AH48"/>
      <c r="AI48" s="2"/>
      <c r="AJ48"/>
      <c r="AK48"/>
      <c r="AL48"/>
      <c r="AM48"/>
      <c r="AN48"/>
      <c r="AO48"/>
    </row>
    <row r="49" spans="1:41" ht="21.95" customHeight="1" x14ac:dyDescent="0.25">
      <c r="A49" s="51"/>
      <c r="B49" s="51"/>
      <c r="C49" s="51"/>
      <c r="D49" s="788"/>
      <c r="E49" s="22" t="s">
        <v>938</v>
      </c>
      <c r="F49" s="2">
        <v>88.87</v>
      </c>
      <c r="G49" s="78">
        <v>88.87</v>
      </c>
      <c r="H49">
        <v>0</v>
      </c>
      <c r="I49" s="2">
        <v>0</v>
      </c>
      <c r="J49" s="2">
        <v>0</v>
      </c>
      <c r="K49" s="2">
        <v>500.88000000000011</v>
      </c>
      <c r="L49" s="736">
        <v>0</v>
      </c>
      <c r="M49" s="2">
        <v>500.88000000000011</v>
      </c>
      <c r="N49">
        <v>0</v>
      </c>
      <c r="O49"/>
      <c r="P49" s="736">
        <v>7.2015303251941037E-3</v>
      </c>
      <c r="Q49" s="736">
        <v>-8.9999999999999998E-4</v>
      </c>
      <c r="R49" s="2">
        <v>12.042005420054201</v>
      </c>
      <c r="S49" s="736"/>
      <c r="T49" s="48"/>
      <c r="U49" s="48"/>
    </row>
    <row r="50" spans="1:41" ht="21.95" customHeight="1" x14ac:dyDescent="0.25">
      <c r="A50" s="50"/>
      <c r="B50" s="50"/>
      <c r="C50" s="51"/>
      <c r="D50" s="788"/>
      <c r="E50" s="22" t="s">
        <v>661</v>
      </c>
      <c r="F50" s="2">
        <v>0</v>
      </c>
      <c r="G50" s="78">
        <v>0</v>
      </c>
      <c r="H50">
        <v>0</v>
      </c>
      <c r="I50" s="2">
        <v>0</v>
      </c>
      <c r="J50" s="2">
        <v>0</v>
      </c>
      <c r="K50" s="2">
        <v>1411.7400000000016</v>
      </c>
      <c r="L50" s="736"/>
      <c r="M50" s="2">
        <v>1554.7700000000018</v>
      </c>
      <c r="N50">
        <v>0</v>
      </c>
      <c r="O50"/>
      <c r="P50" s="736" t="e">
        <v>#DIV/0!</v>
      </c>
      <c r="Q50" s="736">
        <v>0</v>
      </c>
      <c r="R50" s="2">
        <v>0</v>
      </c>
      <c r="T50" s="48"/>
      <c r="V50" s="48"/>
      <c r="W50" s="48"/>
      <c r="X50"/>
      <c r="Y50"/>
      <c r="Z50"/>
      <c r="AA50" s="2"/>
      <c r="AB50"/>
      <c r="AC50"/>
      <c r="AD50" s="2"/>
      <c r="AE50"/>
      <c r="AF50"/>
      <c r="AG50" s="2"/>
      <c r="AH50"/>
      <c r="AI50" s="2"/>
      <c r="AJ50"/>
      <c r="AK50"/>
      <c r="AL50"/>
      <c r="AM50"/>
      <c r="AN50"/>
      <c r="AO50"/>
    </row>
    <row r="51" spans="1:41" ht="21.95" customHeight="1" x14ac:dyDescent="0.25">
      <c r="A51" s="51"/>
      <c r="B51" s="51"/>
      <c r="C51" s="51"/>
      <c r="D51" s="788"/>
      <c r="E51" s="22" t="s">
        <v>17</v>
      </c>
      <c r="F51" s="78">
        <v>0</v>
      </c>
      <c r="G51" s="78">
        <v>0</v>
      </c>
      <c r="H51">
        <v>0</v>
      </c>
      <c r="I51" s="2">
        <v>0</v>
      </c>
      <c r="J51" s="2">
        <v>0</v>
      </c>
      <c r="K51" s="2">
        <v>-20818.210000000079</v>
      </c>
      <c r="L51" s="736"/>
      <c r="M51" s="2">
        <v>-20818.210000000079</v>
      </c>
      <c r="N51">
        <v>0</v>
      </c>
      <c r="O51"/>
      <c r="P51" s="736">
        <v>0</v>
      </c>
      <c r="Q51" s="736">
        <v>0</v>
      </c>
      <c r="R51" s="2"/>
      <c r="S51" s="48"/>
      <c r="T51" s="48"/>
      <c r="V51" s="48"/>
      <c r="W51" s="48"/>
      <c r="X51"/>
      <c r="Y51"/>
      <c r="Z51"/>
      <c r="AA51" s="2"/>
      <c r="AB51"/>
      <c r="AC51"/>
      <c r="AD51" s="2"/>
      <c r="AE51"/>
      <c r="AF51"/>
      <c r="AG51" s="2"/>
      <c r="AH51"/>
      <c r="AI51" s="2"/>
      <c r="AJ51"/>
      <c r="AK51"/>
      <c r="AL51"/>
      <c r="AM51"/>
      <c r="AN51"/>
      <c r="AO51"/>
    </row>
    <row r="52" spans="1:41" ht="21.95" customHeight="1" x14ac:dyDescent="0.25">
      <c r="A52" s="50"/>
      <c r="B52" s="51"/>
      <c r="C52" s="51"/>
      <c r="D52" s="788"/>
      <c r="E52" s="22" t="s">
        <v>303</v>
      </c>
      <c r="F52" s="2">
        <v>139.15</v>
      </c>
      <c r="G52" s="78">
        <v>139.15</v>
      </c>
      <c r="H52">
        <v>0</v>
      </c>
      <c r="I52" s="2">
        <v>0</v>
      </c>
      <c r="J52" s="2">
        <v>0</v>
      </c>
      <c r="K52" s="2">
        <v>0</v>
      </c>
      <c r="L52" s="736">
        <v>0</v>
      </c>
      <c r="M52" s="2">
        <v>720.56000000000131</v>
      </c>
      <c r="N52">
        <v>0</v>
      </c>
      <c r="O52"/>
      <c r="P52" s="736">
        <v>0</v>
      </c>
      <c r="Q52" s="736">
        <v>-3.8999999999999998E-3</v>
      </c>
      <c r="R52" s="2"/>
      <c r="S52" s="736"/>
    </row>
    <row r="53" spans="1:41" ht="21.95" customHeight="1" x14ac:dyDescent="0.25">
      <c r="A53" s="50"/>
      <c r="B53" s="51"/>
      <c r="C53" s="51"/>
      <c r="D53" s="788"/>
      <c r="E53" s="22" t="s">
        <v>671</v>
      </c>
      <c r="F53" s="2">
        <v>99.81</v>
      </c>
      <c r="G53" s="78">
        <v>99.81</v>
      </c>
      <c r="H53">
        <v>0</v>
      </c>
      <c r="I53" s="2">
        <v>0</v>
      </c>
      <c r="J53" s="2">
        <v>0</v>
      </c>
      <c r="K53" s="2">
        <v>0</v>
      </c>
      <c r="L53" s="736">
        <v>0</v>
      </c>
      <c r="M53" s="2">
        <v>329.55999999999949</v>
      </c>
      <c r="N53">
        <v>0</v>
      </c>
      <c r="O53"/>
      <c r="P53" s="736">
        <v>1.78E-2</v>
      </c>
      <c r="Q53" s="736">
        <v>8.0000000000000004E-4</v>
      </c>
      <c r="R53" s="2"/>
      <c r="S53" s="48"/>
      <c r="U53" s="48"/>
    </row>
    <row r="54" spans="1:41" ht="21.95" customHeight="1" x14ac:dyDescent="0.25">
      <c r="A54" s="50"/>
      <c r="B54" s="51"/>
      <c r="C54" s="51"/>
      <c r="D54" s="788"/>
      <c r="E54" s="22" t="s">
        <v>939</v>
      </c>
      <c r="F54" s="78">
        <v>181.91</v>
      </c>
      <c r="G54" s="78">
        <v>181.91</v>
      </c>
      <c r="H54">
        <v>0</v>
      </c>
      <c r="I54" s="2">
        <v>0</v>
      </c>
      <c r="J54" s="2">
        <v>0</v>
      </c>
      <c r="K54" s="2">
        <v>1022.1999999999935</v>
      </c>
      <c r="L54" s="736">
        <v>0</v>
      </c>
      <c r="M54" s="2">
        <v>1022.1999999999935</v>
      </c>
      <c r="N54">
        <v>0</v>
      </c>
      <c r="O54"/>
      <c r="P54" s="736">
        <v>7.0364465944697929E-3</v>
      </c>
      <c r="Q54" s="736">
        <v>-5.9999999999999995E-4</v>
      </c>
      <c r="R54" s="2">
        <v>19.68</v>
      </c>
      <c r="S54" s="48"/>
      <c r="T54" s="48"/>
      <c r="U54" s="48"/>
      <c r="V54" s="48"/>
    </row>
    <row r="55" spans="1:41" ht="21.95" customHeight="1" x14ac:dyDescent="0.25">
      <c r="A55" s="50"/>
      <c r="B55" s="50"/>
      <c r="C55" s="51"/>
      <c r="D55" s="788"/>
      <c r="E55" s="22" t="s">
        <v>713</v>
      </c>
      <c r="F55" s="2">
        <v>736.29</v>
      </c>
      <c r="G55" s="78">
        <v>736.29</v>
      </c>
      <c r="H55">
        <v>0</v>
      </c>
      <c r="I55" s="2">
        <v>0</v>
      </c>
      <c r="J55" s="2">
        <v>0</v>
      </c>
      <c r="K55" s="2">
        <v>0</v>
      </c>
      <c r="L55" s="736">
        <v>0</v>
      </c>
      <c r="M55" s="2">
        <v>559.89000000000033</v>
      </c>
      <c r="N55">
        <v>0</v>
      </c>
      <c r="O55"/>
      <c r="P55" s="736">
        <v>0</v>
      </c>
      <c r="Q55" s="736">
        <v>5.4999999999999997E-3</v>
      </c>
      <c r="R55" s="2"/>
      <c r="S55" s="736"/>
      <c r="U55" s="48"/>
    </row>
    <row r="56" spans="1:41" ht="21.95" customHeight="1" x14ac:dyDescent="0.25">
      <c r="A56" s="60"/>
      <c r="B56" s="61"/>
      <c r="C56" s="60"/>
      <c r="D56" s="788"/>
      <c r="E56" s="22" t="s">
        <v>923</v>
      </c>
      <c r="F56" s="2">
        <v>203.52</v>
      </c>
      <c r="G56" s="78">
        <v>203.52</v>
      </c>
      <c r="H56">
        <v>0</v>
      </c>
      <c r="I56" s="2">
        <v>0</v>
      </c>
      <c r="J56" s="2">
        <v>0</v>
      </c>
      <c r="K56" s="2">
        <v>137.51000000000022</v>
      </c>
      <c r="L56" s="736">
        <v>0</v>
      </c>
      <c r="M56" s="2">
        <v>137.51000000000022</v>
      </c>
      <c r="N56">
        <v>0</v>
      </c>
      <c r="O56"/>
      <c r="P56" s="736">
        <v>8.6477987421383646E-3</v>
      </c>
      <c r="Q56" s="736">
        <v>-9.2999999999999992E-3</v>
      </c>
      <c r="R56" s="2">
        <v>23.610208816705338</v>
      </c>
      <c r="S56" s="48"/>
      <c r="U56" s="48"/>
      <c r="V56" s="48"/>
    </row>
    <row r="57" spans="1:41" ht="21.95" customHeight="1" x14ac:dyDescent="0.25">
      <c r="A57" s="51"/>
      <c r="B57" s="152"/>
      <c r="C57" s="325"/>
      <c r="D57" s="788"/>
      <c r="E57" s="22" t="s">
        <v>900</v>
      </c>
      <c r="F57" s="2">
        <v>34.65</v>
      </c>
      <c r="G57" s="78">
        <v>34.65</v>
      </c>
      <c r="H57">
        <v>0</v>
      </c>
      <c r="I57" s="2">
        <v>0</v>
      </c>
      <c r="J57" s="2">
        <v>0</v>
      </c>
      <c r="K57" s="2">
        <v>845.78000000000065</v>
      </c>
      <c r="L57" s="736">
        <v>0</v>
      </c>
      <c r="M57" s="2">
        <v>845.78000000000065</v>
      </c>
      <c r="N57">
        <v>0</v>
      </c>
      <c r="O57"/>
      <c r="P57" s="736">
        <v>7.6190476190476197E-2</v>
      </c>
      <c r="Q57" s="736">
        <v>-6.6E-3</v>
      </c>
      <c r="R57" s="2"/>
      <c r="S57" s="736"/>
      <c r="W57" s="48"/>
      <c r="X57"/>
      <c r="Y57"/>
      <c r="Z57"/>
      <c r="AA57" s="2"/>
      <c r="AB57"/>
      <c r="AC57"/>
      <c r="AD57" s="2"/>
      <c r="AE57"/>
      <c r="AF57"/>
      <c r="AG57" s="2"/>
      <c r="AH57"/>
      <c r="AI57" s="2"/>
      <c r="AJ57"/>
      <c r="AK57"/>
      <c r="AL57"/>
      <c r="AM57"/>
      <c r="AN57"/>
      <c r="AO57"/>
    </row>
    <row r="58" spans="1:41" ht="21.95" customHeight="1" x14ac:dyDescent="0.25">
      <c r="A58" s="50"/>
      <c r="B58" s="50"/>
      <c r="C58" s="51"/>
      <c r="D58" s="788"/>
      <c r="E58" s="22" t="s">
        <v>896</v>
      </c>
      <c r="F58" s="78">
        <v>255.16</v>
      </c>
      <c r="G58" s="78">
        <v>255.16</v>
      </c>
      <c r="H58">
        <v>0</v>
      </c>
      <c r="I58" s="2">
        <v>0</v>
      </c>
      <c r="J58" s="2">
        <v>0</v>
      </c>
      <c r="K58" s="2">
        <v>423.00000000000364</v>
      </c>
      <c r="L58" s="736">
        <v>0</v>
      </c>
      <c r="M58" s="2">
        <v>423.00000000000364</v>
      </c>
      <c r="N58">
        <v>0</v>
      </c>
      <c r="O58"/>
      <c r="P58" s="736">
        <v>1.9900000000000001E-2</v>
      </c>
      <c r="Q58" s="736">
        <v>-1.8E-3</v>
      </c>
      <c r="R58" s="2">
        <v>16.34</v>
      </c>
      <c r="S58" s="48"/>
      <c r="T58" s="345"/>
      <c r="U58" s="345"/>
    </row>
    <row r="59" spans="1:41" ht="21.95" customHeight="1" x14ac:dyDescent="0.25">
      <c r="A59" s="50"/>
      <c r="B59" s="50"/>
      <c r="C59" s="50"/>
      <c r="D59" s="788"/>
      <c r="E59" s="22" t="s">
        <v>194</v>
      </c>
      <c r="F59" s="2">
        <v>81.260000000000005</v>
      </c>
      <c r="G59" s="78">
        <v>81.260000000000005</v>
      </c>
      <c r="H59">
        <v>0</v>
      </c>
      <c r="I59" s="2">
        <v>0</v>
      </c>
      <c r="J59" s="2">
        <v>0</v>
      </c>
      <c r="K59" s="2">
        <v>0</v>
      </c>
      <c r="L59" s="736">
        <v>0</v>
      </c>
      <c r="M59" s="2">
        <v>785.90999999999985</v>
      </c>
      <c r="N59">
        <v>0</v>
      </c>
      <c r="O59"/>
      <c r="P59" s="736">
        <v>1.29E-2</v>
      </c>
      <c r="Q59" s="736">
        <v>9.4000000000000004E-3</v>
      </c>
      <c r="R59" s="2"/>
      <c r="S59" s="736"/>
      <c r="U59" s="48"/>
      <c r="V59" s="48"/>
    </row>
    <row r="60" spans="1:41" ht="21.95" customHeight="1" x14ac:dyDescent="0.25">
      <c r="A60" s="50"/>
      <c r="B60" s="51"/>
      <c r="C60" s="51"/>
      <c r="D60" s="788"/>
      <c r="E60" s="22" t="s">
        <v>221</v>
      </c>
      <c r="F60" s="2">
        <v>57.13</v>
      </c>
      <c r="G60" s="78">
        <v>57.13</v>
      </c>
      <c r="H60">
        <v>0</v>
      </c>
      <c r="I60" s="2">
        <v>0</v>
      </c>
      <c r="J60" s="2">
        <v>0</v>
      </c>
      <c r="K60" s="2">
        <v>0</v>
      </c>
      <c r="L60" s="736">
        <v>0</v>
      </c>
      <c r="M60" s="2">
        <v>257.64999999999964</v>
      </c>
      <c r="N60">
        <v>0</v>
      </c>
      <c r="O60"/>
      <c r="P60" s="736">
        <v>0</v>
      </c>
      <c r="Q60" s="736">
        <v>-3.3E-3</v>
      </c>
      <c r="R60" s="2"/>
      <c r="T60" s="48"/>
    </row>
    <row r="61" spans="1:41" ht="21.95" customHeight="1" x14ac:dyDescent="0.25">
      <c r="A61" s="50"/>
      <c r="B61" s="50"/>
      <c r="C61" s="51"/>
      <c r="D61" s="788"/>
      <c r="E61" s="22" t="s">
        <v>802</v>
      </c>
      <c r="F61" s="2">
        <v>487.68</v>
      </c>
      <c r="G61" s="78">
        <v>487.68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1264.8599999999997</v>
      </c>
      <c r="N61">
        <v>0</v>
      </c>
      <c r="O61"/>
      <c r="P61" s="736">
        <v>0</v>
      </c>
      <c r="Q61" s="736">
        <v>-8.9999999999999998E-4</v>
      </c>
      <c r="R61" s="2"/>
      <c r="S61" s="48"/>
      <c r="U61" s="48"/>
    </row>
    <row r="62" spans="1:41" ht="21.95" customHeight="1" x14ac:dyDescent="0.25">
      <c r="A62" s="50"/>
      <c r="B62" s="50"/>
      <c r="C62" s="51"/>
      <c r="D62" s="788"/>
      <c r="E62" s="22" t="s">
        <v>712</v>
      </c>
      <c r="F62" s="2">
        <v>78.53</v>
      </c>
      <c r="G62" s="78">
        <v>78.53</v>
      </c>
      <c r="H62">
        <v>0</v>
      </c>
      <c r="I62" s="2">
        <v>0</v>
      </c>
      <c r="J62" s="2">
        <v>0</v>
      </c>
      <c r="K62" s="2">
        <v>581.39999999999964</v>
      </c>
      <c r="L62" s="736">
        <v>0</v>
      </c>
      <c r="M62" s="2">
        <v>1040.7199999999993</v>
      </c>
      <c r="N62">
        <v>0</v>
      </c>
      <c r="O62" t="s">
        <v>1198</v>
      </c>
      <c r="P62" s="736">
        <v>0</v>
      </c>
      <c r="Q62" s="736">
        <v>-3.3999999999999998E-3</v>
      </c>
      <c r="R62" s="2">
        <v>19.223990208078337</v>
      </c>
      <c r="U62" s="48"/>
    </row>
    <row r="63" spans="1:41" ht="21.95" customHeight="1" x14ac:dyDescent="0.25">
      <c r="A63" s="50"/>
      <c r="B63" s="50"/>
      <c r="C63" s="51"/>
      <c r="D63" s="788"/>
      <c r="E63" s="22" t="s">
        <v>34</v>
      </c>
      <c r="F63" s="2">
        <v>52.26</v>
      </c>
      <c r="G63" s="78">
        <v>52.26</v>
      </c>
      <c r="H63">
        <v>0</v>
      </c>
      <c r="I63" s="2">
        <v>0</v>
      </c>
      <c r="J63" s="2">
        <v>0</v>
      </c>
      <c r="K63" s="2">
        <v>0</v>
      </c>
      <c r="L63" s="736">
        <v>0</v>
      </c>
      <c r="M63" s="2">
        <v>21137.586999999941</v>
      </c>
      <c r="N63">
        <v>0</v>
      </c>
      <c r="O63"/>
      <c r="P63" s="736">
        <v>0</v>
      </c>
      <c r="Q63" s="736">
        <v>-2.12E-2</v>
      </c>
      <c r="R63" s="2"/>
      <c r="S63" s="736"/>
      <c r="T63" s="48"/>
      <c r="U63" s="48"/>
    </row>
    <row r="64" spans="1:41" ht="21.95" customHeight="1" x14ac:dyDescent="0.25">
      <c r="A64" s="50"/>
      <c r="B64" s="51"/>
      <c r="C64" s="51"/>
      <c r="D64" s="788"/>
      <c r="E64" s="22" t="s">
        <v>172</v>
      </c>
      <c r="F64" s="2">
        <v>53.16</v>
      </c>
      <c r="G64" s="78">
        <v>53.16</v>
      </c>
      <c r="H64">
        <v>0</v>
      </c>
      <c r="I64" s="2">
        <v>0</v>
      </c>
      <c r="J64" s="2">
        <v>0</v>
      </c>
      <c r="K64" s="2">
        <v>0</v>
      </c>
      <c r="L64" s="736">
        <v>0</v>
      </c>
      <c r="M64" s="2">
        <v>119.92000000000053</v>
      </c>
      <c r="N64">
        <v>0</v>
      </c>
      <c r="O64"/>
      <c r="P64" s="736">
        <v>3.6400000000000002E-2</v>
      </c>
      <c r="Q64" s="736">
        <v>4.0000000000000001E-3</v>
      </c>
      <c r="R64" s="2"/>
      <c r="S64" s="736"/>
      <c r="W64" s="48"/>
    </row>
    <row r="65" spans="1:41" ht="21.95" customHeight="1" x14ac:dyDescent="0.25">
      <c r="A65" s="50"/>
      <c r="B65" s="50"/>
      <c r="C65" s="51"/>
      <c r="D65" s="788"/>
      <c r="E65" s="22" t="s">
        <v>27</v>
      </c>
      <c r="F65" s="2">
        <v>50.14</v>
      </c>
      <c r="G65" s="78">
        <v>50.14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1407.5400000000009</v>
      </c>
      <c r="N65">
        <v>0</v>
      </c>
      <c r="O65" s="29"/>
      <c r="P65" s="736">
        <v>3.0200000000000001E-2</v>
      </c>
      <c r="Q65" s="736">
        <v>3.5999999999999999E-3</v>
      </c>
      <c r="R65" s="2"/>
      <c r="T65" s="48"/>
      <c r="U65" s="48"/>
    </row>
    <row r="66" spans="1:41" ht="21.95" customHeight="1" x14ac:dyDescent="0.25">
      <c r="A66" s="50"/>
      <c r="B66" s="50"/>
      <c r="C66" s="50"/>
      <c r="D66" s="788"/>
      <c r="E66" s="22" t="s">
        <v>22</v>
      </c>
      <c r="F66" s="2">
        <v>64</v>
      </c>
      <c r="G66" s="78">
        <v>64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3178.8000000000466</v>
      </c>
      <c r="N66">
        <v>0</v>
      </c>
      <c r="O66"/>
      <c r="P66" s="736">
        <v>2.07E-2</v>
      </c>
      <c r="Q66" s="736">
        <v>-2.93E-2</v>
      </c>
      <c r="R66" s="2"/>
      <c r="S66" s="736"/>
      <c r="V66" s="48"/>
    </row>
    <row r="67" spans="1:41" ht="21.95" customHeight="1" x14ac:dyDescent="0.25">
      <c r="A67" s="50"/>
      <c r="B67" s="50"/>
      <c r="C67" s="51"/>
      <c r="D67" s="788"/>
      <c r="E67" s="22" t="s">
        <v>42</v>
      </c>
      <c r="F67" s="2">
        <v>148.76</v>
      </c>
      <c r="G67" s="78">
        <v>148.76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128.08999999999833</v>
      </c>
      <c r="N67">
        <v>0</v>
      </c>
      <c r="O67"/>
      <c r="P67" s="736">
        <v>2.18E-2</v>
      </c>
      <c r="Q67" s="736">
        <v>-8.0999999999999996E-3</v>
      </c>
      <c r="R67" s="2"/>
      <c r="S67" s="48"/>
      <c r="U67" s="48"/>
    </row>
    <row r="68" spans="1:41" ht="21.95" customHeight="1" x14ac:dyDescent="0.25">
      <c r="A68" s="50"/>
      <c r="B68" s="50"/>
      <c r="C68" s="51"/>
      <c r="D68" s="788"/>
      <c r="E68" s="22" t="s">
        <v>264</v>
      </c>
      <c r="F68" s="2">
        <v>50.95</v>
      </c>
      <c r="G68" s="78">
        <v>50.95</v>
      </c>
      <c r="H68">
        <v>0</v>
      </c>
      <c r="I68" s="2">
        <v>0</v>
      </c>
      <c r="J68" s="2">
        <v>0</v>
      </c>
      <c r="K68" s="2">
        <v>0</v>
      </c>
      <c r="L68" s="736">
        <v>0</v>
      </c>
      <c r="M68" s="2">
        <v>427.92000000000007</v>
      </c>
      <c r="N68">
        <v>0</v>
      </c>
      <c r="O68"/>
      <c r="P68" s="736">
        <v>0</v>
      </c>
      <c r="Q68" s="736">
        <v>4.1300000000000003E-2</v>
      </c>
      <c r="R68" s="2"/>
      <c r="S68" s="736"/>
      <c r="X68"/>
      <c r="Y68"/>
      <c r="Z68"/>
      <c r="AA68" s="2"/>
      <c r="AB68"/>
      <c r="AC68"/>
      <c r="AD68" s="2"/>
      <c r="AE68"/>
      <c r="AF68"/>
      <c r="AG68" s="2"/>
      <c r="AH68"/>
      <c r="AI68" s="2"/>
      <c r="AJ68"/>
      <c r="AK68"/>
      <c r="AL68"/>
      <c r="AM68"/>
      <c r="AN68"/>
      <c r="AO68"/>
    </row>
    <row r="69" spans="1:41" ht="21.95" customHeight="1" x14ac:dyDescent="0.25">
      <c r="A69" s="50"/>
      <c r="B69" s="50"/>
      <c r="C69" s="51"/>
      <c r="D69" s="788"/>
      <c r="E69" s="22" t="s">
        <v>175</v>
      </c>
      <c r="F69" s="2">
        <v>285.07</v>
      </c>
      <c r="G69" s="78">
        <v>285.07</v>
      </c>
      <c r="H69">
        <v>0</v>
      </c>
      <c r="I69" s="2">
        <v>0</v>
      </c>
      <c r="J69" s="2">
        <v>0</v>
      </c>
      <c r="K69" s="2">
        <v>935.99000000000524</v>
      </c>
      <c r="L69" s="736">
        <v>0</v>
      </c>
      <c r="M69" s="2">
        <v>1096.8200000000052</v>
      </c>
      <c r="N69">
        <v>0</v>
      </c>
      <c r="O69"/>
      <c r="P69" s="736">
        <v>1.84E-2</v>
      </c>
      <c r="Q69" s="736">
        <v>-1.4E-3</v>
      </c>
      <c r="R69" s="2">
        <v>21.928461538461537</v>
      </c>
      <c r="S69" s="48"/>
    </row>
    <row r="70" spans="1:41" ht="21.95" customHeight="1" x14ac:dyDescent="0.25">
      <c r="A70" s="51"/>
      <c r="B70" s="152"/>
      <c r="C70" s="325"/>
      <c r="D70" s="788"/>
      <c r="E70" s="22" t="s">
        <v>170</v>
      </c>
      <c r="F70" s="2">
        <v>94.33</v>
      </c>
      <c r="G70" s="78">
        <v>94.33</v>
      </c>
      <c r="H70">
        <v>0</v>
      </c>
      <c r="I70" s="2">
        <v>0</v>
      </c>
      <c r="J70" s="2">
        <v>0</v>
      </c>
      <c r="K70" s="2">
        <v>0</v>
      </c>
      <c r="L70" s="736">
        <v>0</v>
      </c>
      <c r="M70" s="2">
        <v>1368.9000000000015</v>
      </c>
      <c r="N70">
        <v>0</v>
      </c>
      <c r="O70"/>
      <c r="P70" s="736">
        <v>1.14E-2</v>
      </c>
      <c r="Q70" s="736">
        <v>-1.14E-2</v>
      </c>
      <c r="R70" s="2"/>
      <c r="T70" s="48"/>
      <c r="X70" s="736"/>
      <c r="Y70"/>
      <c r="Z70"/>
      <c r="AA70" s="2"/>
      <c r="AB70"/>
      <c r="AC70"/>
      <c r="AD70" s="2"/>
      <c r="AE70"/>
      <c r="AF70"/>
      <c r="AG70" s="2"/>
      <c r="AH70"/>
      <c r="AI70" s="2"/>
      <c r="AJ70"/>
      <c r="AK70"/>
      <c r="AL70"/>
      <c r="AM70" s="2"/>
      <c r="AN70"/>
      <c r="AO70"/>
    </row>
    <row r="71" spans="1:41" ht="21.95" customHeight="1" x14ac:dyDescent="0.25">
      <c r="A71" s="50"/>
      <c r="B71" s="51"/>
      <c r="C71" s="51"/>
      <c r="D71" s="788"/>
      <c r="E71" s="22" t="s">
        <v>8</v>
      </c>
      <c r="F71" s="2">
        <v>89.19</v>
      </c>
      <c r="G71" s="78">
        <v>89.19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121.94999999999982</v>
      </c>
      <c r="N71">
        <v>0</v>
      </c>
      <c r="O71"/>
      <c r="P71" s="736">
        <v>1.67E-2</v>
      </c>
      <c r="Q71" s="736">
        <v>-1.8E-3</v>
      </c>
      <c r="R71" s="2"/>
      <c r="S71" s="736"/>
      <c r="T71" s="48"/>
    </row>
    <row r="72" spans="1:41" ht="21.95" customHeight="1" x14ac:dyDescent="0.25">
      <c r="A72" s="152"/>
      <c r="B72" s="50"/>
      <c r="C72" s="51"/>
      <c r="D72" s="788"/>
      <c r="E72" s="22" t="s">
        <v>10</v>
      </c>
      <c r="F72" s="2">
        <v>42.99</v>
      </c>
      <c r="G72" s="78">
        <v>42.99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1128.3800000000047</v>
      </c>
      <c r="N72">
        <v>0</v>
      </c>
      <c r="O72"/>
      <c r="P72" s="736">
        <v>1.2500000000000001E-2</v>
      </c>
      <c r="Q72" s="736">
        <v>-1.6199999999999999E-2</v>
      </c>
      <c r="R72" s="2"/>
      <c r="S72" s="736"/>
      <c r="T72" s="48"/>
      <c r="U72" s="48"/>
      <c r="X72"/>
      <c r="Y72"/>
      <c r="Z72"/>
      <c r="AA72" s="2"/>
      <c r="AB72"/>
      <c r="AC72"/>
      <c r="AD72" s="2"/>
      <c r="AE72"/>
      <c r="AF72"/>
      <c r="AG72" s="2"/>
      <c r="AH72"/>
      <c r="AI72" s="2"/>
      <c r="AJ72"/>
      <c r="AK72"/>
      <c r="AL72"/>
      <c r="AM72"/>
      <c r="AN72"/>
      <c r="AO72"/>
    </row>
    <row r="73" spans="1:41" ht="21.95" customHeight="1" x14ac:dyDescent="0.25">
      <c r="A73" s="50"/>
      <c r="B73" s="50"/>
      <c r="C73" s="51"/>
      <c r="D73" s="788"/>
      <c r="E73" s="22" t="s">
        <v>220</v>
      </c>
      <c r="F73" s="2">
        <v>49.75</v>
      </c>
      <c r="G73" s="78">
        <v>49.75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4376.9599999999991</v>
      </c>
      <c r="N73">
        <v>0</v>
      </c>
      <c r="O73" t="s">
        <v>1182</v>
      </c>
      <c r="P73" s="736">
        <v>4.0899999999999999E-2</v>
      </c>
      <c r="Q73" s="736">
        <v>2.4299999999999999E-2</v>
      </c>
      <c r="R73" s="2"/>
      <c r="S73" s="48"/>
      <c r="W73" s="48"/>
    </row>
    <row r="74" spans="1:41" ht="21.95" customHeight="1" x14ac:dyDescent="0.25">
      <c r="A74" s="50"/>
      <c r="B74" s="50"/>
      <c r="C74" s="50"/>
      <c r="D74" s="788"/>
      <c r="E74" s="22" t="s">
        <v>335</v>
      </c>
      <c r="F74" s="78">
        <v>82.62</v>
      </c>
      <c r="G74" s="78">
        <v>82.62</v>
      </c>
      <c r="H74">
        <v>0</v>
      </c>
      <c r="I74" s="2">
        <v>0</v>
      </c>
      <c r="J74" s="2">
        <v>0</v>
      </c>
      <c r="K74" s="2">
        <v>129.92000000000007</v>
      </c>
      <c r="L74" s="736">
        <v>0</v>
      </c>
      <c r="M74" s="2">
        <v>2190.3500000000004</v>
      </c>
      <c r="N74">
        <v>0</v>
      </c>
      <c r="O74"/>
      <c r="P74" s="736">
        <v>4.3499999999999997E-2</v>
      </c>
      <c r="Q74" s="736">
        <v>2.8E-3</v>
      </c>
      <c r="R74" s="2">
        <v>15.737142857142858</v>
      </c>
      <c r="S74" s="48"/>
      <c r="U74" s="48"/>
    </row>
    <row r="75" spans="1:41" ht="21.95" customHeight="1" x14ac:dyDescent="0.25">
      <c r="A75" s="152"/>
      <c r="B75" s="50"/>
      <c r="C75" s="51"/>
      <c r="D75" s="788"/>
      <c r="E75" s="22" t="s">
        <v>24</v>
      </c>
      <c r="F75" s="2">
        <v>72.34</v>
      </c>
      <c r="G75" s="78">
        <v>72.34</v>
      </c>
      <c r="H75">
        <v>0</v>
      </c>
      <c r="I75" s="2">
        <v>0</v>
      </c>
      <c r="J75" s="2">
        <v>0</v>
      </c>
      <c r="K75" s="2">
        <v>0</v>
      </c>
      <c r="L75" s="736">
        <v>0</v>
      </c>
      <c r="M75" s="2">
        <v>937.36999999999534</v>
      </c>
      <c r="N75">
        <v>0</v>
      </c>
      <c r="O75"/>
      <c r="P75" s="736">
        <v>0</v>
      </c>
      <c r="Q75" s="736">
        <v>3.3300000000000003E-2</v>
      </c>
      <c r="R75" s="2"/>
      <c r="T75" s="48"/>
    </row>
    <row r="76" spans="1:41" ht="21.95" customHeight="1" x14ac:dyDescent="0.25">
      <c r="A76" s="50"/>
      <c r="B76" s="50"/>
      <c r="C76" s="51"/>
      <c r="D76" s="788"/>
      <c r="E76" s="22" t="s">
        <v>45</v>
      </c>
      <c r="F76" s="2">
        <v>99.48</v>
      </c>
      <c r="G76" s="78">
        <v>99.48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523.61999999999898</v>
      </c>
      <c r="N76">
        <v>0</v>
      </c>
      <c r="O76"/>
      <c r="P76" s="736">
        <v>1.67E-2</v>
      </c>
      <c r="Q76" s="736">
        <v>2.7000000000000001E-3</v>
      </c>
      <c r="R76" s="2"/>
      <c r="S76" s="48"/>
      <c r="T76" s="48"/>
      <c r="U76" s="48"/>
    </row>
    <row r="77" spans="1:41" ht="21.95" customHeight="1" x14ac:dyDescent="0.25">
      <c r="A77" s="50"/>
      <c r="B77" s="50"/>
      <c r="C77" s="51"/>
      <c r="D77" s="788"/>
      <c r="E77" s="22" t="s">
        <v>47</v>
      </c>
      <c r="F77" s="78">
        <v>171.69</v>
      </c>
      <c r="G77" s="78">
        <v>171.69</v>
      </c>
      <c r="H77">
        <v>0</v>
      </c>
      <c r="I77" s="2">
        <v>0</v>
      </c>
      <c r="J77" s="2">
        <v>0</v>
      </c>
      <c r="K77" s="2">
        <v>0</v>
      </c>
      <c r="L77" s="736">
        <v>0</v>
      </c>
      <c r="M77" s="2">
        <v>-168.6200000000008</v>
      </c>
      <c r="N77">
        <v>0</v>
      </c>
      <c r="O77"/>
      <c r="P77" s="736">
        <v>0</v>
      </c>
      <c r="Q77" s="736">
        <v>-6.7000000000000002E-3</v>
      </c>
      <c r="R77" s="2"/>
      <c r="S77" s="736"/>
      <c r="T77" s="48"/>
    </row>
    <row r="78" spans="1:41" ht="21.95" customHeight="1" x14ac:dyDescent="0.25">
      <c r="A78" s="50"/>
      <c r="B78" s="50"/>
      <c r="C78" s="51"/>
      <c r="D78" s="788"/>
      <c r="E78" s="22" t="s">
        <v>33</v>
      </c>
      <c r="F78" s="2">
        <v>216.58</v>
      </c>
      <c r="G78" s="78">
        <v>216.58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780.73999999999796</v>
      </c>
      <c r="N78">
        <v>0</v>
      </c>
      <c r="O78"/>
      <c r="P78" s="736">
        <v>1.8599999999999998E-2</v>
      </c>
      <c r="Q78" s="736">
        <v>-1.3100000000000001E-2</v>
      </c>
      <c r="R78" s="2"/>
      <c r="S78" s="736"/>
    </row>
    <row r="79" spans="1:41" ht="21.95" customHeight="1" x14ac:dyDescent="0.25">
      <c r="A79" s="51"/>
      <c r="B79" s="51"/>
      <c r="C79" s="51"/>
      <c r="D79" s="788"/>
      <c r="E79" s="22" t="s">
        <v>13</v>
      </c>
      <c r="F79" s="2">
        <v>82.75</v>
      </c>
      <c r="G79" s="78">
        <v>82.75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1461.5600000000013</v>
      </c>
      <c r="N79">
        <v>0</v>
      </c>
      <c r="O79"/>
      <c r="P79" s="736">
        <v>0</v>
      </c>
      <c r="Q79" s="736">
        <v>-5.0000000000000001E-4</v>
      </c>
      <c r="R79" s="2"/>
      <c r="S79" s="736"/>
      <c r="U79" s="48"/>
    </row>
    <row r="80" spans="1:41" ht="21.95" customHeight="1" x14ac:dyDescent="0.25">
      <c r="A80" s="50"/>
      <c r="B80" s="50"/>
      <c r="C80" s="51"/>
      <c r="D80" s="788"/>
      <c r="E80" s="22" t="s">
        <v>63</v>
      </c>
      <c r="F80" s="2">
        <v>114.16</v>
      </c>
      <c r="G80" s="78">
        <v>114.16</v>
      </c>
      <c r="H80">
        <v>0</v>
      </c>
      <c r="I80" s="2">
        <v>0</v>
      </c>
      <c r="J80" s="2">
        <v>0</v>
      </c>
      <c r="K80" s="2">
        <v>0</v>
      </c>
      <c r="L80" s="736">
        <v>0</v>
      </c>
      <c r="M80" s="2">
        <v>257.30999999999949</v>
      </c>
      <c r="N80">
        <v>0</v>
      </c>
      <c r="O80"/>
      <c r="P80" s="736">
        <v>1.38E-2</v>
      </c>
      <c r="Q80" s="736">
        <v>1.6000000000000001E-3</v>
      </c>
      <c r="R80" s="2"/>
      <c r="T80" s="48"/>
    </row>
    <row r="81" spans="1:21" ht="21.95" customHeight="1" x14ac:dyDescent="0.25">
      <c r="A81" s="50"/>
      <c r="B81" s="50"/>
      <c r="C81" s="51"/>
      <c r="D81" s="788"/>
      <c r="E81" s="22" t="s">
        <v>9</v>
      </c>
      <c r="F81" s="2">
        <v>5.24</v>
      </c>
      <c r="G81" s="78">
        <v>5.24</v>
      </c>
      <c r="H81">
        <v>0</v>
      </c>
      <c r="I81" s="2">
        <v>0</v>
      </c>
      <c r="J81" s="2">
        <v>0</v>
      </c>
      <c r="K81" s="2">
        <v>-8332.1133333333346</v>
      </c>
      <c r="L81" s="736">
        <v>0</v>
      </c>
      <c r="M81" s="2">
        <v>-7897.1833333333343</v>
      </c>
      <c r="N81">
        <v>0</v>
      </c>
      <c r="O81"/>
      <c r="P81" s="736">
        <v>0.04</v>
      </c>
      <c r="Q81" s="736">
        <v>4.5900000000000003E-2</v>
      </c>
      <c r="R81" s="2"/>
      <c r="S81" s="736"/>
    </row>
    <row r="82" spans="1:21" ht="21.95" customHeight="1" x14ac:dyDescent="0.25">
      <c r="A82" s="50"/>
      <c r="B82" s="50"/>
      <c r="C82" s="51"/>
      <c r="D82" s="788"/>
      <c r="E82" s="22" t="s">
        <v>55</v>
      </c>
      <c r="F82" s="2">
        <v>78.040000000000006</v>
      </c>
      <c r="G82" s="78">
        <v>78.040000000000006</v>
      </c>
      <c r="H82">
        <v>0</v>
      </c>
      <c r="I82" s="2">
        <v>0</v>
      </c>
      <c r="J82" s="2">
        <v>0</v>
      </c>
      <c r="K82" s="2">
        <v>113.94999999999982</v>
      </c>
      <c r="L82" s="736">
        <v>0</v>
      </c>
      <c r="M82" s="2">
        <v>924.07999999998992</v>
      </c>
      <c r="N82">
        <v>0</v>
      </c>
      <c r="O82" t="s">
        <v>1181</v>
      </c>
      <c r="P82" s="736">
        <v>2.6652998462327011E-2</v>
      </c>
      <c r="Q82" s="736">
        <v>1.47E-2</v>
      </c>
      <c r="R82" s="2">
        <v>12.080495356037153</v>
      </c>
      <c r="S82" s="48"/>
      <c r="T82" s="48"/>
      <c r="U82" s="48"/>
    </row>
    <row r="83" spans="1:21" ht="21.95" customHeight="1" x14ac:dyDescent="0.25">
      <c r="A83" s="51"/>
      <c r="B83" s="51"/>
      <c r="C83" s="51"/>
      <c r="D83" s="788"/>
      <c r="E83" s="22" t="s">
        <v>53</v>
      </c>
      <c r="F83" s="2">
        <v>80.209999999999994</v>
      </c>
      <c r="G83" s="78">
        <v>80.209999999999994</v>
      </c>
      <c r="H83">
        <v>0</v>
      </c>
      <c r="I83" s="2">
        <v>0</v>
      </c>
      <c r="J83" s="2">
        <v>0</v>
      </c>
      <c r="K83" s="2">
        <v>0</v>
      </c>
      <c r="L83" s="736">
        <v>0</v>
      </c>
      <c r="M83" s="2">
        <v>33.940000000000055</v>
      </c>
      <c r="N83">
        <v>0</v>
      </c>
      <c r="O83"/>
      <c r="P83" s="736">
        <v>7.4000000000000003E-3</v>
      </c>
      <c r="Q83" s="736">
        <v>-1.5E-3</v>
      </c>
      <c r="R83" s="2"/>
      <c r="S83" s="736"/>
    </row>
    <row r="84" spans="1:21" ht="21.95" customHeight="1" x14ac:dyDescent="0.25">
      <c r="A84" s="50"/>
      <c r="B84" s="50"/>
      <c r="C84" s="51"/>
      <c r="D84" s="788"/>
      <c r="E84" s="22" t="s">
        <v>56</v>
      </c>
      <c r="F84" s="2">
        <v>37.51</v>
      </c>
      <c r="G84" s="78">
        <v>37.51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36.819999999999709</v>
      </c>
      <c r="N84">
        <v>0</v>
      </c>
      <c r="O84"/>
      <c r="P84" s="736">
        <v>4.2999999999999997E-2</v>
      </c>
      <c r="Q84" s="736">
        <v>-4.0000000000000001E-3</v>
      </c>
      <c r="R84" s="2"/>
    </row>
    <row r="85" spans="1:21" ht="21.95" customHeight="1" x14ac:dyDescent="0.25">
      <c r="A85" s="50"/>
      <c r="B85" s="51"/>
      <c r="C85" s="51"/>
      <c r="D85" s="788"/>
      <c r="E85" s="22" t="s">
        <v>0</v>
      </c>
      <c r="F85" s="2">
        <v>233.24</v>
      </c>
      <c r="G85" s="78">
        <v>233.24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465.57999999999993</v>
      </c>
      <c r="N85">
        <v>0</v>
      </c>
      <c r="O85"/>
      <c r="P85" s="736">
        <v>3.8999999999999998E-3</v>
      </c>
      <c r="Q85" s="736">
        <v>-5.7000000000000002E-3</v>
      </c>
      <c r="R85" s="2"/>
      <c r="S85" s="736"/>
      <c r="T85" s="48"/>
    </row>
    <row r="86" spans="1:21" ht="21.95" customHeight="1" x14ac:dyDescent="0.25">
      <c r="A86" s="50"/>
      <c r="B86" s="50"/>
      <c r="C86" s="51"/>
      <c r="D86" s="788"/>
      <c r="E86" s="22" t="s">
        <v>39</v>
      </c>
      <c r="F86" s="2">
        <v>48.1</v>
      </c>
      <c r="G86" s="78">
        <v>48.1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529.88000000000284</v>
      </c>
      <c r="N86">
        <v>0</v>
      </c>
      <c r="O86"/>
      <c r="P86" s="736">
        <v>2.3E-2</v>
      </c>
      <c r="Q86" s="736">
        <v>-1.03E-2</v>
      </c>
      <c r="R86" s="2"/>
    </row>
    <row r="87" spans="1:21" ht="21.95" customHeight="1" x14ac:dyDescent="0.25">
      <c r="A87" s="50"/>
      <c r="B87" s="51"/>
      <c r="C87" s="51"/>
      <c r="D87" s="788"/>
      <c r="E87" s="22" t="s">
        <v>54</v>
      </c>
      <c r="F87" s="2">
        <v>134.24</v>
      </c>
      <c r="G87" s="78">
        <v>134.24</v>
      </c>
      <c r="H87">
        <v>0</v>
      </c>
      <c r="I87" s="2">
        <v>0</v>
      </c>
      <c r="J87" s="2">
        <v>0</v>
      </c>
      <c r="K87" s="2">
        <v>0</v>
      </c>
      <c r="L87" s="736">
        <v>0</v>
      </c>
      <c r="M87" s="2">
        <v>114.84999999999991</v>
      </c>
      <c r="N87">
        <v>0</v>
      </c>
      <c r="O87"/>
      <c r="P87" s="736">
        <v>2.35E-2</v>
      </c>
      <c r="Q87" s="736">
        <v>-3.5000000000000001E-3</v>
      </c>
      <c r="R87" s="2"/>
    </row>
    <row r="88" spans="1:21" ht="21.95" customHeight="1" x14ac:dyDescent="0.25">
      <c r="A88" s="50"/>
      <c r="B88" s="50"/>
      <c r="C88" s="51"/>
      <c r="E88" s="22" t="s">
        <v>51</v>
      </c>
      <c r="F88" s="2">
        <v>261.58999999999997</v>
      </c>
      <c r="G88" s="78">
        <v>261.58999999999997</v>
      </c>
      <c r="H88">
        <v>0</v>
      </c>
      <c r="I88" s="2">
        <v>0</v>
      </c>
      <c r="J88" s="2">
        <v>0</v>
      </c>
      <c r="K88" s="2">
        <v>0</v>
      </c>
      <c r="L88" s="736">
        <v>0</v>
      </c>
      <c r="M88" s="2">
        <v>176.70000000000073</v>
      </c>
      <c r="N88">
        <v>0</v>
      </c>
      <c r="O88"/>
      <c r="P88" s="736">
        <v>1.52E-2</v>
      </c>
      <c r="Q88" s="736">
        <v>1.0699999999999999E-2</v>
      </c>
      <c r="R88" s="2"/>
    </row>
    <row r="89" spans="1:21" ht="21.95" customHeight="1" x14ac:dyDescent="0.25">
      <c r="A89" s="50"/>
      <c r="B89" s="51"/>
      <c r="C89" s="51"/>
      <c r="F89" s="78"/>
      <c r="G89" s="78"/>
      <c r="H89"/>
      <c r="I89" s="2"/>
      <c r="J89" s="2"/>
      <c r="K89" s="2"/>
      <c r="L89" s="736"/>
      <c r="M89" s="2"/>
      <c r="N89"/>
      <c r="O89"/>
      <c r="P89" s="736"/>
      <c r="Q89" s="736"/>
      <c r="R89" s="2"/>
    </row>
    <row r="90" spans="1:21" ht="21.95" customHeight="1" x14ac:dyDescent="0.25">
      <c r="A90" s="50"/>
      <c r="B90" s="50"/>
      <c r="C90" s="51"/>
      <c r="F90" s="78"/>
      <c r="G90" s="78"/>
      <c r="H90"/>
      <c r="I90" s="2"/>
      <c r="J90" s="2"/>
      <c r="K90" s="2"/>
      <c r="L90" s="736"/>
      <c r="M90" s="2"/>
      <c r="N90"/>
      <c r="O90"/>
      <c r="P90" s="736"/>
      <c r="Q90" s="736"/>
      <c r="R90" s="2"/>
    </row>
    <row r="91" spans="1:21" ht="21.95" customHeight="1" x14ac:dyDescent="0.25">
      <c r="A91" s="50"/>
      <c r="B91" s="51"/>
      <c r="C91" s="51"/>
      <c r="F91" s="78"/>
      <c r="G91" s="78"/>
      <c r="H91"/>
      <c r="I91" s="2"/>
      <c r="J91" s="2"/>
      <c r="K91" s="2"/>
      <c r="L91" s="736"/>
      <c r="M91" s="2"/>
      <c r="N91"/>
      <c r="O91"/>
      <c r="P91" s="736"/>
      <c r="Q91" s="736"/>
      <c r="R91" s="2"/>
    </row>
    <row r="92" spans="1:21" ht="21.95" customHeight="1" x14ac:dyDescent="0.25">
      <c r="F92" s="78"/>
      <c r="G92" s="78"/>
      <c r="H92"/>
      <c r="I92" s="2"/>
      <c r="J92" s="2"/>
      <c r="K92" s="2"/>
      <c r="L92" s="736"/>
      <c r="M92" s="2"/>
      <c r="N92"/>
      <c r="O92"/>
      <c r="P92" s="736"/>
      <c r="Q92" s="736"/>
      <c r="R92" s="2"/>
    </row>
    <row r="93" spans="1:21" ht="21.95" customHeight="1" x14ac:dyDescent="0.25">
      <c r="F93" s="78"/>
      <c r="G93" s="78"/>
      <c r="H93"/>
      <c r="I93" s="2"/>
      <c r="J93" s="2"/>
      <c r="K93" s="2"/>
      <c r="L93" s="736"/>
      <c r="M93" s="2"/>
      <c r="N93"/>
      <c r="O93"/>
      <c r="P93" s="736"/>
      <c r="Q93" s="736"/>
      <c r="R93" s="2"/>
    </row>
    <row r="94" spans="1:21" ht="21.95" customHeight="1" x14ac:dyDescent="0.25">
      <c r="F94" s="78"/>
      <c r="G94" s="78"/>
      <c r="H94"/>
      <c r="I94" s="2"/>
      <c r="J94" s="2"/>
      <c r="K94" s="2"/>
      <c r="L94" s="736"/>
      <c r="M94" s="2"/>
      <c r="N94"/>
      <c r="O94"/>
      <c r="P94" s="736"/>
      <c r="Q94" s="736"/>
      <c r="R94" s="2"/>
    </row>
    <row r="95" spans="1:21" ht="21.95" customHeight="1" x14ac:dyDescent="0.25">
      <c r="F95" s="78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21" ht="21.95" customHeight="1" x14ac:dyDescent="0.25">
      <c r="F96" s="78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6:18" ht="21.95" customHeight="1" x14ac:dyDescent="0.25"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6:18" ht="21.95" customHeight="1" x14ac:dyDescent="0.25"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6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6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6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6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6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6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2860" priority="613">
      <formula>$O1=0</formula>
    </cfRule>
    <cfRule type="dataBar" priority="9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2859" priority="569">
      <formula>$H2=0</formula>
    </cfRule>
  </conditionalFormatting>
  <conditionalFormatting sqref="K105:K200">
    <cfRule type="expression" dxfId="2858" priority="570">
      <formula>$J105=0</formula>
    </cfRule>
  </conditionalFormatting>
  <conditionalFormatting sqref="K105:K458">
    <cfRule type="expression" dxfId="2857" priority="611">
      <formula>$J105&lt;0</formula>
    </cfRule>
  </conditionalFormatting>
  <conditionalFormatting sqref="E59">
    <cfRule type="expression" dxfId="2856" priority="540">
      <formula>$H59=0</formula>
    </cfRule>
  </conditionalFormatting>
  <conditionalFormatting sqref="E5">
    <cfRule type="expression" dxfId="2855" priority="518">
      <formula>$H5=0</formula>
    </cfRule>
  </conditionalFormatting>
  <conditionalFormatting sqref="E60">
    <cfRule type="expression" dxfId="2854" priority="496">
      <formula>$H60=0</formula>
    </cfRule>
  </conditionalFormatting>
  <conditionalFormatting sqref="E62">
    <cfRule type="expression" dxfId="2853" priority="485">
      <formula>$H62=0</formula>
    </cfRule>
  </conditionalFormatting>
  <conditionalFormatting sqref="E61">
    <cfRule type="expression" dxfId="2852" priority="474">
      <formula>$H61=0</formula>
    </cfRule>
  </conditionalFormatting>
  <conditionalFormatting sqref="E8">
    <cfRule type="expression" dxfId="2851" priority="459">
      <formula>$H8=0</formula>
    </cfRule>
  </conditionalFormatting>
  <conditionalFormatting sqref="E63">
    <cfRule type="expression" dxfId="2850" priority="449">
      <formula>$H63=0</formula>
    </cfRule>
  </conditionalFormatting>
  <conditionalFormatting sqref="E20">
    <cfRule type="expression" dxfId="2849" priority="439">
      <formula>$H20=0</formula>
    </cfRule>
  </conditionalFormatting>
  <conditionalFormatting sqref="E64">
    <cfRule type="expression" dxfId="2848" priority="430">
      <formula>$H64=0</formula>
    </cfRule>
  </conditionalFormatting>
  <conditionalFormatting sqref="E65">
    <cfRule type="expression" dxfId="2847" priority="423">
      <formula>$H65=0</formula>
    </cfRule>
  </conditionalFormatting>
  <conditionalFormatting sqref="E11">
    <cfRule type="expression" dxfId="2846" priority="414">
      <formula>$H11=0</formula>
    </cfRule>
  </conditionalFormatting>
  <conditionalFormatting sqref="E9">
    <cfRule type="expression" dxfId="2845" priority="407">
      <formula>$H9=0</formula>
    </cfRule>
  </conditionalFormatting>
  <conditionalFormatting sqref="E66">
    <cfRule type="expression" dxfId="2844" priority="398">
      <formula>$H66=0</formula>
    </cfRule>
  </conditionalFormatting>
  <conditionalFormatting sqref="E10">
    <cfRule type="expression" dxfId="2843" priority="389">
      <formula>$H10=0</formula>
    </cfRule>
  </conditionalFormatting>
  <conditionalFormatting sqref="E26:E28 E30 E45:E49 E36:E43">
    <cfRule type="expression" dxfId="2842" priority="385">
      <formula>$H26=0</formula>
    </cfRule>
  </conditionalFormatting>
  <conditionalFormatting sqref="E29">
    <cfRule type="expression" dxfId="2841" priority="384">
      <formula>$H29=0</formula>
    </cfRule>
  </conditionalFormatting>
  <conditionalFormatting sqref="E31">
    <cfRule type="expression" dxfId="2840" priority="383">
      <formula>$H31=0</formula>
    </cfRule>
  </conditionalFormatting>
  <conditionalFormatting sqref="E32">
    <cfRule type="expression" dxfId="2839" priority="382">
      <formula>$H32=0</formula>
    </cfRule>
  </conditionalFormatting>
  <conditionalFormatting sqref="E44">
    <cfRule type="expression" dxfId="2838" priority="381">
      <formula>$H44=0</formula>
    </cfRule>
  </conditionalFormatting>
  <conditionalFormatting sqref="E35">
    <cfRule type="expression" dxfId="2837" priority="380">
      <formula>$H35=0</formula>
    </cfRule>
  </conditionalFormatting>
  <conditionalFormatting sqref="E33">
    <cfRule type="expression" dxfId="2836" priority="379">
      <formula>$H33=0</formula>
    </cfRule>
  </conditionalFormatting>
  <conditionalFormatting sqref="E34">
    <cfRule type="expression" dxfId="2835" priority="378">
      <formula>$H34=0</formula>
    </cfRule>
  </conditionalFormatting>
  <conditionalFormatting sqref="E67">
    <cfRule type="expression" dxfId="2834" priority="374">
      <formula>$H67=0</formula>
    </cfRule>
  </conditionalFormatting>
  <conditionalFormatting sqref="E69:E70">
    <cfRule type="expression" dxfId="2833" priority="367">
      <formula>$H69=0</formula>
    </cfRule>
  </conditionalFormatting>
  <conditionalFormatting sqref="E68">
    <cfRule type="expression" dxfId="2832" priority="360">
      <formula>$H68=0</formula>
    </cfRule>
  </conditionalFormatting>
  <conditionalFormatting sqref="E69:E70">
    <cfRule type="expression" dxfId="2831" priority="352">
      <formula>$H69=0</formula>
    </cfRule>
  </conditionalFormatting>
  <conditionalFormatting sqref="E71">
    <cfRule type="expression" dxfId="2830" priority="345">
      <formula>$H71=0</formula>
    </cfRule>
  </conditionalFormatting>
  <conditionalFormatting sqref="E72">
    <cfRule type="expression" dxfId="2829" priority="322">
      <formula>$H72=0</formula>
    </cfRule>
  </conditionalFormatting>
  <conditionalFormatting sqref="E72">
    <cfRule type="expression" dxfId="2828" priority="314">
      <formula>$H72=0</formula>
    </cfRule>
  </conditionalFormatting>
  <conditionalFormatting sqref="E74">
    <cfRule type="expression" dxfId="2827" priority="307">
      <formula>$H74=0</formula>
    </cfRule>
  </conditionalFormatting>
  <conditionalFormatting sqref="E73">
    <cfRule type="expression" dxfId="2826" priority="300">
      <formula>$H73=0</formula>
    </cfRule>
  </conditionalFormatting>
  <conditionalFormatting sqref="E75">
    <cfRule type="expression" dxfId="2825" priority="283">
      <formula>$H75=0</formula>
    </cfRule>
  </conditionalFormatting>
  <conditionalFormatting sqref="E7">
    <cfRule type="expression" dxfId="2824" priority="275">
      <formula>$H7=0</formula>
    </cfRule>
  </conditionalFormatting>
  <conditionalFormatting sqref="P105:P1048576">
    <cfRule type="dataBar" priority="2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2823" priority="259">
      <formula>$H76=0</formula>
    </cfRule>
  </conditionalFormatting>
  <conditionalFormatting sqref="E77">
    <cfRule type="expression" dxfId="2822" priority="246">
      <formula>$H77=0</formula>
    </cfRule>
  </conditionalFormatting>
  <conditionalFormatting sqref="E78">
    <cfRule type="expression" dxfId="2821" priority="232">
      <formula>$H78=0</formula>
    </cfRule>
  </conditionalFormatting>
  <conditionalFormatting sqref="P105:P1048576 P1">
    <cfRule type="dataBar" priority="2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2820" priority="220">
      <formula>$H79=0</formula>
    </cfRule>
  </conditionalFormatting>
  <conditionalFormatting sqref="E80">
    <cfRule type="expression" dxfId="2819" priority="210">
      <formula>$H80=0</formula>
    </cfRule>
  </conditionalFormatting>
  <conditionalFormatting sqref="E81">
    <cfRule type="expression" dxfId="2818" priority="200">
      <formula>$H81=0</formula>
    </cfRule>
  </conditionalFormatting>
  <conditionalFormatting sqref="E82">
    <cfRule type="expression" dxfId="2817" priority="190">
      <formula>$H82=0</formula>
    </cfRule>
  </conditionalFormatting>
  <conditionalFormatting sqref="E83">
    <cfRule type="expression" dxfId="2816" priority="180">
      <formula>$H83=0</formula>
    </cfRule>
  </conditionalFormatting>
  <conditionalFormatting sqref="E84">
    <cfRule type="expression" dxfId="2815" priority="170">
      <formula>$H84=0</formula>
    </cfRule>
  </conditionalFormatting>
  <conditionalFormatting sqref="Q1">
    <cfRule type="dataBar" priority="1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2814" priority="159">
      <formula>$H85=0</formula>
    </cfRule>
  </conditionalFormatting>
  <conditionalFormatting sqref="R105:R1048576">
    <cfRule type="expression" dxfId="2813" priority="991">
      <formula>$O105=0</formula>
    </cfRule>
    <cfRule type="dataBar" priority="9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2812" priority="133">
      <formula>$O1=0</formula>
    </cfRule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2811" priority="131">
      <formula>$L2=0</formula>
    </cfRule>
  </conditionalFormatting>
  <conditionalFormatting sqref="Q1">
    <cfRule type="dataBar" priority="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1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1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2810" priority="124">
      <formula>K3&gt;0</formula>
    </cfRule>
    <cfRule type="expression" dxfId="2809" priority="125">
      <formula>K3&lt;0</formula>
    </cfRule>
  </conditionalFormatting>
  <conditionalFormatting sqref="K2 K4 K6 K8 K10 K12 K14 K16 K18 K20 K22 K24 K26 K28 K30">
    <cfRule type="expression" dxfId="2808" priority="122">
      <formula>K2&gt;0</formula>
    </cfRule>
    <cfRule type="expression" dxfId="2807" priority="123">
      <formula>K2&lt;0</formula>
    </cfRule>
  </conditionalFormatting>
  <conditionalFormatting sqref="K23 K25 K27 K29">
    <cfRule type="expression" dxfId="2806" priority="120">
      <formula>K23&gt;0</formula>
    </cfRule>
    <cfRule type="expression" dxfId="2805" priority="121">
      <formula>K23&lt;0</formula>
    </cfRule>
  </conditionalFormatting>
  <conditionalFormatting sqref="K31 K33 K40 K35 K42 K37:K38">
    <cfRule type="expression" dxfId="2804" priority="118">
      <formula>K31&gt;0</formula>
    </cfRule>
    <cfRule type="expression" dxfId="2803" priority="119">
      <formula>K31&lt;0</formula>
    </cfRule>
  </conditionalFormatting>
  <conditionalFormatting sqref="K32 K39 K34 K41 K36 K43">
    <cfRule type="expression" dxfId="2802" priority="116">
      <formula>K32&gt;0</formula>
    </cfRule>
    <cfRule type="expression" dxfId="2801" priority="117">
      <formula>K32&lt;0</formula>
    </cfRule>
  </conditionalFormatting>
  <conditionalFormatting sqref="K45 K47 K49 K51 K53">
    <cfRule type="expression" dxfId="2800" priority="114">
      <formula>K45&gt;0</formula>
    </cfRule>
    <cfRule type="expression" dxfId="2799" priority="115">
      <formula>K45&lt;0</formula>
    </cfRule>
  </conditionalFormatting>
  <conditionalFormatting sqref="K46 K48 K50 K52">
    <cfRule type="expression" dxfId="2798" priority="112">
      <formula>K46&gt;0</formula>
    </cfRule>
    <cfRule type="expression" dxfId="2797" priority="113">
      <formula>K46&lt;0</formula>
    </cfRule>
  </conditionalFormatting>
  <conditionalFormatting sqref="K54 K56 K58 K60">
    <cfRule type="expression" dxfId="2796" priority="110">
      <formula>K54&gt;0</formula>
    </cfRule>
    <cfRule type="expression" dxfId="2795" priority="111">
      <formula>K54&lt;0</formula>
    </cfRule>
  </conditionalFormatting>
  <conditionalFormatting sqref="K55 K57 K59">
    <cfRule type="expression" dxfId="2794" priority="108">
      <formula>K55&gt;0</formula>
    </cfRule>
    <cfRule type="expression" dxfId="2793" priority="109">
      <formula>K55&lt;0</formula>
    </cfRule>
  </conditionalFormatting>
  <conditionalFormatting sqref="K68 K70 K72 K74">
    <cfRule type="expression" dxfId="2792" priority="106">
      <formula>K68&gt;0</formula>
    </cfRule>
    <cfRule type="expression" dxfId="2791" priority="107">
      <formula>K68&lt;0</formula>
    </cfRule>
  </conditionalFormatting>
  <conditionalFormatting sqref="K69 K71 K73">
    <cfRule type="expression" dxfId="2790" priority="104">
      <formula>K69&gt;0</formula>
    </cfRule>
    <cfRule type="expression" dxfId="2789" priority="105">
      <formula>K69&lt;0</formula>
    </cfRule>
  </conditionalFormatting>
  <conditionalFormatting sqref="K75 K77 K79 K81 K83">
    <cfRule type="expression" dxfId="2788" priority="102">
      <formula>K75&gt;0</formula>
    </cfRule>
    <cfRule type="expression" dxfId="2787" priority="103">
      <formula>K75&lt;0</formula>
    </cfRule>
  </conditionalFormatting>
  <conditionalFormatting sqref="K76 K78 K80 K82">
    <cfRule type="expression" dxfId="2786" priority="100">
      <formula>K76&gt;0</formula>
    </cfRule>
    <cfRule type="expression" dxfId="2785" priority="101">
      <formula>K76&lt;0</formula>
    </cfRule>
  </conditionalFormatting>
  <conditionalFormatting sqref="K82 K84 K88 K90">
    <cfRule type="expression" dxfId="2784" priority="98">
      <formula>K82&gt;0</formula>
    </cfRule>
    <cfRule type="expression" dxfId="2783" priority="99">
      <formula>K82&lt;0</formula>
    </cfRule>
  </conditionalFormatting>
  <conditionalFormatting sqref="K83 K85 K89">
    <cfRule type="expression" dxfId="2782" priority="96">
      <formula>K83&gt;0</formula>
    </cfRule>
    <cfRule type="expression" dxfId="2781" priority="97">
      <formula>K83&lt;0</formula>
    </cfRule>
  </conditionalFormatting>
  <conditionalFormatting sqref="M105:M200">
    <cfRule type="expression" dxfId="2780" priority="94">
      <formula>$J105=0</formula>
    </cfRule>
  </conditionalFormatting>
  <conditionalFormatting sqref="M105:M458">
    <cfRule type="expression" dxfId="2779" priority="95">
      <formula>$J105&lt;0</formula>
    </cfRule>
  </conditionalFormatting>
  <conditionalFormatting sqref="M3 M5 M7 M9 M11 M13 M15 M17 M19 M21">
    <cfRule type="expression" dxfId="2778" priority="92">
      <formula>M3&gt;0</formula>
    </cfRule>
    <cfRule type="expression" dxfId="2777" priority="93">
      <formula>M3&lt;0</formula>
    </cfRule>
  </conditionalFormatting>
  <conditionalFormatting sqref="M2 M4 M6 M8 M10 M12 M14 M16 M18 M20 M22 M24 M26 M28 M30">
    <cfRule type="expression" dxfId="2776" priority="90">
      <formula>M2&gt;0</formula>
    </cfRule>
    <cfRule type="expression" dxfId="2775" priority="91">
      <formula>M2&lt;0</formula>
    </cfRule>
  </conditionalFormatting>
  <conditionalFormatting sqref="M23 M25 M27 M29">
    <cfRule type="expression" dxfId="2774" priority="88">
      <formula>M23&gt;0</formula>
    </cfRule>
    <cfRule type="expression" dxfId="2773" priority="89">
      <formula>M23&lt;0</formula>
    </cfRule>
  </conditionalFormatting>
  <conditionalFormatting sqref="M31 M33 M40 M35 M42 M37:M38">
    <cfRule type="expression" dxfId="2772" priority="86">
      <formula>M31&gt;0</formula>
    </cfRule>
    <cfRule type="expression" dxfId="2771" priority="87">
      <formula>M31&lt;0</formula>
    </cfRule>
  </conditionalFormatting>
  <conditionalFormatting sqref="M32 M39 M34 M41 M36 M43">
    <cfRule type="expression" dxfId="2770" priority="84">
      <formula>M32&gt;0</formula>
    </cfRule>
    <cfRule type="expression" dxfId="2769" priority="85">
      <formula>M32&lt;0</formula>
    </cfRule>
  </conditionalFormatting>
  <conditionalFormatting sqref="M45 M47 M49 M51 M53">
    <cfRule type="expression" dxfId="2768" priority="82">
      <formula>M45&gt;0</formula>
    </cfRule>
    <cfRule type="expression" dxfId="2767" priority="83">
      <formula>M45&lt;0</formula>
    </cfRule>
  </conditionalFormatting>
  <conditionalFormatting sqref="M46 M48 M50 M52">
    <cfRule type="expression" dxfId="2766" priority="80">
      <formula>M46&gt;0</formula>
    </cfRule>
    <cfRule type="expression" dxfId="2765" priority="81">
      <formula>M46&lt;0</formula>
    </cfRule>
  </conditionalFormatting>
  <conditionalFormatting sqref="M54 M56 M58 M60">
    <cfRule type="expression" dxfId="2764" priority="78">
      <formula>M54&gt;0</formula>
    </cfRule>
    <cfRule type="expression" dxfId="2763" priority="79">
      <formula>M54&lt;0</formula>
    </cfRule>
  </conditionalFormatting>
  <conditionalFormatting sqref="M55 M57 M59 M61">
    <cfRule type="expression" dxfId="2762" priority="76">
      <formula>M55&gt;0</formula>
    </cfRule>
    <cfRule type="expression" dxfId="2761" priority="77">
      <formula>M55&lt;0</formula>
    </cfRule>
  </conditionalFormatting>
  <conditionalFormatting sqref="M68 M70 M72 M74">
    <cfRule type="expression" dxfId="2760" priority="74">
      <formula>M68&gt;0</formula>
    </cfRule>
    <cfRule type="expression" dxfId="2759" priority="75">
      <formula>M68&lt;0</formula>
    </cfRule>
  </conditionalFormatting>
  <conditionalFormatting sqref="M67 M69 M71 M73">
    <cfRule type="expression" dxfId="2758" priority="72">
      <formula>M67&gt;0</formula>
    </cfRule>
    <cfRule type="expression" dxfId="2757" priority="73">
      <formula>M67&lt;0</formula>
    </cfRule>
  </conditionalFormatting>
  <conditionalFormatting sqref="M75 M77 M79 M81 M83">
    <cfRule type="expression" dxfId="2756" priority="70">
      <formula>M75&gt;0</formula>
    </cfRule>
    <cfRule type="expression" dxfId="2755" priority="71">
      <formula>M75&lt;0</formula>
    </cfRule>
  </conditionalFormatting>
  <conditionalFormatting sqref="M76 M78 M80 M82">
    <cfRule type="expression" dxfId="2754" priority="68">
      <formula>M76&gt;0</formula>
    </cfRule>
    <cfRule type="expression" dxfId="2753" priority="69">
      <formula>M76&lt;0</formula>
    </cfRule>
  </conditionalFormatting>
  <conditionalFormatting sqref="M82 M84 M88 M90">
    <cfRule type="expression" dxfId="2752" priority="66">
      <formula>M82&gt;0</formula>
    </cfRule>
    <cfRule type="expression" dxfId="2751" priority="67">
      <formula>M82&lt;0</formula>
    </cfRule>
  </conditionalFormatting>
  <conditionalFormatting sqref="M83 M85 M89">
    <cfRule type="expression" dxfId="2750" priority="64">
      <formula>M83&gt;0</formula>
    </cfRule>
    <cfRule type="expression" dxfId="2749" priority="65">
      <formula>M83&lt;0</formula>
    </cfRule>
  </conditionalFormatting>
  <conditionalFormatting sqref="L105:L200">
    <cfRule type="expression" dxfId="2748" priority="62">
      <formula>$J105=0</formula>
    </cfRule>
  </conditionalFormatting>
  <conditionalFormatting sqref="L105:L458">
    <cfRule type="expression" dxfId="2747" priority="63">
      <formula>$J105&lt;0</formula>
    </cfRule>
  </conditionalFormatting>
  <conditionalFormatting sqref="L3 L5 L7 L9 L11 L13 L15 L17 L19 L21">
    <cfRule type="expression" dxfId="2746" priority="60">
      <formula>L3&gt;0</formula>
    </cfRule>
    <cfRule type="expression" dxfId="2745" priority="61">
      <formula>L3&lt;0</formula>
    </cfRule>
  </conditionalFormatting>
  <conditionalFormatting sqref="L2 L4 L6 L8 L10 L12 L14 L16 L18 L20 L22 L24 L26 L28 L30">
    <cfRule type="expression" dxfId="2744" priority="58">
      <formula>L2&gt;0</formula>
    </cfRule>
    <cfRule type="expression" dxfId="2743" priority="59">
      <formula>L2&lt;0</formula>
    </cfRule>
  </conditionalFormatting>
  <conditionalFormatting sqref="L23 L25 L27 L29">
    <cfRule type="expression" dxfId="2742" priority="56">
      <formula>L23&gt;0</formula>
    </cfRule>
    <cfRule type="expression" dxfId="2741" priority="57">
      <formula>L23&lt;0</formula>
    </cfRule>
  </conditionalFormatting>
  <conditionalFormatting sqref="L31 L33 L40 L35 L42 L37:L38">
    <cfRule type="expression" dxfId="2740" priority="54">
      <formula>L31&gt;0</formula>
    </cfRule>
    <cfRule type="expression" dxfId="2739" priority="55">
      <formula>L31&lt;0</formula>
    </cfRule>
  </conditionalFormatting>
  <conditionalFormatting sqref="L32 L39 L34 L41 L36 L43">
    <cfRule type="expression" dxfId="2738" priority="52">
      <formula>L32&gt;0</formula>
    </cfRule>
    <cfRule type="expression" dxfId="2737" priority="53">
      <formula>L32&lt;0</formula>
    </cfRule>
  </conditionalFormatting>
  <conditionalFormatting sqref="L45 L47 L49 L51 L53">
    <cfRule type="expression" dxfId="2736" priority="50">
      <formula>L45&gt;0</formula>
    </cfRule>
    <cfRule type="expression" dxfId="2735" priority="51">
      <formula>L45&lt;0</formula>
    </cfRule>
  </conditionalFormatting>
  <conditionalFormatting sqref="L46 L48 L50 L52">
    <cfRule type="expression" dxfId="2734" priority="48">
      <formula>L46&gt;0</formula>
    </cfRule>
    <cfRule type="expression" dxfId="2733" priority="49">
      <formula>L46&lt;0</formula>
    </cfRule>
  </conditionalFormatting>
  <conditionalFormatting sqref="L54 L56 L58 L60 L62">
    <cfRule type="expression" dxfId="2732" priority="46">
      <formula>L54&gt;0</formula>
    </cfRule>
    <cfRule type="expression" dxfId="2731" priority="47">
      <formula>L54&lt;0</formula>
    </cfRule>
  </conditionalFormatting>
  <conditionalFormatting sqref="L55 L57 L59 L61">
    <cfRule type="expression" dxfId="2730" priority="44">
      <formula>L55&gt;0</formula>
    </cfRule>
    <cfRule type="expression" dxfId="2729" priority="45">
      <formula>L55&lt;0</formula>
    </cfRule>
  </conditionalFormatting>
  <conditionalFormatting sqref="L66 L68 L70 L72 L74">
    <cfRule type="expression" dxfId="2728" priority="42">
      <formula>L66&gt;0</formula>
    </cfRule>
    <cfRule type="expression" dxfId="2727" priority="43">
      <formula>L66&lt;0</formula>
    </cfRule>
  </conditionalFormatting>
  <conditionalFormatting sqref="L58:L79">
    <cfRule type="expression" dxfId="2726" priority="40">
      <formula>L58&gt;0</formula>
    </cfRule>
    <cfRule type="expression" dxfId="2725" priority="41">
      <formula>L58&lt;0</formula>
    </cfRule>
  </conditionalFormatting>
  <conditionalFormatting sqref="L75 L77 L79 L81 L83">
    <cfRule type="expression" dxfId="2724" priority="38">
      <formula>L75&gt;0</formula>
    </cfRule>
    <cfRule type="expression" dxfId="2723" priority="39">
      <formula>L75&lt;0</formula>
    </cfRule>
  </conditionalFormatting>
  <conditionalFormatting sqref="L76 L78 L80 L82">
    <cfRule type="expression" dxfId="2722" priority="36">
      <formula>L76&gt;0</formula>
    </cfRule>
    <cfRule type="expression" dxfId="2721" priority="37">
      <formula>L76&lt;0</formula>
    </cfRule>
  </conditionalFormatting>
  <conditionalFormatting sqref="L82 L84 L88 L90">
    <cfRule type="expression" dxfId="2720" priority="34">
      <formula>L82&gt;0</formula>
    </cfRule>
    <cfRule type="expression" dxfId="2719" priority="35">
      <formula>L82&lt;0</formula>
    </cfRule>
  </conditionalFormatting>
  <conditionalFormatting sqref="L83 L85 L89">
    <cfRule type="expression" dxfId="2718" priority="32">
      <formula>L83&gt;0</formula>
    </cfRule>
    <cfRule type="expression" dxfId="2717" priority="33">
      <formula>L83&lt;0</formula>
    </cfRule>
  </conditionalFormatting>
  <conditionalFormatting sqref="I1:I85 I88:I1048576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2716" priority="29">
      <formula>M44&gt;0</formula>
    </cfRule>
    <cfRule type="expression" dxfId="2715" priority="30">
      <formula>M44&lt;0</formula>
    </cfRule>
  </conditionalFormatting>
  <conditionalFormatting sqref="M62:M66">
    <cfRule type="expression" dxfId="2714" priority="27">
      <formula>M62&gt;0</formula>
    </cfRule>
    <cfRule type="expression" dxfId="2713" priority="28">
      <formula>M62&lt;0</formula>
    </cfRule>
  </conditionalFormatting>
  <conditionalFormatting sqref="E86">
    <cfRule type="expression" dxfId="2712" priority="26">
      <formula>$H86=0</formula>
    </cfRule>
  </conditionalFormatting>
  <conditionalFormatting sqref="K86">
    <cfRule type="expression" dxfId="2711" priority="24">
      <formula>K86&gt;0</formula>
    </cfRule>
    <cfRule type="expression" dxfId="2710" priority="25">
      <formula>K86&lt;0</formula>
    </cfRule>
  </conditionalFormatting>
  <conditionalFormatting sqref="M86">
    <cfRule type="expression" dxfId="2709" priority="22">
      <formula>M86&gt;0</formula>
    </cfRule>
    <cfRule type="expression" dxfId="2708" priority="23">
      <formula>M86&lt;0</formula>
    </cfRule>
  </conditionalFormatting>
  <conditionalFormatting sqref="L86">
    <cfRule type="expression" dxfId="2707" priority="20">
      <formula>L86&gt;0</formula>
    </cfRule>
    <cfRule type="expression" dxfId="2706" priority="21">
      <formula>L86&lt;0</formula>
    </cfRule>
  </conditionalFormatting>
  <conditionalFormatting sqref="I86">
    <cfRule type="dataBar" priority="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{4DB59BBA-234E-415C-A476-C5F753F748D3}</x14:id>
        </ext>
      </extLst>
    </cfRule>
  </conditionalFormatting>
  <conditionalFormatting sqref="J1:J85 J88:J1048576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86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{3FE2880F-939E-47E8-938F-7673014E587C}</x14:id>
        </ext>
      </extLst>
    </cfRule>
  </conditionalFormatting>
  <conditionalFormatting sqref="J1:J86 J88:J1048576">
    <cfRule type="dataBar" priority="1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2705" priority="14">
      <formula>K61&gt;0</formula>
    </cfRule>
    <cfRule type="expression" dxfId="2704" priority="15">
      <formula>K61&lt;0</formula>
    </cfRule>
  </conditionalFormatting>
  <conditionalFormatting sqref="K44">
    <cfRule type="expression" dxfId="2703" priority="12">
      <formula>K44&gt;0</formula>
    </cfRule>
    <cfRule type="expression" dxfId="2702" priority="13">
      <formula>K44&lt;0</formula>
    </cfRule>
  </conditionalFormatting>
  <conditionalFormatting sqref="E87">
    <cfRule type="expression" dxfId="2701" priority="11">
      <formula>$H87=0</formula>
    </cfRule>
  </conditionalFormatting>
  <conditionalFormatting sqref="K87">
    <cfRule type="expression" dxfId="2700" priority="9">
      <formula>K87&gt;0</formula>
    </cfRule>
    <cfRule type="expression" dxfId="2699" priority="10">
      <formula>K87&lt;0</formula>
    </cfRule>
  </conditionalFormatting>
  <conditionalFormatting sqref="M87">
    <cfRule type="expression" dxfId="2698" priority="7">
      <formula>M87&gt;0</formula>
    </cfRule>
    <cfRule type="expression" dxfId="2697" priority="8">
      <formula>M87&lt;0</formula>
    </cfRule>
  </conditionalFormatting>
  <conditionalFormatting sqref="L87">
    <cfRule type="expression" dxfId="2696" priority="5">
      <formula>L87&gt;0</formula>
    </cfRule>
    <cfRule type="expression" dxfId="2695" priority="6">
      <formula>L87&lt;0</formula>
    </cfRule>
  </conditionalFormatting>
  <conditionalFormatting sqref="I87">
    <cfRule type="dataBar" priority="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{A026F2EA-4476-4AA1-B0A3-4B5A3CE736DE}</x14:id>
        </ext>
      </extLst>
    </cfRule>
  </conditionalFormatting>
  <conditionalFormatting sqref="J87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{2F11D949-8CFF-4895-BB53-64259D5C143A}</x14:id>
        </ext>
      </extLst>
    </cfRule>
  </conditionalFormatting>
  <conditionalFormatting sqref="J87">
    <cfRule type="dataBar" priority="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{49095F16-4791-4B90-B0DF-EEC602492893}</x14:id>
        </ext>
      </extLst>
    </cfRule>
  </conditionalFormatting>
  <conditionalFormatting sqref="E88">
    <cfRule type="expression" dxfId="2694" priority="1">
      <formula>$H88=0</formula>
    </cfRule>
  </conditionalFormatting>
  <hyperlinks>
    <hyperlink ref="E29" location="BIIB!A1" display="BIIB"/>
    <hyperlink ref="E30" location="MYL!A1" display="MYL"/>
    <hyperlink ref="E31" location="SIG!A1" display="SIG"/>
    <hyperlink ref="E26" location="ABC!A1" display="ABC"/>
    <hyperlink ref="E20" location="NVR!A1" display="NVR"/>
    <hyperlink ref="E32" location="AAPL!A1" display="AAPL"/>
    <hyperlink ref="E33" location="AXP!A1" display="AXP"/>
    <hyperlink ref="E34" location="DG!A1" display="DG"/>
    <hyperlink ref="E35" location="PINC!A1" display="PINC"/>
    <hyperlink ref="E36" location="FOXA!A1" display="FOXA"/>
    <hyperlink ref="E37" location="AOBC!A1" display="AOBC"/>
    <hyperlink ref="E38" location="LUV!A1" display="LUV"/>
    <hyperlink ref="E39" location="CCE!A1" display="CCE"/>
    <hyperlink ref="E40" location="BMY!A1" display="BMY"/>
    <hyperlink ref="E41" location="GPS!A1" display="GPS"/>
    <hyperlink ref="E42" location="AKAM!A1" display="AKAM"/>
    <hyperlink ref="E43" location="ARNC!A1" display="ARNC"/>
    <hyperlink ref="E22" location="IEMG!A1" display="IEMG"/>
    <hyperlink ref="E12" location="CVS!A1" display="CVS"/>
    <hyperlink ref="E44" location="ADBE!A1" display="ADBE"/>
    <hyperlink ref="E2" location="MRO!A1" display="MRO"/>
    <hyperlink ref="E23" location="GE!A1" display="GE"/>
    <hyperlink ref="E16" location="XRAY!A1" display="XRAY"/>
    <hyperlink ref="E45" location="XLP!A1" display="XLP"/>
    <hyperlink ref="E14" location="KR!A1" display="KR"/>
    <hyperlink ref="E46" location="F!A1" display="F"/>
    <hyperlink ref="E18" location="JNJ!A1" display="JNJ"/>
    <hyperlink ref="E11" location="ULTA!A1" display="ULTA"/>
    <hyperlink ref="E47" location="FRC!A1" display="FRC"/>
    <hyperlink ref="E48" location="AAP!A1" display="AAP"/>
    <hyperlink ref="E21" location="CMCSA!A1" display="CMCSA"/>
    <hyperlink ref="E49" location="XEC!A1" display="XEC"/>
    <hyperlink ref="E10" location="MO!A1" display="MO"/>
    <hyperlink ref="E3" location="T!A1" display="T"/>
    <hyperlink ref="E50" location="COST!A1" display="COST"/>
    <hyperlink ref="E51" location="CPN!A1" display="CPN"/>
    <hyperlink ref="E52" location="EW!A1" display="EW"/>
    <hyperlink ref="E53" location="TJX!A1" display="TJX"/>
    <hyperlink ref="E54" location="QQQ!A1" display="QQQ"/>
    <hyperlink ref="E6" location="WBA!A1" display="WBA"/>
    <hyperlink ref="E55" location="AZO!A1" display="AZO"/>
    <hyperlink ref="E28" location="FL!A1" display="FL"/>
    <hyperlink ref="E56" location="MLM!A1" display="MLM"/>
    <hyperlink ref="E9" location="KHC!A1" display="KHC"/>
    <hyperlink ref="E57" location="KBWY!A1" display="KBWY"/>
    <hyperlink ref="E13" location="AYI!A1" display="AYI"/>
    <hyperlink ref="E58" location="DIA!A1" display="DIA"/>
    <hyperlink ref="E25" location="ICE!A1" display="ICE"/>
    <hyperlink ref="E59" location="NKE!A1" display="NKE"/>
    <hyperlink ref="E7" location="MOS!A1" display="MOS"/>
    <hyperlink ref="E60" location="VGK!A1" display="VGK"/>
    <hyperlink ref="E61" location="CMG!A1" display="CMG"/>
    <hyperlink ref="E27" location="HAS!A1" display="HAS"/>
    <hyperlink ref="E62" location="HSIC!A1" display="HSIC"/>
    <hyperlink ref="E15" location="PDCO!A1" display="PDCO"/>
    <hyperlink ref="E63" location="MU!A1" display="MU"/>
    <hyperlink ref="E64" location="IP!A1" display="IP"/>
    <hyperlink ref="E65" location="INTC!A1" display="INTC"/>
    <hyperlink ref="E66" location="HES!A1" display="HES"/>
    <hyperlink ref="E67" location="UNP!A1" display="UNP"/>
    <hyperlink ref="E68" location="NCLH!A1" display="NCLH"/>
    <hyperlink ref="E69" location="SPY!A1" display="SPY"/>
    <hyperlink ref="E70" location="SWKS!A1" display="SWKS"/>
    <hyperlink ref="E71" location="CNI!A1" display="CNI"/>
    <hyperlink ref="E17" location="WFC!A1" display="WFC"/>
    <hyperlink ref="E72" location="AA!A1" display="AA"/>
    <hyperlink ref="E73" location="CF!A1" display="CF"/>
    <hyperlink ref="E74" location="TGT!A1" display="TGT"/>
    <hyperlink ref="E4" location="NWL!A1" display="NWL"/>
    <hyperlink ref="E75" location="KORS!A1" display="KORS"/>
    <hyperlink ref="E76" location="ALL!A1" display="ALL"/>
    <hyperlink ref="E77" location="NSC!A1" display="NSC"/>
    <hyperlink ref="E78" location="AVGO!A1" display="AVGO"/>
    <hyperlink ref="E79" location="UAL!A1" display="UAL"/>
    <hyperlink ref="E8" location="CAH!A1" display="CAH"/>
    <hyperlink ref="E19" location="DAL!A1" display="DAL"/>
    <hyperlink ref="E24" location="TEVA!A1" display="TEVA"/>
    <hyperlink ref="E80" location="DIS!A1" display="DIS"/>
    <hyperlink ref="E81" location="FTR!A1" display="FTR"/>
    <hyperlink ref="E82" location="GILD!A1" display="GILD"/>
    <hyperlink ref="E83" location="WWD!A1" display="WWD"/>
    <hyperlink ref="E5" location="GIS!A1" display="GIS"/>
    <hyperlink ref="E84" location="GM!A1" display="GM"/>
    <hyperlink ref="E85" location="TMO!A1" display="TMO"/>
    <hyperlink ref="E86" location="TKR!A1" display="TKR"/>
    <hyperlink ref="E87" location="UTX!A1" display="UTX"/>
    <hyperlink ref="E88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I88:I1048576</xm:sqref>
        </x14:conditionalFormatting>
        <x14:conditionalFormatting xmlns:xm="http://schemas.microsoft.com/office/excel/2006/main">
          <x14:cfRule type="dataBar" id="{4DB59BBA-234E-415C-A476-C5F753F748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J88:J1048576</xm:sqref>
        </x14:conditionalFormatting>
        <x14:conditionalFormatting xmlns:xm="http://schemas.microsoft.com/office/excel/2006/main">
          <x14:cfRule type="dataBar" id="{3FE2880F-939E-47E8-938F-7673014E58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J1:J86 J88:J1048576</xm:sqref>
        </x14:conditionalFormatting>
        <x14:conditionalFormatting xmlns:xm="http://schemas.microsoft.com/office/excel/2006/main">
          <x14:cfRule type="dataBar" id="{A026F2EA-4476-4AA1-B0A3-4B5A3CE736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I87</xm:sqref>
        </x14:conditionalFormatting>
        <x14:conditionalFormatting xmlns:xm="http://schemas.microsoft.com/office/excel/2006/main">
          <x14:cfRule type="dataBar" id="{2F11D949-8CFF-4895-BB53-64259D5C14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J87</xm:sqref>
        </x14:conditionalFormatting>
        <x14:conditionalFormatting xmlns:xm="http://schemas.microsoft.com/office/excel/2006/main">
          <x14:cfRule type="dataBar" id="{49095F16-4791-4B90-B0DF-EEC60249289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0" activePane="bottomLeft" state="frozen"/>
      <selection activeCell="E5" sqref="E5"/>
      <selection pane="bottomLeft" activeCell="F269" sqref="F269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58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58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58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58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376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58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58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219</v>
      </c>
      <c r="R251" s="429"/>
      <c r="S251" s="410" t="s">
        <v>214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250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1140.9900000000005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101753.05206666829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100580.36206666836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100580.35999999999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2.0666683703893796E-3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>
        <v>43305</v>
      </c>
      <c r="T297" s="408">
        <v>12.01</v>
      </c>
    </row>
    <row r="298" spans="1:20" ht="18" customHeight="1" x14ac:dyDescent="0.25">
      <c r="A298" s="483"/>
      <c r="Q298" s="347"/>
      <c r="R298" s="429"/>
      <c r="S298" s="448">
        <v>43312</v>
      </c>
      <c r="T298" s="408">
        <v>3.04</v>
      </c>
    </row>
    <row r="299" spans="1:20" ht="18" customHeight="1" x14ac:dyDescent="0.25">
      <c r="A299" s="482"/>
      <c r="Q299" s="347"/>
      <c r="R299" s="429"/>
      <c r="S299" s="448"/>
      <c r="T299" s="408"/>
    </row>
    <row r="300" spans="1:20" ht="18" customHeight="1" x14ac:dyDescent="0.25">
      <c r="A300" s="483"/>
      <c r="Q300" s="347"/>
      <c r="R300" s="429"/>
      <c r="S300" s="448"/>
      <c r="T300" s="408"/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</v>
      </c>
      <c r="S302" s="409" t="s">
        <v>81</v>
      </c>
      <c r="T302" s="408">
        <f>SUM(T252:T301)</f>
        <v>1140.9900000000005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693" priority="7">
      <formula>#REF!&gt;0</formula>
    </cfRule>
    <cfRule type="expression" dxfId="2692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08"/>
  <sheetViews>
    <sheetView zoomScaleNormal="100" workbookViewId="0">
      <pane ySplit="1" topLeftCell="A688" activePane="bottomLeft" state="frozen"/>
      <selection pane="bottomLeft" activeCell="P711" sqref="P711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277</v>
      </c>
      <c r="H1" s="335" t="s">
        <v>276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754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212</v>
      </c>
      <c r="U1" s="337" t="s">
        <v>213</v>
      </c>
      <c r="V1" s="336" t="s">
        <v>217</v>
      </c>
      <c r="W1" s="336" t="s">
        <v>218</v>
      </c>
      <c r="X1" s="336" t="s">
        <v>931</v>
      </c>
      <c r="Y1" s="336" t="s">
        <v>930</v>
      </c>
      <c r="Z1" s="336" t="s">
        <v>907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100580.35999999999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>O674/W674</f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685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" si="339">B686-$B$2</f>
        <v>1059</v>
      </c>
      <c r="B686" s="169">
        <v>43292</v>
      </c>
      <c r="C686" s="211">
        <v>2774.02</v>
      </c>
      <c r="D686" s="168">
        <f t="shared" ref="D686" si="340">(C686-C685)/C685</f>
        <v>-7.094178621538872E-3</v>
      </c>
      <c r="E686" s="205">
        <f t="shared" ref="E686" si="341">(C686-$C$2)/$C$2</f>
        <v>0.3194288540933391</v>
      </c>
      <c r="F686" s="215">
        <v>7716.61</v>
      </c>
      <c r="G686" s="168">
        <f t="shared" ref="G686" si="342">(F686-F685)/F685</f>
        <v>-5.4876862146693052E-3</v>
      </c>
      <c r="H686" s="199">
        <f t="shared" ref="H686" si="343">(F686-F$2)/F$2</f>
        <v>0.51552723059096173</v>
      </c>
      <c r="I686" s="822">
        <v>394153.65</v>
      </c>
      <c r="J686" s="170">
        <v>300000</v>
      </c>
      <c r="K686" s="170">
        <f t="shared" ref="K686" si="344">I686-I685-J686+J685</f>
        <v>-3032.6399999999558</v>
      </c>
      <c r="L686" s="168">
        <f t="shared" ref="L686" si="345">K686/I685</f>
        <v>-7.6353088622468715E-3</v>
      </c>
      <c r="M686" s="178">
        <f t="shared" ref="M686" si="346">I686-J686</f>
        <v>94153.650000000023</v>
      </c>
      <c r="N686" s="180">
        <f t="shared" ref="N686" si="347">M686/J686</f>
        <v>0.31384550000000005</v>
      </c>
      <c r="O686" s="179">
        <f t="shared" ref="O686" si="348">N686/(A686/365.25)</f>
        <v>0.10824557967422098</v>
      </c>
      <c r="P686" s="178" t="b">
        <f t="shared" ref="P686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ref="S686" si="350">I686-R686</f>
        <v>175331.71000000002</v>
      </c>
      <c r="T686" s="170">
        <v>-31948</v>
      </c>
      <c r="U686" s="170">
        <f t="shared" ref="U686" si="351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" si="352">E686/(A686/365.25)/V686</f>
        <v>0.78511048914244463</v>
      </c>
      <c r="Y686" s="171">
        <f t="shared" ref="Y686" si="353">O686/W686</f>
        <v>0.40263520301958056</v>
      </c>
      <c r="Z686" s="784">
        <f t="shared" ref="Z686" si="354">-(E686-N686)</f>
        <v>-5.5833540933390435E-3</v>
      </c>
    </row>
    <row r="687" spans="1:26" ht="20.100000000000001" customHeight="1" x14ac:dyDescent="0.25">
      <c r="A687" s="160">
        <f t="shared" ref="A687" si="355">B687-$B$2</f>
        <v>1060</v>
      </c>
      <c r="B687" s="169">
        <v>43293</v>
      </c>
      <c r="C687" s="211">
        <v>2798.29</v>
      </c>
      <c r="D687" s="168">
        <f t="shared" ref="D687" si="356">(C687-C686)/C686</f>
        <v>8.749035695488851E-3</v>
      </c>
      <c r="E687" s="205">
        <f t="shared" ref="E687" si="357">(C687-$C$2)/$C$2</f>
        <v>0.33097258423545972</v>
      </c>
      <c r="F687" s="215">
        <v>7823.91</v>
      </c>
      <c r="G687" s="168">
        <f t="shared" ref="G687" si="358">(F687-F686)/F686</f>
        <v>1.3905069713254939E-2</v>
      </c>
      <c r="H687" s="199">
        <f t="shared" ref="H687" si="359">(F687-F$2)/F$2</f>
        <v>0.53660074238466526</v>
      </c>
      <c r="I687" s="822">
        <v>395295.9</v>
      </c>
      <c r="J687" s="170">
        <v>300000</v>
      </c>
      <c r="K687" s="170">
        <f t="shared" ref="K687" si="360">I687-I686-J687+J686</f>
        <v>1142.25</v>
      </c>
      <c r="L687" s="168">
        <f t="shared" ref="L687" si="361">K687/I686</f>
        <v>2.8979815358807408E-3</v>
      </c>
      <c r="M687" s="178">
        <f t="shared" ref="M687" si="362">I687-J687</f>
        <v>95295.900000000023</v>
      </c>
      <c r="N687" s="180">
        <f t="shared" ref="N687" si="363">M687/J687</f>
        <v>0.31765300000000007</v>
      </c>
      <c r="O687" s="179">
        <f t="shared" ref="O687" si="364">N687/(A687/365.25)</f>
        <v>0.10945543231132078</v>
      </c>
      <c r="P687" s="178" t="b">
        <f t="shared" ref="P687" si="365">L687&gt;D687</f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ref="S687" si="366">I687-R687</f>
        <v>179603.25000000003</v>
      </c>
      <c r="T687" s="170">
        <v>-31904</v>
      </c>
      <c r="U687" s="170">
        <f t="shared" ref="U687" si="367">M687-T687</f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ref="X687" si="368">E687/(A687/365.25)/V687</f>
        <v>0.81278640550593428</v>
      </c>
      <c r="Y687" s="171">
        <f t="shared" ref="Y687" si="369">O687/W687</f>
        <v>0.40742811486240538</v>
      </c>
      <c r="Z687" s="784">
        <f t="shared" ref="Z687" si="370">-(E687-N687)</f>
        <v>-1.3319584235459647E-2</v>
      </c>
    </row>
    <row r="688" spans="1:26" ht="20.100000000000001" customHeight="1" x14ac:dyDescent="0.25">
      <c r="A688" s="160">
        <f t="shared" ref="A688" si="371">B688-$B$2</f>
        <v>1061</v>
      </c>
      <c r="B688" s="169">
        <v>43294</v>
      </c>
      <c r="C688" s="211">
        <v>2801.31</v>
      </c>
      <c r="D688" s="168">
        <f t="shared" ref="D688" si="372">(C688-C687)/C687</f>
        <v>1.0792305300737172E-3</v>
      </c>
      <c r="E688" s="205">
        <f t="shared" ref="E688" si="373">(C688-$C$2)/$C$2</f>
        <v>0.33240901048305771</v>
      </c>
      <c r="F688" s="215">
        <v>7825.97</v>
      </c>
      <c r="G688" s="168">
        <f t="shared" ref="G688" si="374">(F688-F687)/F687</f>
        <v>2.6329546224335403E-4</v>
      </c>
      <c r="H688" s="199">
        <f t="shared" ref="H688" si="375">(F688-F$2)/F$2</f>
        <v>0.53700532238741494</v>
      </c>
      <c r="I688" s="822">
        <v>396222.85</v>
      </c>
      <c r="J688" s="170">
        <v>300000</v>
      </c>
      <c r="K688" s="170">
        <f t="shared" ref="K688" si="376">I688-I687-J688+J687</f>
        <v>926.94999999995343</v>
      </c>
      <c r="L688" s="168">
        <f t="shared" ref="L688" si="377">K688/I687</f>
        <v>2.3449522243968466E-3</v>
      </c>
      <c r="M688" s="178">
        <f t="shared" ref="M688" si="378">I688-J688</f>
        <v>96222.849999999977</v>
      </c>
      <c r="N688" s="180">
        <f t="shared" ref="N688" si="379">M688/J688</f>
        <v>0.32074283333333325</v>
      </c>
      <c r="O688" s="179">
        <f t="shared" ref="O688" si="380">N688/(A688/365.25)</f>
        <v>0.11041594710179073</v>
      </c>
      <c r="P688" s="178" t="b">
        <f t="shared" ref="P688" si="381">L688&gt;D688</f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ref="S688" si="382">I688-R688</f>
        <v>169961.8</v>
      </c>
      <c r="T688" s="170">
        <v>-32319</v>
      </c>
      <c r="U688" s="170">
        <f t="shared" ref="U688" si="383">M688-T688</f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ref="X688" si="384">E688/(A688/365.25)/V688</f>
        <v>0.81613751325179795</v>
      </c>
      <c r="Y688" s="171">
        <f t="shared" ref="Y688" si="385">O688/W688</f>
        <v>0.41130078642886903</v>
      </c>
      <c r="Z688" s="784">
        <f t="shared" ref="Z688" si="386">-(E688-N688)</f>
        <v>-1.1666177149724455E-2</v>
      </c>
    </row>
    <row r="689" spans="1:26" ht="20.100000000000001" customHeight="1" x14ac:dyDescent="0.25">
      <c r="A689" s="160">
        <f t="shared" ref="A689" si="387">B689-$B$2</f>
        <v>1064</v>
      </c>
      <c r="B689" s="169">
        <v>43297</v>
      </c>
      <c r="C689" s="211">
        <v>2798.43</v>
      </c>
      <c r="D689" s="168">
        <f t="shared" ref="D689" si="388">(C689-C688)/C688</f>
        <v>-1.0280904291207003E-3</v>
      </c>
      <c r="E689" s="205">
        <f t="shared" ref="E689" si="389">(C689-$C$2)/$C$2</f>
        <v>0.33103917353170592</v>
      </c>
      <c r="F689" s="215">
        <v>7805.71</v>
      </c>
      <c r="G689" s="168">
        <f t="shared" ref="G689" si="390">(F689-F688)/F688</f>
        <v>-2.5888164662016618E-3</v>
      </c>
      <c r="H689" s="199">
        <f t="shared" ref="H689" si="391">(F689-F$2)/F$2</f>
        <v>0.53302629770017873</v>
      </c>
      <c r="I689" s="822">
        <v>392316.49</v>
      </c>
      <c r="J689" s="170">
        <v>300000</v>
      </c>
      <c r="K689" s="170">
        <f t="shared" ref="K689" si="392">I689-I688-J689+J688</f>
        <v>-3906.359999999986</v>
      </c>
      <c r="L689" s="168">
        <f t="shared" ref="L689" si="393">K689/I688</f>
        <v>-9.8589972789302448E-3</v>
      </c>
      <c r="M689" s="178">
        <f t="shared" ref="M689" si="394">I689-J689</f>
        <v>92316.489999999991</v>
      </c>
      <c r="N689" s="180">
        <f t="shared" ref="N689" si="395">M689/J689</f>
        <v>0.3077216333333333</v>
      </c>
      <c r="O689" s="179">
        <f t="shared" ref="O689" si="396">N689/(A689/365.25)</f>
        <v>0.10563470542763156</v>
      </c>
      <c r="P689" s="178" t="b">
        <f t="shared" ref="P689" si="397">L689&gt;D689</f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ref="S689" si="398">I689-R689</f>
        <v>144065.04999999999</v>
      </c>
      <c r="T689" s="170">
        <v>-32475</v>
      </c>
      <c r="U689" s="170">
        <f t="shared" ref="U689" si="399">M689-T689</f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ref="X689" si="400">E689/(A689/365.25)/V689</f>
        <v>0.81105726058911287</v>
      </c>
      <c r="Y689" s="171">
        <f t="shared" ref="Y689" si="401">O689/W689</f>
        <v>0.39366682530934449</v>
      </c>
      <c r="Z689" s="784">
        <f t="shared" ref="Z689" si="402">-(E689-N689)</f>
        <v>-2.3317540198372622E-2</v>
      </c>
    </row>
    <row r="690" spans="1:26" ht="20.100000000000001" customHeight="1" x14ac:dyDescent="0.25">
      <c r="A690" s="160">
        <f t="shared" ref="A690" si="403">B690-$B$2</f>
        <v>1065</v>
      </c>
      <c r="B690" s="169">
        <v>43298</v>
      </c>
      <c r="C690" s="211">
        <v>2809.55</v>
      </c>
      <c r="D690" s="168">
        <f t="shared" ref="D690" si="404">(C690-C689)/C689</f>
        <v>3.9736566574830696E-3</v>
      </c>
      <c r="E690" s="205">
        <f t="shared" ref="E690" si="405">(C690-$C$2)/$C$2</f>
        <v>0.33632826620498091</v>
      </c>
      <c r="F690" s="215">
        <v>7855.11</v>
      </c>
      <c r="G690" s="168">
        <f t="shared" ref="G690" si="406">(F690-F689)/F689</f>
        <v>6.3287004000916807E-3</v>
      </c>
      <c r="H690" s="199">
        <f t="shared" ref="H690" si="407">(F690-F$2)/F$2</f>
        <v>0.54272836184378492</v>
      </c>
      <c r="I690" s="822">
        <v>393640.6</v>
      </c>
      <c r="J690" s="170">
        <v>300000</v>
      </c>
      <c r="K690" s="170">
        <f t="shared" ref="K690" si="408">I690-I689-J690+J689</f>
        <v>1324.109999999986</v>
      </c>
      <c r="L690" s="168">
        <f t="shared" ref="L690" si="409">K690/I689</f>
        <v>3.3751066645197249E-3</v>
      </c>
      <c r="M690" s="178">
        <f t="shared" ref="M690" si="410">I690-J690</f>
        <v>93640.599999999977</v>
      </c>
      <c r="N690" s="180">
        <f t="shared" ref="N690" si="411">M690/J690</f>
        <v>0.31213533333333326</v>
      </c>
      <c r="O690" s="179">
        <f t="shared" ref="O690" si="412">N690/(A690/365.25)</f>
        <v>0.10704923051643191</v>
      </c>
      <c r="P690" s="178" t="b">
        <f t="shared" ref="P690" si="413">L690&gt;D690</f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ref="S690" si="414">I690-R690</f>
        <v>139487.46999999997</v>
      </c>
      <c r="T690" s="170">
        <v>-32387</v>
      </c>
      <c r="U690" s="170">
        <f t="shared" ref="U690" si="415">M690-T690</f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ref="X690" si="416">E690/(A690/365.25)/V690</f>
        <v>0.82374654315017448</v>
      </c>
      <c r="Y690" s="171">
        <f t="shared" ref="Y690" si="417">O690/W690</f>
        <v>0.39922136470918373</v>
      </c>
      <c r="Z690" s="784">
        <f t="shared" ref="Z690" si="418">-(E690-N690)</f>
        <v>-2.4192932871647643E-2</v>
      </c>
    </row>
    <row r="691" spans="1:26" ht="20.100000000000001" customHeight="1" x14ac:dyDescent="0.25">
      <c r="A691" s="160">
        <f t="shared" ref="A691" si="419">B691-$B$2</f>
        <v>1066</v>
      </c>
      <c r="B691" s="169">
        <v>43299</v>
      </c>
      <c r="C691" s="211">
        <v>2815.62</v>
      </c>
      <c r="D691" s="168">
        <f t="shared" ref="D691" si="420">(C691-C690)/C690</f>
        <v>2.1604883344306771E-3</v>
      </c>
      <c r="E691" s="205">
        <f t="shared" ref="E691" si="421">(C691-$C$2)/$C$2</f>
        <v>0.33921538783508676</v>
      </c>
      <c r="F691" s="215">
        <v>7854.44</v>
      </c>
      <c r="G691" s="168">
        <f t="shared" ref="G691" si="422">(F691-F690)/F690</f>
        <v>-8.5294795362518509E-5</v>
      </c>
      <c r="H691" s="199">
        <f t="shared" ref="H691" si="423">(F691-F$2)/F$2</f>
        <v>0.54259677514386151</v>
      </c>
      <c r="I691" s="822">
        <v>393399.1</v>
      </c>
      <c r="J691" s="170">
        <v>300000</v>
      </c>
      <c r="K691" s="170">
        <f t="shared" ref="K691" si="424">I691-I690-J691+J690</f>
        <v>-241.5</v>
      </c>
      <c r="L691" s="168">
        <f t="shared" ref="L691" si="425">K691/I690</f>
        <v>-6.1350379000540088E-4</v>
      </c>
      <c r="M691" s="178">
        <f t="shared" ref="M691" si="426">I691-J691</f>
        <v>93399.099999999977</v>
      </c>
      <c r="N691" s="180">
        <f t="shared" ref="N691" si="427">M691/J691</f>
        <v>0.31133033333333326</v>
      </c>
      <c r="O691" s="179">
        <f t="shared" ref="O691" si="428">N691/(A691/365.25)</f>
        <v>0.1066729871013133</v>
      </c>
      <c r="P691" s="178" t="b">
        <f t="shared" ref="P691" si="429">L691&gt;D691</f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ref="S691" si="430">I691-R691</f>
        <v>146301.02999999997</v>
      </c>
      <c r="T691" s="170">
        <v>-32575</v>
      </c>
      <c r="U691" s="170">
        <f t="shared" ref="U691" si="431">M691-T691</f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ref="X691" si="432">E691/(A691/365.25)/V691</f>
        <v>0.8306198594230717</v>
      </c>
      <c r="Y691" s="171">
        <f t="shared" ref="Y691" si="433">O691/W691</f>
        <v>0.39810605611151184</v>
      </c>
      <c r="Z691" s="784">
        <f t="shared" ref="Z691" si="434">-(E691-N691)</f>
        <v>-2.7885054501753492E-2</v>
      </c>
    </row>
    <row r="692" spans="1:26" ht="20.100000000000001" customHeight="1" x14ac:dyDescent="0.25">
      <c r="A692" s="160">
        <f t="shared" ref="A692" si="435">B692-$B$2</f>
        <v>1067</v>
      </c>
      <c r="B692" s="169">
        <v>43300</v>
      </c>
      <c r="C692" s="211">
        <v>2804.49</v>
      </c>
      <c r="D692" s="168">
        <f t="shared" ref="D692" si="436">(C692-C691)/C691</f>
        <v>-3.9529481961344606E-3</v>
      </c>
      <c r="E692" s="205">
        <f t="shared" ref="E692" si="437">(C692-$C$2)/$C$2</f>
        <v>0.33392153878350855</v>
      </c>
      <c r="F692" s="215">
        <v>7825.29</v>
      </c>
      <c r="G692" s="168">
        <f t="shared" ref="G692" si="438">(F692-F691)/F691</f>
        <v>-3.7112766791775908E-3</v>
      </c>
      <c r="H692" s="199">
        <f t="shared" ref="H692" si="439">(F692-F$2)/F$2</f>
        <v>0.5368717717068956</v>
      </c>
      <c r="I692" s="822">
        <v>394279.56</v>
      </c>
      <c r="J692" s="170">
        <v>300000</v>
      </c>
      <c r="K692" s="170">
        <f t="shared" ref="K692" si="440">I692-I691-J692+J691</f>
        <v>880.46000000002095</v>
      </c>
      <c r="L692" s="168">
        <f t="shared" ref="L692" si="441">K692/I691</f>
        <v>2.2380834119854901E-3</v>
      </c>
      <c r="M692" s="178">
        <f t="shared" ref="M692" si="442">I692-J692</f>
        <v>94279.56</v>
      </c>
      <c r="N692" s="180">
        <f t="shared" ref="N692" si="443">M692/J692</f>
        <v>0.31426519999999997</v>
      </c>
      <c r="O692" s="179">
        <f t="shared" ref="O692" si="444">N692/(A692/365.25)</f>
        <v>0.10757766101218369</v>
      </c>
      <c r="P692" s="178" t="b">
        <f t="shared" ref="P692" si="445">L692&gt;D692</f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ref="S692" si="446">I692-R692</f>
        <v>138595.4</v>
      </c>
      <c r="T692" s="170">
        <v>-32295</v>
      </c>
      <c r="U692" s="170">
        <f t="shared" ref="U692" si="447">M692-T692</f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ref="X692" si="448">E692/(A692/365.25)/V692</f>
        <v>0.81733537768142361</v>
      </c>
      <c r="Y692" s="171">
        <f t="shared" ref="Y692" si="449">O692/W692</f>
        <v>0.40177138119954853</v>
      </c>
      <c r="Z692" s="784">
        <f t="shared" ref="Z692" si="450">-(E692-N692)</f>
        <v>-1.9656338783508587E-2</v>
      </c>
    </row>
    <row r="693" spans="1:26" ht="20.100000000000001" customHeight="1" x14ac:dyDescent="0.25">
      <c r="A693" s="160">
        <f t="shared" ref="A693" si="451">B693-$B$2</f>
        <v>1068</v>
      </c>
      <c r="B693" s="169">
        <v>43301</v>
      </c>
      <c r="C693" s="211">
        <v>2801.83</v>
      </c>
      <c r="D693" s="168">
        <f t="shared" ref="D693" si="452">(C693-C692)/C692</f>
        <v>-9.4847904610102177E-4</v>
      </c>
      <c r="E693" s="205">
        <f t="shared" ref="E693" si="453">(C693-$C$2)/$C$2</f>
        <v>0.33265634215482953</v>
      </c>
      <c r="F693" s="215">
        <v>7820.19</v>
      </c>
      <c r="G693" s="168">
        <f t="shared" ref="G693" si="454">(F693-F692)/F692</f>
        <v>-6.5173303481409176E-4</v>
      </c>
      <c r="H693" s="199">
        <f t="shared" ref="H693" si="455">(F693-F$2)/F$2</f>
        <v>0.53587014160300095</v>
      </c>
      <c r="I693" s="822">
        <v>393654.11</v>
      </c>
      <c r="J693" s="170">
        <v>300000</v>
      </c>
      <c r="K693" s="170">
        <f t="shared" ref="K693" si="456">I693-I692-J693+J692</f>
        <v>-625.45000000001164</v>
      </c>
      <c r="L693" s="168">
        <f t="shared" ref="L693" si="457">K693/I692</f>
        <v>-1.5863109921295734E-3</v>
      </c>
      <c r="M693" s="178">
        <f t="shared" ref="M693" si="458">I693-J693</f>
        <v>93654.109999999986</v>
      </c>
      <c r="N693" s="180">
        <f t="shared" ref="N693" si="459">M693/J693</f>
        <v>0.3121803666666666</v>
      </c>
      <c r="O693" s="179">
        <f t="shared" ref="O693" si="460">N693/(A693/365.25)</f>
        <v>0.10676393157771534</v>
      </c>
      <c r="P693" s="178" t="b">
        <f t="shared" ref="P693" si="461">L693&gt;D693</f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ref="S693" si="462">I693-R693</f>
        <v>128923.40999999997</v>
      </c>
      <c r="T693" s="170">
        <v>-31596</v>
      </c>
      <c r="U693" s="170">
        <f t="shared" ref="U693" si="463">M693-T693</f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ref="X693" si="464">E693/(A693/365.25)/V693</f>
        <v>0.81405129278129884</v>
      </c>
      <c r="Y693" s="171">
        <f t="shared" ref="Y693" si="465">O693/W693</f>
        <v>0.39901653304204138</v>
      </c>
      <c r="Z693" s="784">
        <f t="shared" ref="Z693" si="466">-(E693-N693)</f>
        <v>-2.0475975488162934E-2</v>
      </c>
    </row>
    <row r="694" spans="1:26" ht="20.100000000000001" customHeight="1" x14ac:dyDescent="0.25">
      <c r="A694" s="160">
        <f t="shared" ref="A694" si="467">B694-$B$2</f>
        <v>1071</v>
      </c>
      <c r="B694" s="169">
        <v>43304</v>
      </c>
      <c r="C694" s="211">
        <v>2806.98</v>
      </c>
      <c r="D694" s="168">
        <f t="shared" ref="D694" si="468">(C694-C693)/C693</f>
        <v>1.8380843948419751E-3</v>
      </c>
      <c r="E694" s="205">
        <f t="shared" ref="E694" si="469">(C694-$C$2)/$C$2</f>
        <v>0.33510587698103156</v>
      </c>
      <c r="F694" s="215">
        <v>7841.87</v>
      </c>
      <c r="G694" s="168">
        <f t="shared" ref="G694" si="470">(F694-F693)/F693</f>
        <v>2.7723111586803253E-3</v>
      </c>
      <c r="H694" s="199">
        <f t="shared" ref="H694" si="471">(F694-F$2)/F$2</f>
        <v>0.54012805153485088</v>
      </c>
      <c r="I694" s="822">
        <v>395267.72</v>
      </c>
      <c r="J694" s="170">
        <v>300000</v>
      </c>
      <c r="K694" s="170">
        <f t="shared" ref="K694" si="472">I694-I693-J694+J693</f>
        <v>1613.609999999986</v>
      </c>
      <c r="L694" s="168">
        <f t="shared" ref="L694" si="473">K694/I693</f>
        <v>4.0990553864660171E-3</v>
      </c>
      <c r="M694" s="178">
        <f t="shared" ref="M694" si="474">I694-J694</f>
        <v>95267.719999999972</v>
      </c>
      <c r="N694" s="180">
        <f t="shared" ref="N694" si="475">M694/J694</f>
        <v>0.31755906666666656</v>
      </c>
      <c r="O694" s="179">
        <f t="shared" ref="O694" si="476">N694/(A694/365.25)</f>
        <v>0.10829920550887018</v>
      </c>
      <c r="P694" s="178" t="b">
        <f t="shared" ref="P694" si="477">L694&gt;D694</f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ref="S694" si="478">I694-R694</f>
        <v>132985.32999999996</v>
      </c>
      <c r="T694" s="170">
        <v>-31343</v>
      </c>
      <c r="U694" s="170">
        <f t="shared" ref="U694" si="479">M694-T694</f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ref="X694" si="480">E694/(A694/365.25)/V694</f>
        <v>0.81832629083639241</v>
      </c>
      <c r="Y694" s="171">
        <f t="shared" ref="Y694" si="481">O694/W694</f>
        <v>0.40503527952324159</v>
      </c>
      <c r="Z694" s="784">
        <f t="shared" ref="Z694" si="482">-(E694-N694)</f>
        <v>-1.7546810314365002E-2</v>
      </c>
    </row>
    <row r="695" spans="1:26" ht="20.100000000000001" customHeight="1" x14ac:dyDescent="0.25">
      <c r="A695" s="160">
        <f t="shared" ref="A695" si="483">B695-$B$2</f>
        <v>1072</v>
      </c>
      <c r="B695" s="169">
        <v>43305</v>
      </c>
      <c r="C695" s="211">
        <v>2820.4</v>
      </c>
      <c r="D695" s="168">
        <f t="shared" ref="D695" si="484">(C695-C694)/C694</f>
        <v>4.7809389450584163E-3</v>
      </c>
      <c r="E695" s="205">
        <f t="shared" ref="E695" si="485">(C695-$C$2)/$C$2</f>
        <v>0.34148893666406654</v>
      </c>
      <c r="F695" s="215">
        <v>7840.76</v>
      </c>
      <c r="G695" s="168">
        <f t="shared" ref="G695" si="486">(F695-F694)/F694</f>
        <v>-1.4154787059714999E-4</v>
      </c>
      <c r="H695" s="199">
        <f t="shared" ref="H695" si="487">(F695-F$2)/F$2</f>
        <v>0.53991004968870915</v>
      </c>
      <c r="I695" s="822">
        <v>396061.88</v>
      </c>
      <c r="J695" s="170">
        <v>300000</v>
      </c>
      <c r="K695" s="170">
        <f t="shared" ref="K695" si="488">I695-I694-J695+J694</f>
        <v>794.1600000000326</v>
      </c>
      <c r="L695" s="168">
        <f t="shared" ref="L695" si="489">K695/I694</f>
        <v>2.0091698861724218E-3</v>
      </c>
      <c r="M695" s="178">
        <f t="shared" ref="M695" si="490">I695-J695</f>
        <v>96061.88</v>
      </c>
      <c r="N695" s="180">
        <f t="shared" ref="N695" si="491">M695/J695</f>
        <v>0.32020626666666668</v>
      </c>
      <c r="O695" s="179">
        <f t="shared" ref="O695" si="492">N695/(A695/365.25)</f>
        <v>0.10910012957089553</v>
      </c>
      <c r="P695" s="178" t="b">
        <f t="shared" ref="P695" si="493">L695&gt;D695</f>
        <v>0</v>
      </c>
      <c r="Q695" s="180">
        <f>COUNTIF(P$2:P695, TRUE)/(COUNTIF(P$2:P695,FALSE) + COUNTIF(P$2:P695, TRUE))</f>
        <v>0.49567723342939479</v>
      </c>
      <c r="R695" s="170">
        <v>258956.66</v>
      </c>
      <c r="S695" s="170">
        <f t="shared" ref="S695" si="494">I695-R695</f>
        <v>137105.22</v>
      </c>
      <c r="T695" s="170">
        <v>-31316</v>
      </c>
      <c r="U695" s="170">
        <f t="shared" ref="U695" si="495">M695-T695</f>
        <v>127377.88</v>
      </c>
      <c r="V695" s="180">
        <f>STDEV(D$2:D695)*SQRT(252)</f>
        <v>0.13957835749612202</v>
      </c>
      <c r="W695" s="180">
        <f>STDEV(L$2:L695)*SQRT(252)</f>
        <v>0.26719015389352224</v>
      </c>
      <c r="X695" s="171">
        <f t="shared" ref="X695" si="496">E695/(A695/365.25)/V695</f>
        <v>0.8335928753545212</v>
      </c>
      <c r="Y695" s="171">
        <f t="shared" ref="Y695" si="497">O695/W695</f>
        <v>0.40832391456450506</v>
      </c>
      <c r="Z695" s="784">
        <f t="shared" ref="Z695" si="498">-(E695-N695)</f>
        <v>-2.1282669997399861E-2</v>
      </c>
    </row>
    <row r="696" spans="1:26" ht="20.100000000000001" customHeight="1" x14ac:dyDescent="0.25">
      <c r="A696" s="160">
        <f t="shared" ref="A696" si="499">B696-$B$2</f>
        <v>1073</v>
      </c>
      <c r="B696" s="169">
        <v>43306</v>
      </c>
      <c r="C696" s="211">
        <v>2846.07</v>
      </c>
      <c r="D696" s="168">
        <f t="shared" ref="D696" si="500">(C696-C695)/C695</f>
        <v>9.1015458800170444E-3</v>
      </c>
      <c r="E696" s="205">
        <f t="shared" ref="E696" si="501">(C696-$C$2)/$C$2</f>
        <v>0.35369855976864978</v>
      </c>
      <c r="F696" s="215">
        <v>7932.23</v>
      </c>
      <c r="G696" s="168">
        <f t="shared" ref="G696" si="502">(F696-F695)/F695</f>
        <v>1.16659609527647E-2</v>
      </c>
      <c r="H696" s="199">
        <f t="shared" ref="H696" si="503">(F696-F$2)/F$2</f>
        <v>0.5578745801991476</v>
      </c>
      <c r="I696" s="822">
        <v>397194.94</v>
      </c>
      <c r="J696" s="170">
        <v>300000</v>
      </c>
      <c r="K696" s="170">
        <f t="shared" ref="K696" si="504">I696-I695-J696+J695</f>
        <v>1133.0599999999977</v>
      </c>
      <c r="L696" s="168">
        <f t="shared" ref="L696" si="505">K696/I695</f>
        <v>2.8608155877056325E-3</v>
      </c>
      <c r="M696" s="178">
        <f t="shared" ref="M696" si="506">I696-J696</f>
        <v>97194.94</v>
      </c>
      <c r="N696" s="180">
        <f t="shared" ref="N696" si="507">M696/J696</f>
        <v>0.32398313333333334</v>
      </c>
      <c r="O696" s="179">
        <f t="shared" ref="O696" si="508">N696/(A696/365.25)</f>
        <v>0.11028410013979496</v>
      </c>
      <c r="P696" s="178" t="b">
        <f t="shared" ref="P696" si="509">L696&gt;D696</f>
        <v>0</v>
      </c>
      <c r="Q696" s="180">
        <f>COUNTIF(P$2:P696, TRUE)/(COUNTIF(P$2:P696,FALSE) + COUNTIF(P$2:P696, TRUE))</f>
        <v>0.49496402877697843</v>
      </c>
      <c r="R696" s="170">
        <v>311104.62</v>
      </c>
      <c r="S696" s="170">
        <f t="shared" ref="S696" si="510">I696-R696</f>
        <v>86090.32</v>
      </c>
      <c r="T696" s="170">
        <v>-31452</v>
      </c>
      <c r="U696" s="170">
        <f t="shared" ref="U696" si="511">M696-T696</f>
        <v>128646.94</v>
      </c>
      <c r="V696" s="180">
        <f>STDEV(D$2:D696)*SQRT(252)</f>
        <v>0.13957472754547251</v>
      </c>
      <c r="W696" s="180">
        <f>STDEV(L$2:L696)*SQRT(252)</f>
        <v>0.26700063672614199</v>
      </c>
      <c r="X696" s="171">
        <f t="shared" ref="X696" si="512">E696/(A696/365.25)/V696</f>
        <v>0.86261499893794014</v>
      </c>
      <c r="Y696" s="171">
        <f t="shared" ref="Y696" si="513">O696/W696</f>
        <v>0.41304807918084285</v>
      </c>
      <c r="Z696" s="784">
        <f t="shared" ref="Z696" si="514">-(E696-N696)</f>
        <v>-2.9715426435316439E-2</v>
      </c>
    </row>
    <row r="697" spans="1:26" ht="20.100000000000001" customHeight="1" x14ac:dyDescent="0.25">
      <c r="A697" s="160">
        <f t="shared" ref="A697" si="515">B697-$B$2</f>
        <v>1074</v>
      </c>
      <c r="B697" s="169">
        <v>43307</v>
      </c>
      <c r="C697" s="211">
        <v>2837.44</v>
      </c>
      <c r="D697" s="168">
        <f t="shared" ref="D697" si="516">(C697-C696)/C696</f>
        <v>-3.0322514906520599E-3</v>
      </c>
      <c r="E697" s="205">
        <f t="shared" ref="E697" si="517">(C697-$C$2)/$C$2</f>
        <v>0.34959380529289774</v>
      </c>
      <c r="F697" s="215">
        <v>7852.18</v>
      </c>
      <c r="G697" s="168">
        <f t="shared" ref="G697" si="518">(F697-F696)/F696</f>
        <v>-1.0091739649505785E-2</v>
      </c>
      <c r="H697" s="199">
        <f t="shared" ref="H697" si="519">(F697-F$2)/F$2</f>
        <v>0.54215291552919465</v>
      </c>
      <c r="I697" s="822">
        <v>399108.12</v>
      </c>
      <c r="J697" s="170">
        <v>300000</v>
      </c>
      <c r="K697" s="170">
        <f t="shared" ref="K697" si="520">I697-I696-J697+J696</f>
        <v>1913.179999999993</v>
      </c>
      <c r="L697" s="168">
        <f t="shared" ref="L697" si="521">K697/I696</f>
        <v>4.8167280278041636E-3</v>
      </c>
      <c r="M697" s="178">
        <f t="shared" ref="M697" si="522">I697-J697</f>
        <v>99108.12</v>
      </c>
      <c r="N697" s="180">
        <f t="shared" ref="N697" si="523">M697/J697</f>
        <v>0.3303604</v>
      </c>
      <c r="O697" s="179">
        <f t="shared" ref="O697" si="524">N697/(A697/365.25)</f>
        <v>0.11235021983240223</v>
      </c>
      <c r="P697" s="178" t="b">
        <f t="shared" ref="P697" si="525">L697&gt;D697</f>
        <v>1</v>
      </c>
      <c r="Q697" s="180">
        <f>COUNTIF(P$2:P697, TRUE)/(COUNTIF(P$2:P697,FALSE) + COUNTIF(P$2:P697, TRUE))</f>
        <v>0.49568965517241381</v>
      </c>
      <c r="R697" s="170">
        <v>302471.34000000003</v>
      </c>
      <c r="S697" s="170">
        <f t="shared" ref="S697" si="526">I697-R697</f>
        <v>96636.77999999997</v>
      </c>
      <c r="T697" s="170">
        <v>-31624</v>
      </c>
      <c r="U697" s="170">
        <f t="shared" ref="U697" si="527">M697-T697</f>
        <v>130732.12</v>
      </c>
      <c r="V697" s="180">
        <f>STDEV(D$2:D697)*SQRT(252)</f>
        <v>0.13949012206949335</v>
      </c>
      <c r="W697" s="180">
        <f>STDEV(L$2:L697)*SQRT(252)</f>
        <v>0.26681999531144557</v>
      </c>
      <c r="X697" s="171">
        <f t="shared" ref="X697" si="528">E697/(A697/365.25)/V697</f>
        <v>0.85232694334176662</v>
      </c>
      <c r="Y697" s="171">
        <f t="shared" ref="Y697" si="529">O697/W697</f>
        <v>0.42107121582571599</v>
      </c>
      <c r="Z697" s="784">
        <f t="shared" ref="Z697" si="530">-(E697-N697)</f>
        <v>-1.9233405292897743E-2</v>
      </c>
    </row>
    <row r="698" spans="1:26" ht="20.100000000000001" customHeight="1" x14ac:dyDescent="0.25">
      <c r="A698" s="160">
        <f t="shared" ref="A698" si="531">B698-$B$2</f>
        <v>1075</v>
      </c>
      <c r="B698" s="169">
        <v>43308</v>
      </c>
      <c r="C698" s="211">
        <v>2818.85</v>
      </c>
      <c r="D698" s="168">
        <f t="shared" ref="D698" si="532">(C698-C697)/C697</f>
        <v>-6.5516803879553916E-3</v>
      </c>
      <c r="E698" s="205">
        <f t="shared" ref="E698" si="533">(C698-$C$2)/$C$2</f>
        <v>0.34075169802705418</v>
      </c>
      <c r="F698" s="215">
        <v>7737.41</v>
      </c>
      <c r="G698" s="168">
        <f t="shared" ref="G698" si="534">(F698-F697)/F697</f>
        <v>-1.461632311027007E-2</v>
      </c>
      <c r="H698" s="199">
        <f t="shared" ref="H698" si="535">(F698-F$2)/F$2</f>
        <v>0.51961231023037491</v>
      </c>
      <c r="I698" s="822">
        <v>400512.23</v>
      </c>
      <c r="J698" s="170">
        <v>300000</v>
      </c>
      <c r="K698" s="170">
        <f t="shared" ref="K698" si="536">I698-I697-J698+J697</f>
        <v>1404.109999999986</v>
      </c>
      <c r="L698" s="168">
        <f t="shared" ref="L698" si="537">K698/I697</f>
        <v>3.5181193507162574E-3</v>
      </c>
      <c r="M698" s="178">
        <f t="shared" ref="M698" si="538">I698-J698</f>
        <v>100512.22999999998</v>
      </c>
      <c r="N698" s="180">
        <f t="shared" ref="N698" si="539">M698/J698</f>
        <v>0.3350407666666666</v>
      </c>
      <c r="O698" s="179">
        <f t="shared" ref="O698" si="540">N698/(A698/365.25)</f>
        <v>0.11383594420930231</v>
      </c>
      <c r="P698" s="178" t="b">
        <f t="shared" ref="P698" si="541">L698&gt;D698</f>
        <v>1</v>
      </c>
      <c r="Q698" s="180">
        <f>COUNTIF(P$2:P698, TRUE)/(COUNTIF(P$2:P698,FALSE) + COUNTIF(P$2:P698, TRUE))</f>
        <v>0.4964131994261119</v>
      </c>
      <c r="R698" s="170">
        <v>303807.39</v>
      </c>
      <c r="S698" s="170">
        <f t="shared" ref="S698" si="542">I698-R698</f>
        <v>96704.839999999967</v>
      </c>
      <c r="T698" s="170">
        <v>-31335</v>
      </c>
      <c r="U698" s="170">
        <f t="shared" ref="U698" si="543">M698-T698</f>
        <v>131847.22999999998</v>
      </c>
      <c r="V698" s="180">
        <f>STDEV(D$2:D698)*SQRT(252)</f>
        <v>0.13945375345080335</v>
      </c>
      <c r="W698" s="180">
        <f>STDEV(L$2:L698)*SQRT(252)</f>
        <v>0.26663352765470749</v>
      </c>
      <c r="X698" s="171">
        <f t="shared" ref="X698" si="544">E698/(A698/365.25)/V698</f>
        <v>0.83021309848863689</v>
      </c>
      <c r="Y698" s="171">
        <f t="shared" ref="Y698" si="545">O698/W698</f>
        <v>0.42693784690393755</v>
      </c>
      <c r="Z698" s="784">
        <f t="shared" ref="Z698" si="546">-(E698-N698)</f>
        <v>-5.7109313603875833E-3</v>
      </c>
    </row>
    <row r="699" spans="1:26" ht="20.100000000000001" customHeight="1" x14ac:dyDescent="0.25">
      <c r="A699" s="160">
        <f t="shared" ref="A699" si="547">B699-$B$2</f>
        <v>1078</v>
      </c>
      <c r="B699" s="169">
        <v>43311</v>
      </c>
      <c r="C699" s="211">
        <v>2802.6</v>
      </c>
      <c r="D699" s="168">
        <f t="shared" ref="D699" si="548">(C699-C698)/C698</f>
        <v>-5.7647622257303516E-3</v>
      </c>
      <c r="E699" s="205">
        <f t="shared" ref="E699" si="549">(C699-$C$2)/$C$2</f>
        <v>0.33302258328418399</v>
      </c>
      <c r="F699" s="215">
        <v>7630</v>
      </c>
      <c r="G699" s="168">
        <f t="shared" ref="G699" si="550">(F699-F698)/F698</f>
        <v>-1.3881906219264568E-2</v>
      </c>
      <c r="H699" s="199">
        <f t="shared" ref="H699" si="551">(F699-F$2)/F$2</f>
        <v>0.4985171946501169</v>
      </c>
      <c r="I699" s="822">
        <v>404801.42</v>
      </c>
      <c r="J699" s="170">
        <v>300000</v>
      </c>
      <c r="K699" s="170">
        <f t="shared" ref="K699" si="552">I699-I698-J699+J698</f>
        <v>4289.1900000000023</v>
      </c>
      <c r="L699" s="168">
        <f t="shared" ref="L699" si="553">K699/I698</f>
        <v>1.0709260988110158E-2</v>
      </c>
      <c r="M699" s="178">
        <f t="shared" ref="M699" si="554">I699-J699</f>
        <v>104801.41999999998</v>
      </c>
      <c r="N699" s="180">
        <f t="shared" ref="N699" si="555">M699/J699</f>
        <v>0.34933806666666661</v>
      </c>
      <c r="O699" s="179">
        <f t="shared" ref="O699" si="556">N699/(A699/365.25)</f>
        <v>0.11836338483302411</v>
      </c>
      <c r="P699" s="178" t="b">
        <f t="shared" ref="P699" si="557">L699&gt;D699</f>
        <v>1</v>
      </c>
      <c r="Q699" s="180">
        <f>COUNTIF(P$2:P699, TRUE)/(COUNTIF(P$2:P699,FALSE) + COUNTIF(P$2:P699, TRUE))</f>
        <v>0.49713467048710602</v>
      </c>
      <c r="R699" s="170">
        <v>290391.89</v>
      </c>
      <c r="S699" s="170">
        <f t="shared" ref="S699" si="558">I699-R699</f>
        <v>114409.52999999997</v>
      </c>
      <c r="T699" s="170">
        <v>-31137</v>
      </c>
      <c r="U699" s="170">
        <f t="shared" ref="U699" si="559">M699-T699</f>
        <v>135938.41999999998</v>
      </c>
      <c r="V699" s="180">
        <f>STDEV(D$2:D699)*SQRT(252)</f>
        <v>0.13940379006719908</v>
      </c>
      <c r="W699" s="180">
        <f>STDEV(L$2:L699)*SQRT(252)</f>
        <v>0.26651040634496115</v>
      </c>
      <c r="X699" s="171">
        <f t="shared" ref="X699" si="560">E699/(A699/365.25)/V699</f>
        <v>0.8094137313172598</v>
      </c>
      <c r="Y699" s="171">
        <f t="shared" ref="Y699" si="561">O699/W699</f>
        <v>0.44412293859857371</v>
      </c>
      <c r="Z699" s="784">
        <f t="shared" ref="Z699" si="562">-(E699-N699)</f>
        <v>1.6315483382482621E-2</v>
      </c>
    </row>
    <row r="700" spans="1:26" ht="20.100000000000001" customHeight="1" x14ac:dyDescent="0.25">
      <c r="A700" s="160">
        <f t="shared" ref="A700" si="563">B700-$B$2</f>
        <v>1079</v>
      </c>
      <c r="B700" s="169">
        <v>43312</v>
      </c>
      <c r="C700" s="211">
        <v>2816.29</v>
      </c>
      <c r="D700" s="168">
        <f t="shared" ref="D700" si="564">(C700-C699)/C699</f>
        <v>4.884749875115983E-3</v>
      </c>
      <c r="E700" s="205">
        <f t="shared" ref="E700" si="565">(C700-$C$2)/$C$2</f>
        <v>0.33953406518140822</v>
      </c>
      <c r="F700" s="215">
        <v>7671.78</v>
      </c>
      <c r="G700" s="168">
        <f t="shared" ref="G700" si="566">(F700-F699)/F699</f>
        <v>5.4757536041939378E-3</v>
      </c>
      <c r="H700" s="199">
        <f t="shared" ref="H700" si="567">(F700-F$2)/F$2</f>
        <v>0.50672270557966892</v>
      </c>
      <c r="I700" s="838">
        <v>404183.05</v>
      </c>
      <c r="J700" s="170">
        <v>300000</v>
      </c>
      <c r="K700" s="170">
        <f t="shared" ref="K700" si="568">I700-I699-J700+J699</f>
        <v>-618.36999999999534</v>
      </c>
      <c r="L700" s="168">
        <f t="shared" ref="L700" si="569">K700/I699</f>
        <v>-1.5275885148821745E-3</v>
      </c>
      <c r="M700" s="462">
        <f t="shared" ref="M700" si="570">I700-J700</f>
        <v>104183.04999999999</v>
      </c>
      <c r="N700" s="180">
        <f t="shared" ref="N700" si="571">M700/J700</f>
        <v>0.34727683333333331</v>
      </c>
      <c r="O700" s="179">
        <f t="shared" ref="O700" si="572">N700/(A700/365.25)</f>
        <v>0.1175559438137164</v>
      </c>
      <c r="P700" s="178" t="b">
        <f t="shared" ref="P700" si="573">L700&gt;D700</f>
        <v>0</v>
      </c>
      <c r="Q700" s="180">
        <f>COUNTIF(P$2:P700, TRUE)/(COUNTIF(P$2:P700,FALSE) + COUNTIF(P$2:P700, TRUE))</f>
        <v>0.49642346208869814</v>
      </c>
      <c r="R700" s="170">
        <v>292466.09999999998</v>
      </c>
      <c r="S700" s="170">
        <f t="shared" ref="S700" si="574">I700-R700</f>
        <v>111716.95000000001</v>
      </c>
      <c r="T700" s="170">
        <v>-31145</v>
      </c>
      <c r="U700" s="170">
        <f t="shared" ref="U700" si="575">M700-T700</f>
        <v>135328.04999999999</v>
      </c>
      <c r="V700" s="180">
        <f>STDEV(D$2:D700)*SQRT(252)</f>
        <v>0.13932922287713678</v>
      </c>
      <c r="W700" s="180">
        <f>STDEV(L$2:L700)*SQRT(252)</f>
        <v>0.26632244353509082</v>
      </c>
      <c r="X700" s="171">
        <f t="shared" ref="X700" si="576">E700/(A700/365.25)/V700</f>
        <v>0.82491636302824856</v>
      </c>
      <c r="Y700" s="171">
        <f t="shared" ref="Y700" si="577">O700/W700</f>
        <v>0.44140457053979809</v>
      </c>
      <c r="Z700" s="784">
        <f t="shared" ref="Z700" si="578">-(E700-N700)</f>
        <v>7.7427681519250946E-3</v>
      </c>
    </row>
    <row r="701" spans="1:26" ht="20.100000000000001" customHeight="1" x14ac:dyDescent="0.25">
      <c r="A701" s="160">
        <f t="shared" ref="A701" si="579">B701-$B$2</f>
        <v>1080</v>
      </c>
      <c r="B701" s="169">
        <v>43313</v>
      </c>
      <c r="C701" s="211">
        <v>2813.36</v>
      </c>
      <c r="D701" s="168">
        <f t="shared" ref="D701" si="580">(C701-C700)/C700</f>
        <v>-1.0403758135702774E-3</v>
      </c>
      <c r="E701" s="205">
        <f t="shared" ref="E701" si="581">(C701-$C$2)/$C$2</f>
        <v>0.33814044633854001</v>
      </c>
      <c r="F701" s="215">
        <v>7707.28</v>
      </c>
      <c r="G701" s="168">
        <f t="shared" ref="G701" si="582">(F701-F700)/F700</f>
        <v>4.6273485423200351E-3</v>
      </c>
      <c r="H701" s="199">
        <f t="shared" ref="H701" si="583">(F701-F$2)/F$2</f>
        <v>0.51369483669501348</v>
      </c>
      <c r="I701" s="822">
        <v>400088.38</v>
      </c>
      <c r="J701" s="170">
        <v>300000</v>
      </c>
      <c r="K701" s="170">
        <f t="shared" ref="K701" si="584">I701-I700-J701+J700</f>
        <v>-4094.6699999999837</v>
      </c>
      <c r="L701" s="168">
        <f t="shared" ref="L701:L704" si="585">K701/I700</f>
        <v>-1.0130731607869215E-2</v>
      </c>
      <c r="M701" s="178">
        <f t="shared" ref="M701" si="586">I701-J701</f>
        <v>100088.38</v>
      </c>
      <c r="N701" s="180">
        <f t="shared" ref="N701" si="587">M701/J701</f>
        <v>0.33362793333333335</v>
      </c>
      <c r="O701" s="179">
        <f t="shared" ref="O701" si="588">N701/(A701/365.25)</f>
        <v>0.11283111356481483</v>
      </c>
      <c r="P701" s="178" t="b">
        <f t="shared" ref="P701" si="589">L701&gt;D701</f>
        <v>0</v>
      </c>
      <c r="Q701" s="180">
        <f>COUNTIF(P$2:P701, TRUE)/(COUNTIF(P$2:P701,FALSE) + COUNTIF(P$2:P701, TRUE))</f>
        <v>0.49571428571428572</v>
      </c>
      <c r="R701" s="170">
        <v>307659.33</v>
      </c>
      <c r="S701" s="170">
        <f t="shared" ref="S701" si="590">I701-R701</f>
        <v>92429.049999999988</v>
      </c>
      <c r="T701" s="170">
        <v>-31149</v>
      </c>
      <c r="U701" s="170">
        <f t="shared" ref="U701" si="591">M701-T701</f>
        <v>131237.38</v>
      </c>
      <c r="V701" s="180">
        <f>STDEV(D$2:D701)*SQRT(252)</f>
        <v>0.13923228528742781</v>
      </c>
      <c r="W701" s="180">
        <f>STDEV(L$2:L701)*SQRT(252)</f>
        <v>0.26621063577113346</v>
      </c>
      <c r="X701" s="171">
        <f t="shared" ref="X701" si="592">E701/(A701/365.25)/V701</f>
        <v>0.82134125829783444</v>
      </c>
      <c r="Y701" s="171">
        <f t="shared" ref="Y701" si="593">O701/W701</f>
        <v>0.42384149392820641</v>
      </c>
      <c r="Z701" s="784">
        <f t="shared" ref="Z701" si="594">-(E701-N701)</f>
        <v>-4.5125130052066642E-3</v>
      </c>
    </row>
    <row r="702" spans="1:26" ht="20.100000000000001" customHeight="1" x14ac:dyDescent="0.25">
      <c r="A702" s="160">
        <f t="shared" ref="A702" si="595">B702-$B$2</f>
        <v>1081</v>
      </c>
      <c r="B702" s="169">
        <v>43314</v>
      </c>
      <c r="C702" s="211">
        <v>2827.22</v>
      </c>
      <c r="D702" s="168">
        <f t="shared" ref="D702" si="596">(C702-C701)/C701</f>
        <v>4.926493587738388E-3</v>
      </c>
      <c r="E702" s="205">
        <f t="shared" ref="E702" si="597">(C702-$C$2)/$C$2</f>
        <v>0.3447327866669202</v>
      </c>
      <c r="F702" s="215">
        <v>7802.68</v>
      </c>
      <c r="G702" s="168">
        <f t="shared" ref="G702:G704" si="598">(F702-F701)/F701</f>
        <v>1.2377907640568469E-2</v>
      </c>
      <c r="H702" s="199">
        <f t="shared" ref="H702" si="599">(F702-F$2)/F$2</f>
        <v>0.53243121157962969</v>
      </c>
      <c r="I702" s="822">
        <v>403196.94</v>
      </c>
      <c r="J702" s="170">
        <v>300000</v>
      </c>
      <c r="K702" s="170">
        <f t="shared" ref="K702" si="600">I702-I701-J702+J701</f>
        <v>3108.5599999999977</v>
      </c>
      <c r="L702" s="168">
        <f t="shared" si="585"/>
        <v>7.7696832884774046E-3</v>
      </c>
      <c r="M702" s="178">
        <f t="shared" ref="M702" si="601">I702-J702</f>
        <v>103196.94</v>
      </c>
      <c r="N702" s="180">
        <f t="shared" ref="N702" si="602">M702/J702</f>
        <v>0.34398980000000001</v>
      </c>
      <c r="O702" s="179">
        <f t="shared" ref="O702" si="603">N702/(A702/365.25)</f>
        <v>0.11622782095282147</v>
      </c>
      <c r="P702" s="178" t="b">
        <f t="shared" ref="P702" si="604">L702&gt;D702</f>
        <v>1</v>
      </c>
      <c r="Q702" s="180">
        <f>COUNTIF(P$2:P702, TRUE)/(COUNTIF(P$2:P702,FALSE) + COUNTIF(P$2:P702, TRUE))</f>
        <v>0.49643366619115548</v>
      </c>
      <c r="R702" s="170">
        <v>309280.24</v>
      </c>
      <c r="S702" s="170">
        <f t="shared" ref="S702" si="605">I702-R702</f>
        <v>93916.700000000012</v>
      </c>
      <c r="T702" s="170">
        <v>-31192</v>
      </c>
      <c r="U702" s="170">
        <f t="shared" ref="U702" si="606">M702-T702</f>
        <v>134388.94</v>
      </c>
      <c r="V702" s="180">
        <f>STDEV(D$2:D702)*SQRT(252)</f>
        <v>0.13915851795625786</v>
      </c>
      <c r="W702" s="180">
        <f>STDEV(L$2:L702)*SQRT(252)</f>
        <v>0.2660543756926837</v>
      </c>
      <c r="X702" s="171">
        <f t="shared" ref="X702" si="607">E702/(A702/365.25)/V702</f>
        <v>0.83702287276898191</v>
      </c>
      <c r="Y702" s="171">
        <f t="shared" ref="Y702" si="608">O702/W702</f>
        <v>0.43685739296795056</v>
      </c>
      <c r="Z702" s="784">
        <f t="shared" ref="Z702" si="609">-(E702-N702)</f>
        <v>-7.4298666692018678E-4</v>
      </c>
    </row>
    <row r="703" spans="1:26" ht="20.100000000000001" customHeight="1" x14ac:dyDescent="0.25">
      <c r="A703" s="160">
        <f t="shared" ref="A703" si="610">B703-$B$2</f>
        <v>1082</v>
      </c>
      <c r="B703" s="169">
        <v>43315</v>
      </c>
      <c r="C703" s="211">
        <v>2840.35</v>
      </c>
      <c r="D703" s="168">
        <f t="shared" ref="D703:D704" si="611">(C703-C702)/C702</f>
        <v>4.6441380578802179E-3</v>
      </c>
      <c r="E703" s="205">
        <f t="shared" ref="E703" si="612">(C703-$C$2)/$C$2</f>
        <v>0.3509779113791594</v>
      </c>
      <c r="F703" s="215">
        <v>7812.01</v>
      </c>
      <c r="G703" s="168">
        <f t="shared" si="598"/>
        <v>1.1957430011226818E-3</v>
      </c>
      <c r="H703" s="199">
        <f t="shared" ref="H703" si="613">(F703-F$2)/F$2</f>
        <v>0.53426360547557805</v>
      </c>
      <c r="I703" s="822">
        <v>406121.93</v>
      </c>
      <c r="J703" s="170">
        <v>300000</v>
      </c>
      <c r="K703" s="170">
        <f t="shared" ref="K703:K704" si="614">I703-I702-J703+J702</f>
        <v>2924.9899999999907</v>
      </c>
      <c r="L703" s="168">
        <f t="shared" si="585"/>
        <v>7.2544945405587421E-3</v>
      </c>
      <c r="M703" s="178">
        <f t="shared" ref="M703" si="615">I703-J703</f>
        <v>106121.93</v>
      </c>
      <c r="N703" s="180">
        <f t="shared" ref="N703" si="616">M703/J703</f>
        <v>0.35373976666666662</v>
      </c>
      <c r="O703" s="179">
        <f t="shared" ref="O703" si="617">N703/(A703/365.25)</f>
        <v>0.11941169110443622</v>
      </c>
      <c r="P703" s="178" t="b">
        <f t="shared" ref="P703" si="618">L703&gt;D703</f>
        <v>1</v>
      </c>
      <c r="Q703" s="180">
        <f>COUNTIF(P$2:P703, TRUE)/(COUNTIF(P$2:P703,FALSE) + COUNTIF(P$2:P703, TRUE))</f>
        <v>0.49715099715099714</v>
      </c>
      <c r="R703" s="170">
        <v>312205.21999999997</v>
      </c>
      <c r="S703" s="170">
        <f t="shared" ref="S703" si="619">I703-R703</f>
        <v>93916.710000000021</v>
      </c>
      <c r="T703" s="170">
        <v>-31000</v>
      </c>
      <c r="U703" s="170">
        <f t="shared" ref="U703" si="620">M703-T703</f>
        <v>137121.93</v>
      </c>
      <c r="V703" s="180">
        <f>STDEV(D$2:D703)*SQRT(252)</f>
        <v>0.1390816932746255</v>
      </c>
      <c r="W703" s="180">
        <f>STDEV(L$2:L703)*SQRT(252)</f>
        <v>0.2658936052973383</v>
      </c>
      <c r="X703" s="171">
        <f t="shared" ref="X703" si="621">E703/(A703/365.25)/V703</f>
        <v>0.85186893195189872</v>
      </c>
      <c r="Y703" s="171">
        <f t="shared" ref="Y703" si="622">O703/W703</f>
        <v>0.44909576133244294</v>
      </c>
      <c r="Z703" s="784">
        <f t="shared" ref="Z703" si="623">-(E703-N703)</f>
        <v>2.76185528750722E-3</v>
      </c>
    </row>
    <row r="704" spans="1:26" ht="20.100000000000001" customHeight="1" x14ac:dyDescent="0.25">
      <c r="A704" s="160">
        <f t="shared" ref="A704" si="624">B704-$B$2</f>
        <v>1085</v>
      </c>
      <c r="B704" s="169">
        <v>43318</v>
      </c>
      <c r="C704" s="211">
        <v>2850.4</v>
      </c>
      <c r="D704" s="168">
        <f t="shared" si="611"/>
        <v>3.5382963367191307E-3</v>
      </c>
      <c r="E704" s="205">
        <f t="shared" ref="E704" si="625">(C704-$C$2)/$C$2</f>
        <v>0.35575807157398071</v>
      </c>
      <c r="F704" s="215">
        <v>7859.67</v>
      </c>
      <c r="G704" s="168">
        <f t="shared" si="598"/>
        <v>6.1008626461051445E-3</v>
      </c>
      <c r="H704" s="199">
        <f t="shared" ref="H704" si="626">(F704-F$2)/F$2</f>
        <v>0.5436239369955026</v>
      </c>
      <c r="I704" s="822">
        <v>404173.08</v>
      </c>
      <c r="J704" s="170">
        <v>300000</v>
      </c>
      <c r="K704" s="170">
        <f t="shared" si="614"/>
        <v>-1948.8499999999767</v>
      </c>
      <c r="L704" s="168">
        <f t="shared" si="585"/>
        <v>-4.7986820115820308E-3</v>
      </c>
      <c r="M704" s="178">
        <f t="shared" ref="M704" si="627">I704-J704</f>
        <v>104173.08000000002</v>
      </c>
      <c r="N704" s="180">
        <f t="shared" ref="N704" si="628">M704/J704</f>
        <v>0.34724360000000004</v>
      </c>
      <c r="O704" s="179">
        <f t="shared" ref="O704" si="629">N704/(A704/365.25)</f>
        <v>0.11689467732718894</v>
      </c>
      <c r="P704" s="178" t="b">
        <f t="shared" ref="P704" si="630">L704&gt;D704</f>
        <v>0</v>
      </c>
      <c r="Q704" s="180">
        <f>COUNTIF(P$2:P704, TRUE)/(COUNTIF(P$2:P704,FALSE) + COUNTIF(P$2:P704, TRUE))</f>
        <v>0.49644381223328593</v>
      </c>
      <c r="R704" s="170">
        <v>313010.24</v>
      </c>
      <c r="S704" s="170">
        <f t="shared" ref="S704" si="631">I704-R704</f>
        <v>91162.840000000026</v>
      </c>
      <c r="T704" s="170">
        <v>-32858</v>
      </c>
      <c r="U704" s="170">
        <f t="shared" ref="U704" si="632">M704-T704</f>
        <v>137031.08000000002</v>
      </c>
      <c r="V704" s="180">
        <f>STDEV(D$2:D704)*SQRT(252)</f>
        <v>0.13899463239959842</v>
      </c>
      <c r="W704" s="180">
        <f>STDEV(L$2:L704)*SQRT(252)</f>
        <v>0.26572413352504948</v>
      </c>
      <c r="X704" s="171">
        <f t="shared" ref="X704" si="633">E704/(A704/365.25)/V704</f>
        <v>0.86162287306763052</v>
      </c>
      <c r="Y704" s="171">
        <f t="shared" ref="Y704" si="634">O704/W704</f>
        <v>0.43990990120650608</v>
      </c>
      <c r="Z704" s="784">
        <f t="shared" ref="Z704" si="635">-(E704-N704)</f>
        <v>-8.5144715739806642E-3</v>
      </c>
    </row>
    <row r="705" spans="1:26" ht="20.100000000000001" customHeight="1" x14ac:dyDescent="0.25">
      <c r="A705" s="160">
        <f t="shared" ref="A705" si="636">B705-$B$2</f>
        <v>1086</v>
      </c>
      <c r="B705" s="169">
        <v>43319</v>
      </c>
      <c r="C705" s="211">
        <v>2858.45</v>
      </c>
      <c r="D705" s="168">
        <f t="shared" ref="D705" si="637">(C705-C704)/C704</f>
        <v>2.8241650294694525E-3</v>
      </c>
      <c r="E705" s="205">
        <f t="shared" ref="E705" si="638">(C705-$C$2)/$C$2</f>
        <v>0.3595869561081409</v>
      </c>
      <c r="F705" s="215">
        <v>7883.66</v>
      </c>
      <c r="G705" s="168">
        <f t="shared" ref="G705" si="639">(F705-F704)/F704</f>
        <v>3.0522909994948619E-3</v>
      </c>
      <c r="H705" s="199">
        <f t="shared" ref="H705" si="640">(F705-F$2)/F$2</f>
        <v>0.54833552644499872</v>
      </c>
      <c r="I705" s="822">
        <v>403006.24</v>
      </c>
      <c r="J705" s="170">
        <v>300000</v>
      </c>
      <c r="K705" s="170">
        <f t="shared" ref="K705" si="641">I705-I704-J705+J704</f>
        <v>-1166.8400000000256</v>
      </c>
      <c r="L705" s="168">
        <f t="shared" ref="L705" si="642">K705/I704</f>
        <v>-2.8869809933903209E-3</v>
      </c>
      <c r="M705" s="178">
        <f t="shared" ref="M705" si="643">I705-J705</f>
        <v>103006.23999999999</v>
      </c>
      <c r="N705" s="180">
        <f t="shared" ref="N705" si="644">M705/J705</f>
        <v>0.34335413333333331</v>
      </c>
      <c r="O705" s="179">
        <f t="shared" ref="O705" si="645">N705/(A705/365.25)</f>
        <v>0.11547891086556168</v>
      </c>
      <c r="P705" s="178" t="b">
        <f t="shared" ref="P705" si="646">L705&gt;D705</f>
        <v>0</v>
      </c>
      <c r="Q705" s="180">
        <f>COUNTIF(P$2:P705, TRUE)/(COUNTIF(P$2:P705,FALSE) + COUNTIF(P$2:P705, TRUE))</f>
        <v>0.49573863636363635</v>
      </c>
      <c r="R705" s="170">
        <v>318253</v>
      </c>
      <c r="S705" s="170">
        <f t="shared" ref="S705" si="647">I705-R705</f>
        <v>84753.239999999991</v>
      </c>
      <c r="T705" s="170">
        <v>-33618</v>
      </c>
      <c r="U705" s="170">
        <f t="shared" ref="U705" si="648">M705-T705</f>
        <v>136624.24</v>
      </c>
      <c r="V705" s="180">
        <f>STDEV(D$2:D705)*SQRT(252)</f>
        <v>0.13890273764231756</v>
      </c>
      <c r="W705" s="180">
        <f>STDEV(L$2:L705)*SQRT(252)</f>
        <v>0.26554333708806838</v>
      </c>
      <c r="X705" s="171">
        <f t="shared" ref="X705" si="649">E705/(A705/365.25)/V705</f>
        <v>0.87066988550967461</v>
      </c>
      <c r="Y705" s="171">
        <f t="shared" ref="Y705" si="650">O705/W705</f>
        <v>0.43487783249203765</v>
      </c>
      <c r="Z705" s="784">
        <f t="shared" ref="Z705" si="651">-(E705-N705)</f>
        <v>-1.6232822774807587E-2</v>
      </c>
    </row>
    <row r="706" spans="1:26" ht="20.100000000000001" customHeight="1" x14ac:dyDescent="0.25">
      <c r="A706" s="160">
        <f t="shared" ref="A706" si="652">B706-$B$2</f>
        <v>1087</v>
      </c>
      <c r="B706" s="169">
        <v>43320</v>
      </c>
      <c r="C706" s="211">
        <v>2857.7</v>
      </c>
      <c r="D706" s="168">
        <f t="shared" ref="D706" si="653">(C706-C705)/C705</f>
        <v>-2.6237996116776574E-4</v>
      </c>
      <c r="E706" s="205">
        <f t="shared" ref="E706" si="654">(C706-$C$2)/$C$2</f>
        <v>0.35923022773539304</v>
      </c>
      <c r="F706" s="215">
        <v>7888.32</v>
      </c>
      <c r="G706" s="168">
        <f t="shared" ref="G706" si="655">(F706-F705)/F705</f>
        <v>5.9109601378038302E-4</v>
      </c>
      <c r="H706" s="199">
        <f t="shared" ref="H706" si="656">(F706-F$2)/F$2</f>
        <v>0.54925074140267494</v>
      </c>
      <c r="I706" s="822">
        <v>400744.76</v>
      </c>
      <c r="J706" s="170">
        <v>300000</v>
      </c>
      <c r="K706" s="170">
        <f t="shared" ref="K706" si="657">I706-I705-J706+J705</f>
        <v>-2261.4799999999814</v>
      </c>
      <c r="L706" s="168">
        <f t="shared" ref="L706" si="658">K706/I705</f>
        <v>-5.6115260150810106E-3</v>
      </c>
      <c r="M706" s="178">
        <f t="shared" ref="M706" si="659">I706-J706</f>
        <v>100744.76000000001</v>
      </c>
      <c r="N706" s="180">
        <f t="shared" ref="N706" si="660">M706/J706</f>
        <v>0.33581586666666668</v>
      </c>
      <c r="O706" s="179">
        <f t="shared" ref="O706" si="661">N706/(A706/365.25)</f>
        <v>0.11283969208831647</v>
      </c>
      <c r="P706" s="178" t="b">
        <f t="shared" ref="P706" si="662">L706&gt;D706</f>
        <v>0</v>
      </c>
      <c r="Q706" s="180">
        <f>COUNTIF(P$2:P706, TRUE)/(COUNTIF(P$2:P706,FALSE) + COUNTIF(P$2:P706, TRUE))</f>
        <v>0.49503546099290779</v>
      </c>
      <c r="R706" s="170">
        <v>294990.73</v>
      </c>
      <c r="S706" s="170">
        <f t="shared" ref="S706" si="663">I706-R706</f>
        <v>105754.03000000003</v>
      </c>
      <c r="T706" s="170">
        <v>-34252</v>
      </c>
      <c r="U706" s="170">
        <f t="shared" ref="U706" si="664">M706-T706</f>
        <v>134996.76</v>
      </c>
      <c r="V706" s="180">
        <f>STDEV(D$2:D706)*SQRT(252)</f>
        <v>0.13880461129455129</v>
      </c>
      <c r="W706" s="180">
        <f>STDEV(L$2:L706)*SQRT(252)</f>
        <v>0.2653809631222358</v>
      </c>
      <c r="X706" s="171">
        <f t="shared" ref="X706" si="665">E706/(A706/365.25)/V706</f>
        <v>0.86962028140096148</v>
      </c>
      <c r="Y706" s="171">
        <f t="shared" ref="Y706" si="666">O706/W706</f>
        <v>0.42519889430178132</v>
      </c>
      <c r="Z706" s="784">
        <f t="shared" ref="Z706" si="667">-(E706-N706)</f>
        <v>-2.3414361068726353E-2</v>
      </c>
    </row>
    <row r="707" spans="1:26" ht="20.100000000000001" customHeight="1" x14ac:dyDescent="0.25">
      <c r="A707" s="160">
        <f t="shared" ref="A707" si="668">B707-$B$2</f>
        <v>1088</v>
      </c>
      <c r="B707" s="169">
        <v>43321</v>
      </c>
      <c r="C707" s="211">
        <v>2853.58</v>
      </c>
      <c r="D707" s="168">
        <f t="shared" ref="D707" si="669">(C707-C706)/C706</f>
        <v>-1.4417188648213218E-3</v>
      </c>
      <c r="E707" s="205">
        <f t="shared" ref="E707" si="670">(C707-$C$2)/$C$2</f>
        <v>0.35727059987443155</v>
      </c>
      <c r="F707" s="215">
        <v>7891.78</v>
      </c>
      <c r="G707" s="168">
        <f t="shared" ref="G707" si="671">(F707-F706)/F706</f>
        <v>4.3862317958703965E-4</v>
      </c>
      <c r="H707" s="199">
        <f t="shared" ref="H707" si="672">(F707-F$2)/F$2</f>
        <v>0.54993027868884659</v>
      </c>
      <c r="I707" s="822">
        <v>401364.9</v>
      </c>
      <c r="J707" s="170">
        <v>300000</v>
      </c>
      <c r="K707" s="170">
        <f t="shared" ref="K707" si="673">I707-I706-J707+J706</f>
        <v>620.14000000001397</v>
      </c>
      <c r="L707" s="168">
        <f t="shared" ref="L707" si="674">K707/I706</f>
        <v>1.5474687679010799E-3</v>
      </c>
      <c r="M707" s="178">
        <f t="shared" ref="M707" si="675">I707-J707</f>
        <v>101364.90000000002</v>
      </c>
      <c r="N707" s="180">
        <f t="shared" ref="N707" si="676">M707/J707</f>
        <v>0.3378830000000001</v>
      </c>
      <c r="O707" s="179">
        <f t="shared" ref="O707" si="677">N707/(A707/365.25)</f>
        <v>0.11342993175551473</v>
      </c>
      <c r="P707" s="178" t="b">
        <f t="shared" ref="P707" si="678">L707&gt;D707</f>
        <v>1</v>
      </c>
      <c r="Q707" s="180">
        <f>COUNTIF(P$2:P707, TRUE)/(COUNTIF(P$2:P707,FALSE) + COUNTIF(P$2:P707, TRUE))</f>
        <v>0.49575070821529743</v>
      </c>
      <c r="R707" s="170">
        <v>304574.90999999997</v>
      </c>
      <c r="S707" s="170">
        <f t="shared" ref="S707" si="679">I707-R707</f>
        <v>96789.990000000049</v>
      </c>
      <c r="T707" s="170">
        <v>-34162</v>
      </c>
      <c r="U707" s="170">
        <f t="shared" ref="U707" si="680">M707-T707</f>
        <v>135526.90000000002</v>
      </c>
      <c r="V707" s="180">
        <f>STDEV(D$2:D707)*SQRT(252)</f>
        <v>0.13871072335629728</v>
      </c>
      <c r="W707" s="180">
        <f>STDEV(L$2:L707)*SQRT(252)</f>
        <v>0.26519295255991954</v>
      </c>
      <c r="X707" s="171">
        <f t="shared" ref="X707" si="681">E707/(A707/365.25)/V707</f>
        <v>0.8646663777317245</v>
      </c>
      <c r="Y707" s="171">
        <f t="shared" ref="Y707" si="682">O707/W707</f>
        <v>0.42772604121101443</v>
      </c>
      <c r="Z707" s="784">
        <f t="shared" ref="Z707" si="683">-(E707-N707)</f>
        <v>-1.9387599874431449E-2</v>
      </c>
    </row>
    <row r="708" spans="1:26" ht="20.100000000000001" customHeight="1" x14ac:dyDescent="0.25">
      <c r="A708" s="160">
        <f t="shared" ref="A708" si="684">B708-$B$2</f>
        <v>1089</v>
      </c>
      <c r="B708" s="169">
        <v>43322</v>
      </c>
      <c r="C708" s="211">
        <v>2833.28</v>
      </c>
      <c r="D708" s="168">
        <f t="shared" ref="D708" si="685">(C708-C707)/C707</f>
        <v>-7.1138709971333303E-3</v>
      </c>
      <c r="E708" s="205">
        <f t="shared" ref="E708" si="686">(C708-$C$2)/$C$2</f>
        <v>0.34761515191872305</v>
      </c>
      <c r="F708" s="215">
        <v>7839.11</v>
      </c>
      <c r="G708" s="168">
        <f t="shared" ref="G708" si="687">(F708-F707)/F707</f>
        <v>-6.6740329811525506E-3</v>
      </c>
      <c r="H708" s="199">
        <f t="shared" ref="H708" si="688">(F708-F$2)/F$2</f>
        <v>0.53958599289039022</v>
      </c>
      <c r="I708" s="822">
        <v>400580.36</v>
      </c>
      <c r="J708" s="170">
        <v>300000</v>
      </c>
      <c r="K708" s="170">
        <f t="shared" ref="K708" si="689">I708-I707-J708+J707</f>
        <v>-784.54000000003725</v>
      </c>
      <c r="L708" s="168">
        <f t="shared" ref="L708" si="690">K708/I707</f>
        <v>-1.9546801426832223E-3</v>
      </c>
      <c r="M708" s="178">
        <f t="shared" ref="M708" si="691">I708-J708</f>
        <v>100580.35999999999</v>
      </c>
      <c r="N708" s="180">
        <f t="shared" ref="N708" si="692">M708/J708</f>
        <v>0.33526786666666664</v>
      </c>
      <c r="O708" s="179">
        <f t="shared" ref="O708" si="693">N708/(A708/365.25)</f>
        <v>0.11244865775941229</v>
      </c>
      <c r="P708" s="178" t="b">
        <f t="shared" ref="P708" si="694">L708&gt;D708</f>
        <v>1</v>
      </c>
      <c r="Q708" s="180">
        <f>COUNTIF(P$2:P708, TRUE)/(COUNTIF(P$2:P708,FALSE) + COUNTIF(P$2:P708, TRUE))</f>
        <v>0.49646393210749645</v>
      </c>
      <c r="R708" s="170">
        <v>303790.27</v>
      </c>
      <c r="S708" s="170">
        <f t="shared" ref="S708" si="695">I708-R708</f>
        <v>96790.089999999967</v>
      </c>
      <c r="T708" s="170">
        <v>-34222</v>
      </c>
      <c r="U708" s="170">
        <f t="shared" ref="U708" si="696">M708-T708</f>
        <v>134802.35999999999</v>
      </c>
      <c r="V708" s="180">
        <f>STDEV(D$2:D708)*SQRT(252)</f>
        <v>0.13868637564219252</v>
      </c>
      <c r="W708" s="180">
        <f>STDEV(L$2:L708)*SQRT(252)</f>
        <v>0.26500939544091756</v>
      </c>
      <c r="X708" s="171">
        <f t="shared" ref="X708" si="697">E708/(A708/365.25)/V708</f>
        <v>0.84067328092010429</v>
      </c>
      <c r="Y708" s="171">
        <f t="shared" ref="Y708" si="698">O708/W708</f>
        <v>0.42431951354902858</v>
      </c>
      <c r="Z708" s="784">
        <f t="shared" ref="Z708" si="699">-(E708-N708)</f>
        <v>-1.2347285252056417E-2</v>
      </c>
    </row>
  </sheetData>
  <conditionalFormatting sqref="L709:L1048576 L1:L2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708">
    <cfRule type="colorScale" priority="99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08">
    <cfRule type="colorScale" priority="99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08">
    <cfRule type="colorScale" priority="998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346.9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346.9</v>
      </c>
      <c r="R4" s="490">
        <v>-9.1000000000000004E-3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59" t="s">
        <v>78</v>
      </c>
      <c r="P42" s="859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381.59000000000003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378.12099999999998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374.65199999999999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371.18299999999999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367.714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364.245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360.77600000000001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357.30699999999996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353.83799999999997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350.36899999999997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346.9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343.43099999999998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339.96199999999999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336.49299999999999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333.02399999999994</v>
      </c>
      <c r="U57" s="470"/>
    </row>
    <row r="58" spans="1:21" x14ac:dyDescent="0.25">
      <c r="O58" s="81">
        <v>0.95</v>
      </c>
      <c r="P58" s="81">
        <f t="shared" si="3"/>
        <v>329.55499999999995</v>
      </c>
      <c r="U58" s="470"/>
    </row>
    <row r="59" spans="1:21" x14ac:dyDescent="0.25">
      <c r="O59" s="81">
        <v>0.94</v>
      </c>
      <c r="P59" s="81">
        <f t="shared" si="3"/>
        <v>326.08599999999996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322.61700000000002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319.14799999999997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315.67899999999997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312.20999999999998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691" priority="58">
      <formula>F19&gt;0</formula>
    </cfRule>
    <cfRule type="expression" dxfId="269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689" priority="47">
      <formula>H25&gt;0</formula>
    </cfRule>
    <cfRule type="expression" dxfId="2688" priority="48">
      <formula>H25&lt;0</formula>
    </cfRule>
  </conditionalFormatting>
  <conditionalFormatting sqref="M39">
    <cfRule type="expression" dxfId="2687" priority="45">
      <formula>M39&gt;0</formula>
    </cfRule>
    <cfRule type="expression" dxfId="2686" priority="46">
      <formula>M39&lt;0</formula>
    </cfRule>
  </conditionalFormatting>
  <conditionalFormatting sqref="F61:F67">
    <cfRule type="expression" dxfId="2685" priority="43">
      <formula>F61&gt;0</formula>
    </cfRule>
    <cfRule type="expression" dxfId="2684" priority="44">
      <formula>F61&lt;0</formula>
    </cfRule>
  </conditionalFormatting>
  <conditionalFormatting sqref="H61:H67">
    <cfRule type="expression" dxfId="2683" priority="41">
      <formula>H61&gt;0</formula>
    </cfRule>
    <cfRule type="expression" dxfId="2682" priority="42">
      <formula>H61&lt;0</formula>
    </cfRule>
  </conditionalFormatting>
  <conditionalFormatting sqref="F21:F24">
    <cfRule type="expression" dxfId="2681" priority="39">
      <formula>F21&gt;0</formula>
    </cfRule>
    <cfRule type="expression" dxfId="2680" priority="40">
      <formula>F21&lt;0</formula>
    </cfRule>
  </conditionalFormatting>
  <conditionalFormatting sqref="H21:H24">
    <cfRule type="expression" dxfId="2679" priority="37">
      <formula>H21&gt;0</formula>
    </cfRule>
    <cfRule type="expression" dxfId="2678" priority="38">
      <formula>H21&lt;0</formula>
    </cfRule>
  </conditionalFormatting>
  <conditionalFormatting sqref="I25:I28">
    <cfRule type="expression" dxfId="2677" priority="31">
      <formula>I25&gt;0</formula>
    </cfRule>
    <cfRule type="expression" dxfId="2676" priority="32">
      <formula>I25&lt;0</formula>
    </cfRule>
  </conditionalFormatting>
  <conditionalFormatting sqref="I21:I24">
    <cfRule type="expression" dxfId="2675" priority="29">
      <formula>I21&gt;0</formula>
    </cfRule>
    <cfRule type="expression" dxfId="2674" priority="30">
      <formula>I21&lt;0</formula>
    </cfRule>
  </conditionalFormatting>
  <conditionalFormatting sqref="H29">
    <cfRule type="expression" dxfId="2673" priority="27">
      <formula>H29&gt;0</formula>
    </cfRule>
    <cfRule type="expression" dxfId="2672" priority="28">
      <formula>H29&lt;0</formula>
    </cfRule>
  </conditionalFormatting>
  <conditionalFormatting sqref="H30">
    <cfRule type="expression" dxfId="2671" priority="25">
      <formula>H30&gt;0</formula>
    </cfRule>
    <cfRule type="expression" dxfId="2670" priority="26">
      <formula>H30&lt;0</formula>
    </cfRule>
  </conditionalFormatting>
  <conditionalFormatting sqref="H31">
    <cfRule type="expression" dxfId="2669" priority="23">
      <formula>H31&gt;0</formula>
    </cfRule>
    <cfRule type="expression" dxfId="2668" priority="24">
      <formula>H31&lt;0</formula>
    </cfRule>
  </conditionalFormatting>
  <conditionalFormatting sqref="Q7">
    <cfRule type="expression" dxfId="2667" priority="21">
      <formula>Q7&gt;0</formula>
    </cfRule>
    <cfRule type="expression" dxfId="2666" priority="22">
      <formula>Q7&lt;0</formula>
    </cfRule>
  </conditionalFormatting>
  <conditionalFormatting sqref="Q8">
    <cfRule type="expression" dxfId="2665" priority="19">
      <formula>Q8&gt;0</formula>
    </cfRule>
    <cfRule type="expression" dxfId="2664" priority="20">
      <formula>Q8&lt;0</formula>
    </cfRule>
  </conditionalFormatting>
  <conditionalFormatting sqref="F73:F82">
    <cfRule type="expression" dxfId="2663" priority="17">
      <formula>F73&gt;0</formula>
    </cfRule>
    <cfRule type="expression" dxfId="2662" priority="18">
      <formula>F73&lt;0</formula>
    </cfRule>
  </conditionalFormatting>
  <conditionalFormatting sqref="H73:H76">
    <cfRule type="expression" dxfId="2661" priority="15">
      <formula>H73&gt;0</formula>
    </cfRule>
    <cfRule type="expression" dxfId="2660" priority="16">
      <formula>H73&lt;0</formula>
    </cfRule>
  </conditionalFormatting>
  <conditionalFormatting sqref="F69:F72">
    <cfRule type="expression" dxfId="2659" priority="13">
      <formula>F69&gt;0</formula>
    </cfRule>
    <cfRule type="expression" dxfId="2658" priority="14">
      <formula>F69&lt;0</formula>
    </cfRule>
  </conditionalFormatting>
  <conditionalFormatting sqref="H69:H72">
    <cfRule type="expression" dxfId="2657" priority="11">
      <formula>H69&gt;0</formula>
    </cfRule>
    <cfRule type="expression" dxfId="2656" priority="12">
      <formula>H69&lt;0</formula>
    </cfRule>
  </conditionalFormatting>
  <conditionalFormatting sqref="I73:I76">
    <cfRule type="expression" dxfId="2655" priority="9">
      <formula>I73&gt;0</formula>
    </cfRule>
    <cfRule type="expression" dxfId="2654" priority="10">
      <formula>I73&lt;0</formula>
    </cfRule>
  </conditionalFormatting>
  <conditionalFormatting sqref="I69:I72">
    <cfRule type="expression" dxfId="2653" priority="7">
      <formula>I69&gt;0</formula>
    </cfRule>
    <cfRule type="expression" dxfId="2652" priority="8">
      <formula>I69&lt;0</formula>
    </cfRule>
  </conditionalFormatting>
  <conditionalFormatting sqref="H77">
    <cfRule type="expression" dxfId="2651" priority="5">
      <formula>H77&gt;0</formula>
    </cfRule>
    <cfRule type="expression" dxfId="2650" priority="6">
      <formula>H77&lt;0</formula>
    </cfRule>
  </conditionalFormatting>
  <conditionalFormatting sqref="H78">
    <cfRule type="expression" dxfId="2649" priority="3">
      <formula>H78&gt;0</formula>
    </cfRule>
    <cfRule type="expression" dxfId="2648" priority="4">
      <formula>H78&lt;0</formula>
    </cfRule>
  </conditionalFormatting>
  <conditionalFormatting sqref="H79">
    <cfRule type="expression" dxfId="2647" priority="1">
      <formula>H79&gt;0</formula>
    </cfRule>
    <cfRule type="expression" dxfId="264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36.61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36.61</v>
      </c>
      <c r="R4" s="490">
        <v>-6.6799999999999998E-2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205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59" t="s">
        <v>78</v>
      </c>
      <c r="P42" s="859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40.271000000000001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39.904900000000005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39.538800000000002</v>
      </c>
      <c r="Q45" s="2"/>
      <c r="T45" s="106" t="s">
        <v>99</v>
      </c>
      <c r="U45" s="352" t="s">
        <v>548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39.172699999999999</v>
      </c>
      <c r="Q46" s="2"/>
      <c r="T46" s="106" t="s">
        <v>100</v>
      </c>
      <c r="U46" s="352" t="s">
        <v>549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38.806600000000003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38.4405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38.074400000000004</v>
      </c>
      <c r="Q49" s="2"/>
      <c r="T49" s="106" t="s">
        <v>121</v>
      </c>
      <c r="U49" s="352" t="s">
        <v>416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37.708300000000001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37.342199999999998</v>
      </c>
      <c r="Q51" s="2"/>
      <c r="T51" s="106" t="s">
        <v>104</v>
      </c>
      <c r="U51" s="352" t="s">
        <v>550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36.976100000000002</v>
      </c>
      <c r="Q52" s="2"/>
      <c r="T52" s="106" t="s">
        <v>105</v>
      </c>
      <c r="U52" s="352" t="s">
        <v>406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36.61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36.243899999999996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35.877800000000001</v>
      </c>
      <c r="Q55" s="2"/>
      <c r="T55" s="106" t="s">
        <v>107</v>
      </c>
      <c r="U55" s="352" t="s">
        <v>551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35.511699999999998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35.145599999999995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34.779499999999999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34.413399999999996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34.0473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33.681200000000004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33.315100000000001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32.948999999999998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645" priority="29">
      <formula>N19&gt;0</formula>
    </cfRule>
    <cfRule type="expression" dxfId="2644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643" priority="23">
      <formula>F22&gt;0</formula>
    </cfRule>
    <cfRule type="expression" dxfId="2642" priority="24">
      <formula>F22&lt;0</formula>
    </cfRule>
  </conditionalFormatting>
  <conditionalFormatting sqref="H22:H31">
    <cfRule type="expression" dxfId="2641" priority="21">
      <formula>H22&gt;0</formula>
    </cfRule>
    <cfRule type="expression" dxfId="2640" priority="22">
      <formula>H22&lt;0</formula>
    </cfRule>
  </conditionalFormatting>
  <conditionalFormatting sqref="I21:J31">
    <cfRule type="expression" dxfId="2639" priority="19">
      <formula>I21&gt;0</formula>
    </cfRule>
    <cfRule type="expression" dxfId="2638" priority="20">
      <formula>I21&lt;0</formula>
    </cfRule>
  </conditionalFormatting>
  <conditionalFormatting sqref="Q8">
    <cfRule type="expression" dxfId="2637" priority="11">
      <formula>Q8&gt;0</formula>
    </cfRule>
    <cfRule type="expression" dxfId="2636" priority="12">
      <formula>Q8&lt;0</formula>
    </cfRule>
  </conditionalFormatting>
  <conditionalFormatting sqref="Q7">
    <cfRule type="expression" dxfId="2635" priority="13">
      <formula>Q7&gt;0</formula>
    </cfRule>
    <cfRule type="expression" dxfId="2634" priority="14">
      <formula>Q7&lt;0</formula>
    </cfRule>
  </conditionalFormatting>
  <conditionalFormatting sqref="F56:F66">
    <cfRule type="expression" dxfId="2633" priority="9">
      <formula>F56&gt;0</formula>
    </cfRule>
    <cfRule type="expression" dxfId="2632" priority="10">
      <formula>F56&lt;0</formula>
    </cfRule>
  </conditionalFormatting>
  <conditionalFormatting sqref="H56:H66">
    <cfRule type="expression" dxfId="2631" priority="7">
      <formula>H56&gt;0</formula>
    </cfRule>
    <cfRule type="expression" dxfId="2630" priority="8">
      <formula>H56&lt;0</formula>
    </cfRule>
  </conditionalFormatting>
  <conditionalFormatting sqref="I56:I66">
    <cfRule type="expression" dxfId="2629" priority="5">
      <formula>I56&gt;0</formula>
    </cfRule>
    <cfRule type="expression" dxfId="2628" priority="6">
      <formula>I56&lt;0</formula>
    </cfRule>
  </conditionalFormatting>
  <conditionalFormatting sqref="F21">
    <cfRule type="expression" dxfId="2627" priority="3">
      <formula>F21&gt;0</formula>
    </cfRule>
    <cfRule type="expression" dxfId="2626" priority="4">
      <formula>F21&lt;0</formula>
    </cfRule>
  </conditionalFormatting>
  <conditionalFormatting sqref="H21">
    <cfRule type="expression" dxfId="2625" priority="1">
      <formula>H21&gt;0</formula>
    </cfRule>
    <cfRule type="expression" dxfId="2624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211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236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59.71</v>
      </c>
      <c r="T3" s="1">
        <v>43112</v>
      </c>
      <c r="U3" t="s">
        <v>861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59.71</v>
      </c>
      <c r="R4" s="222">
        <v>6.9999999999999999E-4</v>
      </c>
      <c r="T4" s="1">
        <v>43114</v>
      </c>
      <c r="U4" t="s">
        <v>860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871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761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935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206</v>
      </c>
      <c r="Q9" s="222">
        <f>IF(Q2=0, 0, Q8/Q6)</f>
        <v>0</v>
      </c>
      <c r="T9" s="151"/>
      <c r="U9" t="s">
        <v>960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205</v>
      </c>
      <c r="P10" s="33"/>
      <c r="Q10" s="2">
        <f>M177</f>
        <v>1157.8699999999953</v>
      </c>
      <c r="U10" t="s">
        <v>958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2.4786467928320215E-2</v>
      </c>
      <c r="R11" s="33">
        <f>1.48/4</f>
        <v>0.37</v>
      </c>
      <c r="U11" t="s">
        <v>959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925</v>
      </c>
      <c r="Q12" s="1" t="s">
        <v>1200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952</v>
      </c>
      <c r="Q13">
        <f>Q4/4</f>
        <v>14.9275</v>
      </c>
      <c r="T13" s="1">
        <v>43212</v>
      </c>
      <c r="U13" t="s">
        <v>1002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1075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1097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1101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952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732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734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746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65.681000000000012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65.0839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64.486800000000002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63.889700000000005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63.292600000000007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62.695500000000003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62.098400000000005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61.501300000000001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60.904200000000003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60.307099999999998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59.71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59.112900000000003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58.515799999999999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57.918700000000001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57.321599999999997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56.724499999999999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56.127399999999994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55.530300000000004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54.933200000000006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54.336100000000002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53.739000000000004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337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337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374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333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397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438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458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458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211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623" priority="64">
      <formula>N23&gt;0</formula>
    </cfRule>
    <cfRule type="expression" dxfId="2622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621" priority="58">
      <formula>F79&gt;0</formula>
    </cfRule>
    <cfRule type="expression" dxfId="2620" priority="59">
      <formula>F79&lt;0</formula>
    </cfRule>
  </conditionalFormatting>
  <conditionalFormatting sqref="H79:H97 H101:H118">
    <cfRule type="expression" dxfId="2619" priority="56">
      <formula>H79&gt;0</formula>
    </cfRule>
    <cfRule type="expression" dxfId="2618" priority="57">
      <formula>H79&lt;0</formula>
    </cfRule>
  </conditionalFormatting>
  <conditionalFormatting sqref="I75:I97 I100:I118">
    <cfRule type="expression" dxfId="2617" priority="54">
      <formula>I75&gt;0</formula>
    </cfRule>
    <cfRule type="expression" dxfId="2616" priority="55">
      <formula>I75&lt;0</formula>
    </cfRule>
  </conditionalFormatting>
  <conditionalFormatting sqref="Q7">
    <cfRule type="expression" dxfId="2615" priority="52">
      <formula>Q7&gt;0</formula>
    </cfRule>
    <cfRule type="expression" dxfId="2614" priority="53">
      <formula>Q7&lt;0</formula>
    </cfRule>
  </conditionalFormatting>
  <conditionalFormatting sqref="Q8">
    <cfRule type="expression" dxfId="2613" priority="50">
      <formula>Q8&gt;0</formula>
    </cfRule>
    <cfRule type="expression" dxfId="2612" priority="51">
      <formula>Q8&lt;0</formula>
    </cfRule>
  </conditionalFormatting>
  <conditionalFormatting sqref="F75:F78">
    <cfRule type="expression" dxfId="2611" priority="48">
      <formula>F75&gt;0</formula>
    </cfRule>
    <cfRule type="expression" dxfId="2610" priority="49">
      <formula>F75&lt;0</formula>
    </cfRule>
  </conditionalFormatting>
  <conditionalFormatting sqref="H75:H78">
    <cfRule type="expression" dxfId="2609" priority="46">
      <formula>H75&gt;0</formula>
    </cfRule>
    <cfRule type="expression" dxfId="2608" priority="47">
      <formula>H75&lt;0</formula>
    </cfRule>
  </conditionalFormatting>
  <conditionalFormatting sqref="F100:F114">
    <cfRule type="expression" dxfId="2607" priority="40">
      <formula>F100&gt;0</formula>
    </cfRule>
    <cfRule type="expression" dxfId="2606" priority="41">
      <formula>F100&lt;0</formula>
    </cfRule>
  </conditionalFormatting>
  <conditionalFormatting sqref="H100:H114">
    <cfRule type="expression" dxfId="2605" priority="38">
      <formula>H100&gt;0</formula>
    </cfRule>
    <cfRule type="expression" dxfId="2604" priority="39">
      <formula>H100&lt;0</formula>
    </cfRule>
  </conditionalFormatting>
  <conditionalFormatting sqref="F29:F67">
    <cfRule type="expression" dxfId="2603" priority="36">
      <formula>F29&gt;0</formula>
    </cfRule>
    <cfRule type="expression" dxfId="2602" priority="37">
      <formula>F29&lt;0</formula>
    </cfRule>
  </conditionalFormatting>
  <conditionalFormatting sqref="H29:H63">
    <cfRule type="expression" dxfId="2601" priority="34">
      <formula>H29&gt;0</formula>
    </cfRule>
    <cfRule type="expression" dxfId="2600" priority="35">
      <formula>H29&lt;0</formula>
    </cfRule>
  </conditionalFormatting>
  <conditionalFormatting sqref="J38:J68">
    <cfRule type="expression" dxfId="2599" priority="32">
      <formula>J38&gt;0</formula>
    </cfRule>
    <cfRule type="expression" dxfId="2598" priority="33">
      <formula>J38&lt;0</formula>
    </cfRule>
  </conditionalFormatting>
  <conditionalFormatting sqref="J43">
    <cfRule type="expression" dxfId="2597" priority="30">
      <formula>J43&gt;0</formula>
    </cfRule>
    <cfRule type="expression" dxfId="2596" priority="31">
      <formula>J43&lt;0</formula>
    </cfRule>
  </conditionalFormatting>
  <conditionalFormatting sqref="Q9">
    <cfRule type="expression" dxfId="2595" priority="24">
      <formula>Q9&gt;0</formula>
    </cfRule>
    <cfRule type="expression" dxfId="2594" priority="25">
      <formula>Q9&lt;0</formula>
    </cfRule>
  </conditionalFormatting>
  <conditionalFormatting sqref="R4">
    <cfRule type="expression" dxfId="2593" priority="26">
      <formula>R4&gt;0</formula>
    </cfRule>
    <cfRule type="expression" dxfId="2592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591" priority="21">
      <formula>F120&gt;0</formula>
    </cfRule>
    <cfRule type="expression" dxfId="2590" priority="22">
      <formula>F120&lt;0</formula>
    </cfRule>
  </conditionalFormatting>
  <conditionalFormatting sqref="H120:H160">
    <cfRule type="expression" dxfId="2589" priority="19">
      <formula>H120&gt;0</formula>
    </cfRule>
    <cfRule type="expression" dxfId="2588" priority="20">
      <formula>H120&lt;0</formula>
    </cfRule>
  </conditionalFormatting>
  <conditionalFormatting sqref="J129:J160">
    <cfRule type="expression" dxfId="2587" priority="17">
      <formula>J129&gt;0</formula>
    </cfRule>
    <cfRule type="expression" dxfId="2586" priority="18">
      <formula>J129&lt;0</formula>
    </cfRule>
  </conditionalFormatting>
  <conditionalFormatting sqref="J134">
    <cfRule type="expression" dxfId="2585" priority="15">
      <formula>J134&gt;0</formula>
    </cfRule>
    <cfRule type="expression" dxfId="2584" priority="16">
      <formula>J134&lt;0</formula>
    </cfRule>
  </conditionalFormatting>
  <conditionalFormatting sqref="J31:J40">
    <cfRule type="expression" dxfId="2583" priority="13">
      <formula>J31&gt;0</formula>
    </cfRule>
    <cfRule type="expression" dxfId="2582" priority="14">
      <formula>J31&lt;0</formula>
    </cfRule>
  </conditionalFormatting>
  <conditionalFormatting sqref="J36:J37">
    <cfRule type="expression" dxfId="2581" priority="11">
      <formula>J36&gt;0</formula>
    </cfRule>
    <cfRule type="expression" dxfId="2580" priority="12">
      <formula>J36&lt;0</formula>
    </cfRule>
  </conditionalFormatting>
  <conditionalFormatting sqref="Q10">
    <cfRule type="expression" dxfId="2579" priority="9">
      <formula>Q10&gt;0</formula>
    </cfRule>
    <cfRule type="expression" dxfId="2578" priority="10">
      <formula>Q10&lt;0</formula>
    </cfRule>
  </conditionalFormatting>
  <conditionalFormatting sqref="K38:K55 K57:K68">
    <cfRule type="expression" dxfId="2577" priority="7">
      <formula>K38&gt;0</formula>
    </cfRule>
    <cfRule type="expression" dxfId="2576" priority="8">
      <formula>K38&lt;0</formula>
    </cfRule>
  </conditionalFormatting>
  <conditionalFormatting sqref="K43">
    <cfRule type="expression" dxfId="2575" priority="5">
      <formula>K43&gt;0</formula>
    </cfRule>
    <cfRule type="expression" dxfId="2574" priority="6">
      <formula>K43&lt;0</formula>
    </cfRule>
  </conditionalFormatting>
  <conditionalFormatting sqref="K31:K40">
    <cfRule type="expression" dxfId="2573" priority="3">
      <formula>K31&gt;0</formula>
    </cfRule>
    <cfRule type="expression" dxfId="2572" priority="4">
      <formula>K31&lt;0</formula>
    </cfRule>
  </conditionalFormatting>
  <conditionalFormatting sqref="K36:K37">
    <cfRule type="expression" dxfId="2571" priority="1">
      <formula>K36&gt;0</formula>
    </cfRule>
    <cfRule type="expression" dxfId="2570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1215</v>
      </c>
      <c r="B2" s="474">
        <v>43313</v>
      </c>
      <c r="C2" s="4">
        <v>50</v>
      </c>
      <c r="D2" s="3">
        <v>79.98</v>
      </c>
      <c r="E2" s="3">
        <v>0</v>
      </c>
      <c r="F2" s="3">
        <f>C2*D2+E2</f>
        <v>3999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79.98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81.979900000000001</v>
      </c>
      <c r="R4" s="495">
        <v>-1.5100000000000001E-2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4098.9949999999999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3999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99.994999999999891</v>
      </c>
      <c r="R7" s="29">
        <v>43346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99.994999999999891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2.5005001250312551E-2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952</v>
      </c>
      <c r="Q13" s="2"/>
    </row>
    <row r="14" spans="1:21" x14ac:dyDescent="0.25">
      <c r="H14" s="70"/>
      <c r="O14" s="11" t="s">
        <v>1039</v>
      </c>
      <c r="Q14" s="1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3999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3" t="s">
        <v>78</v>
      </c>
      <c r="P22" s="853"/>
    </row>
    <row r="23" spans="1:17" ht="15.75" thickTop="1" x14ac:dyDescent="0.25">
      <c r="O23" s="81">
        <v>1.1000000000000001</v>
      </c>
      <c r="P23" s="81">
        <f>O23*$Q$4</f>
        <v>90.177890000000005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89.358091000000002</v>
      </c>
      <c r="Q24" s="2"/>
    </row>
    <row r="25" spans="1:17" x14ac:dyDescent="0.25">
      <c r="B25" s="184">
        <v>43313</v>
      </c>
      <c r="C25" s="10">
        <v>50</v>
      </c>
      <c r="D25" s="39">
        <v>79.98</v>
      </c>
      <c r="E25" s="39">
        <v>79.489999999999995</v>
      </c>
      <c r="F25" s="39">
        <f>C25*(E25-D25)</f>
        <v>-24.500000000000455</v>
      </c>
      <c r="G25" s="39">
        <f>D25*C25</f>
        <v>3999</v>
      </c>
      <c r="H25" s="222">
        <f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88.538292000000013</v>
      </c>
      <c r="Q25" s="2"/>
    </row>
    <row r="26" spans="1:17" x14ac:dyDescent="0.25">
      <c r="B26" s="184">
        <v>43316</v>
      </c>
      <c r="C26" s="10">
        <v>50</v>
      </c>
      <c r="D26" s="39">
        <v>79.98</v>
      </c>
      <c r="E26" s="39">
        <v>80.97</v>
      </c>
      <c r="F26" s="39">
        <f>C26*(E26-D26)</f>
        <v>49.499999999999744</v>
      </c>
      <c r="G26" s="39">
        <f>D26*C26</f>
        <v>3999</v>
      </c>
      <c r="H26" s="222">
        <f>(E26-D26)/D26</f>
        <v>1.2378094523630843E-2</v>
      </c>
      <c r="I26" s="39"/>
      <c r="J26" s="39"/>
      <c r="K26" s="39"/>
      <c r="L26" s="39"/>
      <c r="O26" s="81">
        <v>1.07</v>
      </c>
      <c r="P26" s="81">
        <f t="shared" si="0"/>
        <v>87.718493000000009</v>
      </c>
      <c r="Q26" s="2"/>
    </row>
    <row r="27" spans="1:17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O27" s="81">
        <v>1.06</v>
      </c>
      <c r="P27" s="81">
        <f t="shared" si="0"/>
        <v>86.898694000000006</v>
      </c>
      <c r="Q27" s="2"/>
    </row>
    <row r="28" spans="1:17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1.05</v>
      </c>
      <c r="P28" s="81">
        <f t="shared" si="0"/>
        <v>86.078895000000003</v>
      </c>
      <c r="Q28" s="2"/>
    </row>
    <row r="29" spans="1:17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1.04</v>
      </c>
      <c r="P29" s="81">
        <f t="shared" si="0"/>
        <v>85.259096</v>
      </c>
      <c r="Q29" s="2"/>
    </row>
    <row r="30" spans="1:17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84.439296999999996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83.619498000000007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82.799699000000004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81.979900000000001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81.160100999999997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80.340301999999994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79.520503000000005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78.700704000000002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77.880904999999998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77.061105999999995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76.241307000000006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75.421508000000003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74.601709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73.781909999999996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1215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569" priority="31">
      <formula>F47&gt;0</formula>
    </cfRule>
    <cfRule type="expression" dxfId="2568" priority="32">
      <formula>F47&lt;0</formula>
    </cfRule>
  </conditionalFormatting>
  <conditionalFormatting sqref="Q7">
    <cfRule type="expression" dxfId="2567" priority="29">
      <formula>Q7&gt;0</formula>
    </cfRule>
    <cfRule type="expression" dxfId="2566" priority="30">
      <formula>Q7&lt;0</formula>
    </cfRule>
  </conditionalFormatting>
  <conditionalFormatting sqref="Q8">
    <cfRule type="expression" dxfId="2565" priority="27">
      <formula>Q8&gt;0</formula>
    </cfRule>
    <cfRule type="expression" dxfId="2564" priority="28">
      <formula>Q8&lt;0</formula>
    </cfRule>
  </conditionalFormatting>
  <conditionalFormatting sqref="F31:F46">
    <cfRule type="expression" dxfId="2563" priority="25">
      <formula>F31&gt;0</formula>
    </cfRule>
    <cfRule type="expression" dxfId="2562" priority="26">
      <formula>F31&lt;0</formula>
    </cfRule>
  </conditionalFormatting>
  <conditionalFormatting sqref="H31:H46">
    <cfRule type="expression" dxfId="2561" priority="23">
      <formula>H31&gt;0</formula>
    </cfRule>
    <cfRule type="expression" dxfId="2560" priority="24">
      <formula>H31&lt;0</formula>
    </cfRule>
  </conditionalFormatting>
  <conditionalFormatting sqref="Q10">
    <cfRule type="expression" dxfId="2559" priority="21">
      <formula>Q10&gt;0</formula>
    </cfRule>
    <cfRule type="expression" dxfId="2558" priority="22">
      <formula>Q10&lt;0</formula>
    </cfRule>
  </conditionalFormatting>
  <conditionalFormatting sqref="J25:J38">
    <cfRule type="expression" dxfId="2557" priority="19">
      <formula>J25&gt;0</formula>
    </cfRule>
    <cfRule type="expression" dxfId="2556" priority="20">
      <formula>J25&lt;0</formula>
    </cfRule>
  </conditionalFormatting>
  <conditionalFormatting sqref="K38">
    <cfRule type="expression" dxfId="2555" priority="17">
      <formula>K38&gt;0</formula>
    </cfRule>
    <cfRule type="expression" dxfId="2554" priority="18">
      <formula>K38&lt;0</formula>
    </cfRule>
  </conditionalFormatting>
  <conditionalFormatting sqref="L25:L38">
    <cfRule type="expression" dxfId="2553" priority="15">
      <formula>L25&gt;0</formula>
    </cfRule>
    <cfRule type="expression" dxfId="2552" priority="16">
      <formula>L25&lt;0</formula>
    </cfRule>
  </conditionalFormatting>
  <conditionalFormatting sqref="F89:F110">
    <cfRule type="expression" dxfId="2551" priority="13">
      <formula>F89&gt;0</formula>
    </cfRule>
    <cfRule type="expression" dxfId="2550" priority="14">
      <formula>F89&lt;0</formula>
    </cfRule>
  </conditionalFormatting>
  <conditionalFormatting sqref="H89:H110">
    <cfRule type="expression" dxfId="2549" priority="11">
      <formula>H89&gt;0</formula>
    </cfRule>
    <cfRule type="expression" dxfId="2548" priority="12">
      <formula>H89&lt;0</formula>
    </cfRule>
  </conditionalFormatting>
  <conditionalFormatting sqref="J89:J102">
    <cfRule type="expression" dxfId="2547" priority="9">
      <formula>J89&gt;0</formula>
    </cfRule>
    <cfRule type="expression" dxfId="2546" priority="10">
      <formula>J89&lt;0</formula>
    </cfRule>
  </conditionalFormatting>
  <conditionalFormatting sqref="K89:K102">
    <cfRule type="expression" dxfId="2545" priority="7">
      <formula>K89&gt;0</formula>
    </cfRule>
    <cfRule type="expression" dxfId="2544" priority="8">
      <formula>K89&lt;0</formula>
    </cfRule>
  </conditionalFormatting>
  <conditionalFormatting sqref="L89:L102">
    <cfRule type="expression" dxfId="2543" priority="5">
      <formula>L89&gt;0</formula>
    </cfRule>
    <cfRule type="expression" dxfId="2542" priority="6">
      <formula>L89&lt;0</formula>
    </cfRule>
  </conditionalFormatting>
  <conditionalFormatting sqref="F25:F30">
    <cfRule type="expression" dxfId="2541" priority="3">
      <formula>F25&gt;0</formula>
    </cfRule>
    <cfRule type="expression" dxfId="2540" priority="4">
      <formula>F25&lt;0</formula>
    </cfRule>
  </conditionalFormatting>
  <conditionalFormatting sqref="H25:H30">
    <cfRule type="expression" dxfId="2539" priority="1">
      <formula>H25&gt;0</formula>
    </cfRule>
    <cfRule type="expression" dxfId="253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1201</v>
      </c>
      <c r="B2" s="474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2868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2723.4706999999999</v>
      </c>
      <c r="R4" s="495">
        <v>-1.2200000000000001E-2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5446.9413999999997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5736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-289.0586000000003</v>
      </c>
      <c r="R7" s="29">
        <v>43332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-289.0586000000003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-5.0393758716875924E-2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952</v>
      </c>
      <c r="Q13" s="2"/>
    </row>
    <row r="14" spans="1:21" x14ac:dyDescent="0.25">
      <c r="H14" s="70"/>
      <c r="O14" s="11" t="s">
        <v>1039</v>
      </c>
      <c r="Q14" s="1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</v>
      </c>
      <c r="D18" s="18"/>
      <c r="E18" s="18"/>
      <c r="F18" s="18">
        <f>SUM(F2:F8)</f>
        <v>5736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2995.8177700000001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2968.583063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>C25*(E25-D25)</f>
        <v>84</v>
      </c>
      <c r="G25" s="39">
        <f>D25*C25</f>
        <v>5736</v>
      </c>
      <c r="H25" s="222">
        <f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2941.348356</v>
      </c>
      <c r="Q25" s="2"/>
    </row>
    <row r="26" spans="1:17" x14ac:dyDescent="0.25">
      <c r="B26" s="184">
        <v>43316</v>
      </c>
      <c r="C26" s="10">
        <v>2</v>
      </c>
      <c r="D26" s="39">
        <v>2868</v>
      </c>
      <c r="E26" s="39">
        <v>2690.61</v>
      </c>
      <c r="F26" s="39">
        <f>C26*(E26-D26)</f>
        <v>-354.77999999999975</v>
      </c>
      <c r="G26" s="39">
        <f>D26*C26</f>
        <v>5736</v>
      </c>
      <c r="H26" s="222">
        <f>(E26-D26)/D26</f>
        <v>-6.18514644351464E-2</v>
      </c>
      <c r="I26" s="39"/>
      <c r="J26" s="39"/>
      <c r="K26" s="39"/>
      <c r="L26" s="39"/>
      <c r="O26" s="81">
        <v>1.07</v>
      </c>
      <c r="P26" s="81">
        <f t="shared" si="0"/>
        <v>2914.1136489999999</v>
      </c>
      <c r="Q26" s="2"/>
    </row>
    <row r="27" spans="1:17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O27" s="81">
        <v>1.06</v>
      </c>
      <c r="P27" s="81">
        <f t="shared" si="0"/>
        <v>2886.8789419999998</v>
      </c>
      <c r="Q27" s="2"/>
    </row>
    <row r="28" spans="1:17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1.05</v>
      </c>
      <c r="P28" s="81">
        <f t="shared" si="0"/>
        <v>2859.6442349999998</v>
      </c>
      <c r="Q28" s="2"/>
    </row>
    <row r="29" spans="1:17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1.04</v>
      </c>
      <c r="P29" s="81">
        <f t="shared" si="0"/>
        <v>2832.4095280000001</v>
      </c>
      <c r="Q29" s="2"/>
    </row>
    <row r="30" spans="1:17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2805.1748210000001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2777.940114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2750.7054069999999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2723.4706999999999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2696.2359929999998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2669.0012859999997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2641.7665789999996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2614.5318719999996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2587.2971649999999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2560.0624579999999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2532.8277509999998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2505.5930440000002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2478.3583370000001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2451.12363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1201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537" priority="31">
      <formula>F47&gt;0</formula>
    </cfRule>
    <cfRule type="expression" dxfId="2536" priority="32">
      <formula>F47&lt;0</formula>
    </cfRule>
  </conditionalFormatting>
  <conditionalFormatting sqref="Q7">
    <cfRule type="expression" dxfId="2535" priority="29">
      <formula>Q7&gt;0</formula>
    </cfRule>
    <cfRule type="expression" dxfId="2534" priority="30">
      <formula>Q7&lt;0</formula>
    </cfRule>
  </conditionalFormatting>
  <conditionalFormatting sqref="Q8">
    <cfRule type="expression" dxfId="2533" priority="27">
      <formula>Q8&gt;0</formula>
    </cfRule>
    <cfRule type="expression" dxfId="2532" priority="28">
      <formula>Q8&lt;0</formula>
    </cfRule>
  </conditionalFormatting>
  <conditionalFormatting sqref="F31:F46">
    <cfRule type="expression" dxfId="2531" priority="25">
      <formula>F31&gt;0</formula>
    </cfRule>
    <cfRule type="expression" dxfId="2530" priority="26">
      <formula>F31&lt;0</formula>
    </cfRule>
  </conditionalFormatting>
  <conditionalFormatting sqref="H31:H46">
    <cfRule type="expression" dxfId="2529" priority="23">
      <formula>H31&gt;0</formula>
    </cfRule>
    <cfRule type="expression" dxfId="2528" priority="24">
      <formula>H31&lt;0</formula>
    </cfRule>
  </conditionalFormatting>
  <conditionalFormatting sqref="Q10">
    <cfRule type="expression" dxfId="2527" priority="21">
      <formula>Q10&gt;0</formula>
    </cfRule>
    <cfRule type="expression" dxfId="2526" priority="22">
      <formula>Q10&lt;0</formula>
    </cfRule>
  </conditionalFormatting>
  <conditionalFormatting sqref="J25:J38">
    <cfRule type="expression" dxfId="2525" priority="19">
      <formula>J25&gt;0</formula>
    </cfRule>
    <cfRule type="expression" dxfId="2524" priority="20">
      <formula>J25&lt;0</formula>
    </cfRule>
  </conditionalFormatting>
  <conditionalFormatting sqref="K38">
    <cfRule type="expression" dxfId="2523" priority="17">
      <formula>K38&gt;0</formula>
    </cfRule>
    <cfRule type="expression" dxfId="2522" priority="18">
      <formula>K38&lt;0</formula>
    </cfRule>
  </conditionalFormatting>
  <conditionalFormatting sqref="L25:L38">
    <cfRule type="expression" dxfId="2521" priority="15">
      <formula>L25&gt;0</formula>
    </cfRule>
    <cfRule type="expression" dxfId="2520" priority="16">
      <formula>L25&lt;0</formula>
    </cfRule>
  </conditionalFormatting>
  <conditionalFormatting sqref="F89:F110">
    <cfRule type="expression" dxfId="2519" priority="13">
      <formula>F89&gt;0</formula>
    </cfRule>
    <cfRule type="expression" dxfId="2518" priority="14">
      <formula>F89&lt;0</formula>
    </cfRule>
  </conditionalFormatting>
  <conditionalFormatting sqref="H89:H110">
    <cfRule type="expression" dxfId="2517" priority="11">
      <formula>H89&gt;0</formula>
    </cfRule>
    <cfRule type="expression" dxfId="2516" priority="12">
      <formula>H89&lt;0</formula>
    </cfRule>
  </conditionalFormatting>
  <conditionalFormatting sqref="J89:J102">
    <cfRule type="expression" dxfId="2515" priority="9">
      <formula>J89&gt;0</formula>
    </cfRule>
    <cfRule type="expression" dxfId="2514" priority="10">
      <formula>J89&lt;0</formula>
    </cfRule>
  </conditionalFormatting>
  <conditionalFormatting sqref="K89:K102">
    <cfRule type="expression" dxfId="2513" priority="7">
      <formula>K89&gt;0</formula>
    </cfRule>
    <cfRule type="expression" dxfId="2512" priority="8">
      <formula>K89&lt;0</formula>
    </cfRule>
  </conditionalFormatting>
  <conditionalFormatting sqref="L89:L102">
    <cfRule type="expression" dxfId="2511" priority="5">
      <formula>L89&gt;0</formula>
    </cfRule>
    <cfRule type="expression" dxfId="2510" priority="6">
      <formula>L89&lt;0</formula>
    </cfRule>
  </conditionalFormatting>
  <conditionalFormatting sqref="F25:F30">
    <cfRule type="expression" dxfId="2509" priority="3">
      <formula>F25&gt;0</formula>
    </cfRule>
    <cfRule type="expression" dxfId="2508" priority="4">
      <formula>F25&lt;0</formula>
    </cfRule>
  </conditionalFormatting>
  <conditionalFormatting sqref="H25:H30">
    <cfRule type="expression" dxfId="2507" priority="1">
      <formula>H25&gt;0</formula>
    </cfRule>
    <cfRule type="expression" dxfId="250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208.88</v>
      </c>
      <c r="X3" s="1"/>
      <c r="AB3" s="225"/>
      <c r="AE3" s="225"/>
    </row>
    <row r="4" spans="1:31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208.88</v>
      </c>
      <c r="R4" s="490">
        <v>7.9000000000000008E-3</v>
      </c>
      <c r="T4" s="1"/>
      <c r="AB4" s="225"/>
      <c r="AE4" s="225"/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225"/>
      <c r="AE5" s="225"/>
    </row>
    <row r="6" spans="1:31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AB7" s="225"/>
      <c r="AE7" s="225"/>
    </row>
    <row r="8" spans="1:3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AB8" s="225"/>
      <c r="AE8" s="225"/>
    </row>
    <row r="9" spans="1:31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205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 t="e">
        <f>VALUE(TRIM(CLEAN(MID(U55, FIND("(", U55)+1, 5))))</f>
        <v>#VALUE!</v>
      </c>
    </row>
    <row r="12" spans="1:31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</row>
    <row r="24" spans="1:1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</row>
    <row r="25" spans="1:14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222">
        <f t="shared" ref="H25:H34" si="2">(E25-D25)/D25</f>
        <v>-1.238225799318918E-3</v>
      </c>
      <c r="I25" s="222"/>
    </row>
    <row r="26" spans="1:14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222">
        <f t="shared" si="2"/>
        <v>3.7898553929155768E-2</v>
      </c>
      <c r="I26" s="222"/>
    </row>
    <row r="27" spans="1:14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222">
        <f t="shared" si="2"/>
        <v>0.10135762614425338</v>
      </c>
      <c r="I27" s="223" t="s">
        <v>210</v>
      </c>
    </row>
    <row r="28" spans="1:14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222">
        <f t="shared" si="2"/>
        <v>8.1678680405076781E-2</v>
      </c>
      <c r="I28" s="39"/>
    </row>
    <row r="29" spans="1:14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222">
        <f t="shared" si="2"/>
        <v>5.3952459922609122E-2</v>
      </c>
      <c r="I29" s="39"/>
    </row>
    <row r="30" spans="1:14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222">
        <f t="shared" si="2"/>
        <v>6.2441958165656883E-2</v>
      </c>
      <c r="I30" s="39"/>
    </row>
    <row r="31" spans="1:14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222">
        <f t="shared" si="2"/>
        <v>1.825000545101723E-2</v>
      </c>
      <c r="I31" s="39"/>
    </row>
    <row r="32" spans="1:14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222">
        <f t="shared" si="2"/>
        <v>3.4232387763557461E-3</v>
      </c>
      <c r="I32" s="39"/>
    </row>
    <row r="33" spans="2:2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222">
        <f t="shared" si="2"/>
        <v>2.0276899596642313E-2</v>
      </c>
      <c r="I33" s="39"/>
    </row>
    <row r="34" spans="2:2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222">
        <f t="shared" si="2"/>
        <v>9.9983940165645643E-2</v>
      </c>
      <c r="I34" s="39"/>
    </row>
    <row r="35" spans="2:2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222">
        <f t="shared" ref="H35:H41" si="5">(E35-D35)/D35</f>
        <v>9.0233326450547172E-2</v>
      </c>
      <c r="I35" s="39"/>
    </row>
    <row r="36" spans="2:2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222">
        <f t="shared" si="5"/>
        <v>0.14518090256269062</v>
      </c>
      <c r="I36" s="227">
        <v>85</v>
      </c>
    </row>
    <row r="37" spans="2:2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222">
        <f t="shared" si="5"/>
        <v>0.14563975497281295</v>
      </c>
      <c r="I37" s="39"/>
    </row>
    <row r="38" spans="2:2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222">
        <f t="shared" si="5"/>
        <v>0.14667217289558798</v>
      </c>
      <c r="I38" s="39"/>
    </row>
    <row r="39" spans="2:2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222">
        <f t="shared" si="5"/>
        <v>0.13175946956661377</v>
      </c>
      <c r="I39" s="39"/>
      <c r="T39" s="110"/>
      <c r="U39" s="9"/>
    </row>
    <row r="40" spans="2:2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222">
        <f t="shared" si="5"/>
        <v>0.11661734003257848</v>
      </c>
      <c r="I40" s="39"/>
      <c r="T40" s="135"/>
      <c r="U40" s="351"/>
    </row>
    <row r="41" spans="2:2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222">
        <f t="shared" si="5"/>
        <v>0.44132995377963341</v>
      </c>
      <c r="I41" s="39" t="s">
        <v>246</v>
      </c>
      <c r="T41" s="106"/>
      <c r="U41" s="352"/>
    </row>
    <row r="42" spans="2:2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59" t="s">
        <v>78</v>
      </c>
      <c r="P42" s="859"/>
      <c r="T42" s="106"/>
      <c r="U42" s="352"/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229.768</v>
      </c>
      <c r="Q43" s="2"/>
      <c r="T43" s="106"/>
      <c r="U43" s="352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6">O44*$Q$4</f>
        <v>227.67920000000001</v>
      </c>
      <c r="Q44" s="2"/>
      <c r="T44" s="106"/>
      <c r="U44" s="352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6"/>
        <v>225.59040000000002</v>
      </c>
      <c r="Q45" s="2"/>
      <c r="T45" s="106"/>
      <c r="U45" s="352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6"/>
        <v>223.5016</v>
      </c>
      <c r="Q46" s="2"/>
      <c r="T46" s="106"/>
      <c r="U46" s="352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6"/>
        <v>221.4128</v>
      </c>
      <c r="Q47" s="2"/>
      <c r="T47" s="106"/>
      <c r="U47" s="352"/>
    </row>
    <row r="48" spans="2:21" x14ac:dyDescent="0.25">
      <c r="O48" s="81">
        <v>1.05</v>
      </c>
      <c r="P48" s="81">
        <f t="shared" si="6"/>
        <v>219.32400000000001</v>
      </c>
      <c r="Q48" s="2"/>
      <c r="T48" s="106"/>
      <c r="U48" s="352"/>
    </row>
    <row r="49" spans="1:21" x14ac:dyDescent="0.25">
      <c r="O49" s="81">
        <v>1.04</v>
      </c>
      <c r="P49" s="81">
        <f t="shared" si="6"/>
        <v>217.23519999999999</v>
      </c>
      <c r="Q49" s="2"/>
      <c r="T49" s="106"/>
      <c r="U49" s="352"/>
    </row>
    <row r="50" spans="1:21" x14ac:dyDescent="0.25">
      <c r="O50" s="81">
        <v>1.03</v>
      </c>
      <c r="P50" s="81">
        <f t="shared" si="6"/>
        <v>215.1464</v>
      </c>
      <c r="Q50" s="2"/>
      <c r="T50" s="106"/>
      <c r="U50" s="353"/>
    </row>
    <row r="51" spans="1:21" x14ac:dyDescent="0.25">
      <c r="O51" s="81">
        <v>1.02</v>
      </c>
      <c r="P51" s="81">
        <f t="shared" si="6"/>
        <v>213.05760000000001</v>
      </c>
      <c r="Q51" s="2"/>
      <c r="T51" s="106"/>
      <c r="U51" s="353"/>
    </row>
    <row r="52" spans="1:21" x14ac:dyDescent="0.25">
      <c r="O52" s="81">
        <v>1.01</v>
      </c>
      <c r="P52" s="81">
        <f t="shared" si="6"/>
        <v>210.96879999999999</v>
      </c>
      <c r="Q52" s="2"/>
      <c r="T52" s="106"/>
      <c r="U52" s="352"/>
    </row>
    <row r="53" spans="1:21" x14ac:dyDescent="0.25">
      <c r="O53" s="81">
        <v>1</v>
      </c>
      <c r="P53" s="81">
        <f t="shared" si="6"/>
        <v>208.88</v>
      </c>
      <c r="Q53" s="2"/>
      <c r="T53" s="106"/>
      <c r="U53" s="352"/>
    </row>
    <row r="54" spans="1:21" x14ac:dyDescent="0.25">
      <c r="O54" s="81">
        <v>0.99</v>
      </c>
      <c r="P54" s="81">
        <f t="shared" si="6"/>
        <v>206.7912</v>
      </c>
      <c r="Q54" s="2"/>
      <c r="T54" s="106"/>
      <c r="U54" s="352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204.70239999999998</v>
      </c>
      <c r="Q55" s="2"/>
      <c r="T55" s="106"/>
      <c r="U55" s="352"/>
    </row>
    <row r="56" spans="1:2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6"/>
        <v>202.61359999999999</v>
      </c>
    </row>
    <row r="57" spans="1:2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6"/>
        <v>200.5248</v>
      </c>
    </row>
    <row r="58" spans="1:2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6"/>
        <v>198.43599999999998</v>
      </c>
    </row>
    <row r="59" spans="1:2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6"/>
        <v>196.34719999999999</v>
      </c>
    </row>
    <row r="60" spans="1:2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6"/>
        <v>194.25839999999999</v>
      </c>
    </row>
    <row r="61" spans="1:2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6"/>
        <v>192.1696</v>
      </c>
    </row>
    <row r="62" spans="1:2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6"/>
        <v>190.08080000000001</v>
      </c>
    </row>
    <row r="63" spans="1:2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6"/>
        <v>187.99199999999999</v>
      </c>
    </row>
    <row r="64" spans="1:2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</row>
    <row r="65" spans="1:13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</row>
    <row r="66" spans="1:13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</row>
    <row r="67" spans="1:13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</row>
    <row r="68" spans="1:13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</row>
    <row r="69" spans="1:13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</row>
    <row r="70" spans="1:13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13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13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505" priority="35">
      <formula>N19&gt;0</formula>
    </cfRule>
    <cfRule type="expression" dxfId="250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2503" priority="21">
      <formula>F25&gt;0</formula>
    </cfRule>
    <cfRule type="expression" dxfId="2502" priority="22">
      <formula>F25&lt;0</formula>
    </cfRule>
  </conditionalFormatting>
  <conditionalFormatting sqref="H25:H47">
    <cfRule type="expression" dxfId="2501" priority="19">
      <formula>H25&gt;0</formula>
    </cfRule>
    <cfRule type="expression" dxfId="2500" priority="20">
      <formula>H25&lt;0</formula>
    </cfRule>
  </conditionalFormatting>
  <conditionalFormatting sqref="I25:I27">
    <cfRule type="expression" dxfId="2499" priority="15">
      <formula>I25&gt;0</formula>
    </cfRule>
    <cfRule type="expression" dxfId="2498" priority="16">
      <formula>I25&lt;0</formula>
    </cfRule>
  </conditionalFormatting>
  <conditionalFormatting sqref="Q7">
    <cfRule type="expression" dxfId="2497" priority="5">
      <formula>Q7&gt;0</formula>
    </cfRule>
    <cfRule type="expression" dxfId="2496" priority="6">
      <formula>Q7&lt;0</formula>
    </cfRule>
  </conditionalFormatting>
  <conditionalFormatting sqref="Q8">
    <cfRule type="expression" dxfId="2495" priority="3">
      <formula>Q8&gt;0</formula>
    </cfRule>
    <cfRule type="expression" dxfId="249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241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102.99</v>
      </c>
      <c r="T3" s="1">
        <v>42572</v>
      </c>
      <c r="U3" t="s">
        <v>232</v>
      </c>
      <c r="W3" s="130">
        <v>42830</v>
      </c>
      <c r="X3" s="10" t="s">
        <v>288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102.99</v>
      </c>
      <c r="R4" s="475">
        <v>1.6000000000000001E-3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205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240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9" t="s">
        <v>78</v>
      </c>
      <c r="P40" s="859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113.289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112.2591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111.22920000000001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110.19930000000001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109.1694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108.1395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107.1096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106.0797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105.04979999999999</v>
      </c>
      <c r="Q49" s="2"/>
      <c r="T49" s="91" t="s">
        <v>103</v>
      </c>
      <c r="U49" s="127" t="s">
        <v>504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222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104.01989999999999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102.99</v>
      </c>
      <c r="Q51" s="2"/>
      <c r="T51" s="91" t="s">
        <v>104</v>
      </c>
      <c r="U51" s="127" t="s">
        <v>552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101.9601</v>
      </c>
      <c r="Q52" s="2"/>
      <c r="T52" s="91" t="s">
        <v>105</v>
      </c>
      <c r="U52" s="127" t="s">
        <v>463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100.9302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99.900299999999987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98.870399999999989</v>
      </c>
      <c r="T55" s="91" t="s">
        <v>107</v>
      </c>
      <c r="U55" s="127" t="s">
        <v>553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97.840499999999992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96.810599999999994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95.780699999999996</v>
      </c>
      <c r="T58" s="91" t="s">
        <v>108</v>
      </c>
      <c r="U58" s="127" t="s">
        <v>526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94.750799999999998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93.7209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92.691000000000003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493" priority="9">
      <formula>F36&gt;0</formula>
    </cfRule>
    <cfRule type="expression" dxfId="2492" priority="10">
      <formula>F36&lt;0</formula>
    </cfRule>
  </conditionalFormatting>
  <conditionalFormatting sqref="F25:F35">
    <cfRule type="expression" dxfId="2491" priority="7">
      <formula>F25&gt;0</formula>
    </cfRule>
    <cfRule type="expression" dxfId="2490" priority="8">
      <formula>F25&lt;0</formula>
    </cfRule>
  </conditionalFormatting>
  <conditionalFormatting sqref="H25:H35">
    <cfRule type="expression" dxfId="2489" priority="5">
      <formula>H25&gt;0</formula>
    </cfRule>
    <cfRule type="expression" dxfId="2488" priority="6">
      <formula>H25&lt;0</formula>
    </cfRule>
  </conditionalFormatting>
  <conditionalFormatting sqref="Q7">
    <cfRule type="expression" dxfId="2487" priority="3">
      <formula>Q7&gt;0</formula>
    </cfRule>
    <cfRule type="expression" dxfId="2486" priority="4">
      <formula>Q7&lt;0</formula>
    </cfRule>
  </conditionalFormatting>
  <conditionalFormatting sqref="Q8">
    <cfRule type="expression" dxfId="2485" priority="1">
      <formula>Q8&gt;0</formula>
    </cfRule>
    <cfRule type="expression" dxfId="248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102.98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102.98</v>
      </c>
      <c r="R4" s="495">
        <v>1.18E-2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V9" s="134"/>
    </row>
    <row r="10" spans="1:22" x14ac:dyDescent="0.25">
      <c r="H10" s="70"/>
      <c r="O10" s="11" t="s">
        <v>205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676</v>
      </c>
      <c r="P20" s="7" t="s">
        <v>677</v>
      </c>
      <c r="Q20" s="7" t="s">
        <v>678</v>
      </c>
      <c r="R20" s="7"/>
      <c r="V20" s="134"/>
    </row>
    <row r="21" spans="1:22" x14ac:dyDescent="0.25">
      <c r="O21" s="7" t="s">
        <v>679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680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681</v>
      </c>
      <c r="P23" s="7" t="s">
        <v>682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7" t="s">
        <v>664</v>
      </c>
      <c r="P24" s="7" t="s">
        <v>683</v>
      </c>
      <c r="Q24" s="7" t="s">
        <v>683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681</v>
      </c>
      <c r="P25" s="7" t="s">
        <v>684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685</v>
      </c>
      <c r="P26" s="7" t="s">
        <v>677</v>
      </c>
      <c r="Q26" s="7" t="s">
        <v>678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680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664</v>
      </c>
      <c r="P29" s="7" t="s">
        <v>683</v>
      </c>
      <c r="Q29" s="7" t="s">
        <v>683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686</v>
      </c>
      <c r="P30" s="7" t="s">
        <v>677</v>
      </c>
      <c r="Q30" s="7" t="s">
        <v>678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679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59" t="s">
        <v>78</v>
      </c>
      <c r="P40" s="859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113.27800000000002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112.24820000000001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111.21840000000002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110.18860000000001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109.15880000000001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108.129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107.09920000000001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106.0694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105.03960000000001</v>
      </c>
      <c r="Q49" s="2"/>
      <c r="T49" s="91" t="s">
        <v>121</v>
      </c>
      <c r="U49" s="127" t="s">
        <v>497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104.0098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102.98</v>
      </c>
      <c r="Q51" s="2"/>
      <c r="T51" s="91" t="s">
        <v>104</v>
      </c>
      <c r="U51" s="127" t="s">
        <v>554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101.95020000000001</v>
      </c>
      <c r="Q52" s="2"/>
      <c r="T52" s="91" t="s">
        <v>105</v>
      </c>
      <c r="U52" s="127" t="s">
        <v>305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100.9204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99.890600000000006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98.860799999999998</v>
      </c>
      <c r="T55" s="91" t="s">
        <v>107</v>
      </c>
      <c r="U55" s="127" t="s">
        <v>555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97.831000000000003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96.801199999999994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95.771400000000014</v>
      </c>
      <c r="T58" s="91" t="s">
        <v>108</v>
      </c>
      <c r="U58" s="127" t="s">
        <v>527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94.741600000000005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93.711800000000011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92.682000000000002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262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483" priority="37">
      <formula>F25&gt;0</formula>
    </cfRule>
    <cfRule type="expression" dxfId="2482" priority="38">
      <formula>F25&lt;0</formula>
    </cfRule>
  </conditionalFormatting>
  <conditionalFormatting sqref="Q7">
    <cfRule type="expression" dxfId="2481" priority="35">
      <formula>Q7&gt;0</formula>
    </cfRule>
    <cfRule type="expression" dxfId="2480" priority="36">
      <formula>Q7&lt;0</formula>
    </cfRule>
  </conditionalFormatting>
  <conditionalFormatting sqref="Q8">
    <cfRule type="expression" dxfId="2479" priority="33">
      <formula>Q8&gt;0</formula>
    </cfRule>
    <cfRule type="expression" dxfId="2478" priority="34">
      <formula>Q8&lt;0</formula>
    </cfRule>
  </conditionalFormatting>
  <conditionalFormatting sqref="F44:F46">
    <cfRule type="expression" dxfId="2477" priority="31">
      <formula>F44&gt;0</formula>
    </cfRule>
    <cfRule type="expression" dxfId="2476" priority="32">
      <formula>F44&lt;0</formula>
    </cfRule>
  </conditionalFormatting>
  <conditionalFormatting sqref="H44:H46">
    <cfRule type="expression" dxfId="2475" priority="29">
      <formula>H44&gt;0</formula>
    </cfRule>
    <cfRule type="expression" dxfId="2474" priority="30">
      <formula>H44&lt;0</formula>
    </cfRule>
  </conditionalFormatting>
  <conditionalFormatting sqref="F89:F110">
    <cfRule type="expression" dxfId="2473" priority="27">
      <formula>F89&gt;0</formula>
    </cfRule>
    <cfRule type="expression" dxfId="2472" priority="28">
      <formula>F89&lt;0</formula>
    </cfRule>
  </conditionalFormatting>
  <conditionalFormatting sqref="H89:H110">
    <cfRule type="expression" dxfId="2471" priority="25">
      <formula>H89&gt;0</formula>
    </cfRule>
    <cfRule type="expression" dxfId="2470" priority="26">
      <formula>H89&lt;0</formula>
    </cfRule>
  </conditionalFormatting>
  <conditionalFormatting sqref="Q10">
    <cfRule type="expression" dxfId="2469" priority="23">
      <formula>Q10&gt;0</formula>
    </cfRule>
    <cfRule type="expression" dxfId="2468" priority="24">
      <formula>Q10&lt;0</formula>
    </cfRule>
  </conditionalFormatting>
  <conditionalFormatting sqref="J25:J38">
    <cfRule type="expression" dxfId="2467" priority="21">
      <formula>J25&gt;0</formula>
    </cfRule>
    <cfRule type="expression" dxfId="2466" priority="22">
      <formula>J25&lt;0</formula>
    </cfRule>
  </conditionalFormatting>
  <conditionalFormatting sqref="K25:K38">
    <cfRule type="expression" dxfId="2465" priority="19">
      <formula>K25&gt;0</formula>
    </cfRule>
    <cfRule type="expression" dxfId="2464" priority="20">
      <formula>K25&lt;0</formula>
    </cfRule>
  </conditionalFormatting>
  <conditionalFormatting sqref="L25:L38">
    <cfRule type="expression" dxfId="2463" priority="17">
      <formula>L25&gt;0</formula>
    </cfRule>
    <cfRule type="expression" dxfId="2462" priority="18">
      <formula>L25&lt;0</formula>
    </cfRule>
  </conditionalFormatting>
  <conditionalFormatting sqref="J40">
    <cfRule type="expression" dxfId="2461" priority="15">
      <formula>J40&gt;0</formula>
    </cfRule>
    <cfRule type="expression" dxfId="2460" priority="16">
      <formula>J40&lt;0</formula>
    </cfRule>
  </conditionalFormatting>
  <conditionalFormatting sqref="L39">
    <cfRule type="expression" dxfId="2459" priority="11">
      <formula>L39&gt;0</formula>
    </cfRule>
    <cfRule type="expression" dxfId="2458" priority="12">
      <formula>L39&lt;0</formula>
    </cfRule>
  </conditionalFormatting>
  <conditionalFormatting sqref="F39">
    <cfRule type="expression" dxfId="2457" priority="9">
      <formula>F39&gt;0</formula>
    </cfRule>
    <cfRule type="expression" dxfId="2456" priority="10">
      <formula>F39&lt;0</formula>
    </cfRule>
  </conditionalFormatting>
  <conditionalFormatting sqref="H39">
    <cfRule type="expression" dxfId="2455" priority="7">
      <formula>H39&gt;0</formula>
    </cfRule>
    <cfRule type="expression" dxfId="2454" priority="8">
      <formula>H39&lt;0</formula>
    </cfRule>
  </conditionalFormatting>
  <conditionalFormatting sqref="J41">
    <cfRule type="expression" dxfId="2453" priority="5">
      <formula>J41&gt;0</formula>
    </cfRule>
    <cfRule type="expression" dxfId="2452" priority="6">
      <formula>J41&lt;0</formula>
    </cfRule>
  </conditionalFormatting>
  <conditionalFormatting sqref="J43">
    <cfRule type="expression" dxfId="2451" priority="3">
      <formula>J43&gt;0</formula>
    </cfRule>
    <cfRule type="expression" dxfId="2450" priority="4">
      <formula>J43&lt;0</formula>
    </cfRule>
  </conditionalFormatting>
  <conditionalFormatting sqref="J44">
    <cfRule type="expression" dxfId="2449" priority="1">
      <formula>J44&gt;0</formula>
    </cfRule>
    <cfRule type="expression" dxfId="2448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38.19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38.19</v>
      </c>
      <c r="R4" s="475">
        <v>7.1000000000000004E-3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205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205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59" t="s">
        <v>78</v>
      </c>
      <c r="Q39" s="859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42.009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41.627099999999999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41.245199999999997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40.863300000000002</v>
      </c>
      <c r="R43" s="81"/>
      <c r="T43" s="85" t="s">
        <v>100</v>
      </c>
      <c r="U43" s="127" t="s">
        <v>516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40.481400000000001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40.099499999999999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39.717599999999997</v>
      </c>
      <c r="R46" s="81"/>
      <c r="T46" s="85" t="s">
        <v>121</v>
      </c>
      <c r="U46" s="223" t="s">
        <v>415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39.335699999999996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38.953800000000001</v>
      </c>
      <c r="R48" s="81"/>
      <c r="T48" s="85" t="s">
        <v>104</v>
      </c>
      <c r="U48" s="127" t="s">
        <v>556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38.571899999999999</v>
      </c>
      <c r="R49" s="81"/>
      <c r="T49" s="85" t="s">
        <v>105</v>
      </c>
      <c r="U49" s="127" t="s">
        <v>323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38.19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37.808099999999996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37.426199999999994</v>
      </c>
      <c r="R52" s="81"/>
      <c r="T52" s="85" t="s">
        <v>107</v>
      </c>
      <c r="U52" s="127" t="s">
        <v>557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37.0443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36.662399999999998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36.280499999999996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35.898599999999995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35.5167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35.134799999999998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34.752899999999997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34.371000000000002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447" priority="31">
      <formula>F29&gt;0</formula>
    </cfRule>
    <cfRule type="expression" dxfId="2446" priority="32">
      <formula>F29&lt;0</formula>
    </cfRule>
  </conditionalFormatting>
  <conditionalFormatting sqref="F29 F31:F35">
    <cfRule type="expression" dxfId="2445" priority="33">
      <formula>F29&gt;0</formula>
    </cfRule>
    <cfRule type="expression" dxfId="2444" priority="34">
      <formula>F29&lt;0</formula>
    </cfRule>
  </conditionalFormatting>
  <conditionalFormatting sqref="H29 H31:H35">
    <cfRule type="expression" dxfId="2443" priority="29">
      <formula>H29&gt;0</formula>
    </cfRule>
    <cfRule type="expression" dxfId="2442" priority="30">
      <formula>H29&lt;0</formula>
    </cfRule>
  </conditionalFormatting>
  <conditionalFormatting sqref="F21:F28">
    <cfRule type="expression" dxfId="2441" priority="27">
      <formula>F21&gt;0</formula>
    </cfRule>
    <cfRule type="expression" dxfId="2440" priority="28">
      <formula>F21&lt;0</formula>
    </cfRule>
  </conditionalFormatting>
  <conditionalFormatting sqref="H21:H28">
    <cfRule type="expression" dxfId="2439" priority="25">
      <formula>H21&gt;0</formula>
    </cfRule>
    <cfRule type="expression" dxfId="2438" priority="26">
      <formula>H21&lt;0</formula>
    </cfRule>
  </conditionalFormatting>
  <conditionalFormatting sqref="Q8">
    <cfRule type="expression" dxfId="2437" priority="21">
      <formula>Q8&gt;0</formula>
    </cfRule>
    <cfRule type="expression" dxfId="2436" priority="22">
      <formula>Q8&lt;0</formula>
    </cfRule>
  </conditionalFormatting>
  <conditionalFormatting sqref="Q7">
    <cfRule type="expression" dxfId="2435" priority="23">
      <formula>Q7&gt;0</formula>
    </cfRule>
    <cfRule type="expression" dxfId="2434" priority="24">
      <formula>Q7&lt;0</formula>
    </cfRule>
  </conditionalFormatting>
  <conditionalFormatting sqref="F30">
    <cfRule type="expression" dxfId="2433" priority="19">
      <formula>F30&gt;0</formula>
    </cfRule>
    <cfRule type="expression" dxfId="2432" priority="20">
      <formula>F30&lt;0</formula>
    </cfRule>
  </conditionalFormatting>
  <conditionalFormatting sqref="H30">
    <cfRule type="expression" dxfId="2431" priority="17">
      <formula>H30&gt;0</formula>
    </cfRule>
    <cfRule type="expression" dxfId="2430" priority="18">
      <formula>H30&lt;0</formula>
    </cfRule>
  </conditionalFormatting>
  <conditionalFormatting sqref="F68 F70:F74">
    <cfRule type="expression" dxfId="2429" priority="13">
      <formula>F68&gt;0</formula>
    </cfRule>
    <cfRule type="expression" dxfId="2428" priority="14">
      <formula>F68&lt;0</formula>
    </cfRule>
  </conditionalFormatting>
  <conditionalFormatting sqref="F68 F70:F74">
    <cfRule type="expression" dxfId="2427" priority="15">
      <formula>F68&gt;0</formula>
    </cfRule>
    <cfRule type="expression" dxfId="2426" priority="16">
      <formula>F68&lt;0</formula>
    </cfRule>
  </conditionalFormatting>
  <conditionalFormatting sqref="H68 H70:H74">
    <cfRule type="expression" dxfId="2425" priority="11">
      <formula>H68&gt;0</formula>
    </cfRule>
    <cfRule type="expression" dxfId="2424" priority="12">
      <formula>H68&lt;0</formula>
    </cfRule>
  </conditionalFormatting>
  <conditionalFormatting sqref="F60:F67">
    <cfRule type="expression" dxfId="2423" priority="9">
      <formula>F60&gt;0</formula>
    </cfRule>
    <cfRule type="expression" dxfId="2422" priority="10">
      <formula>F60&lt;0</formula>
    </cfRule>
  </conditionalFormatting>
  <conditionalFormatting sqref="H60:H67">
    <cfRule type="expression" dxfId="2421" priority="7">
      <formula>H60&gt;0</formula>
    </cfRule>
    <cfRule type="expression" dxfId="2420" priority="8">
      <formula>H60&lt;0</formula>
    </cfRule>
  </conditionalFormatting>
  <conditionalFormatting sqref="F69">
    <cfRule type="expression" dxfId="2419" priority="5">
      <formula>F69&gt;0</formula>
    </cfRule>
    <cfRule type="expression" dxfId="2418" priority="6">
      <formula>F69&lt;0</formula>
    </cfRule>
  </conditionalFormatting>
  <conditionalFormatting sqref="H69">
    <cfRule type="expression" dxfId="2417" priority="3">
      <formula>H69&gt;0</formula>
    </cfRule>
    <cfRule type="expression" dxfId="2416" priority="4">
      <formula>H69&lt;0</formula>
    </cfRule>
  </conditionalFormatting>
  <conditionalFormatting sqref="Q10">
    <cfRule type="expression" dxfId="2415" priority="1">
      <formula>Q10&gt;0</formula>
    </cfRule>
    <cfRule type="expression" dxfId="2414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45.6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45.6</v>
      </c>
      <c r="R4" s="475">
        <v>3.0999999999999999E-3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205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281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59" t="s">
        <v>78</v>
      </c>
      <c r="P40" s="859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50.160000000000004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49.704000000000008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49.248000000000005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48.792000000000002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48.336000000000006</v>
      </c>
      <c r="Q45" s="2"/>
      <c r="T45" s="91" t="s">
        <v>99</v>
      </c>
      <c r="U45" s="127" t="s">
        <v>558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263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47.88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47.424000000000007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46.968000000000004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46.512</v>
      </c>
      <c r="Q49" s="2"/>
      <c r="T49" s="91" t="s">
        <v>121</v>
      </c>
      <c r="U49" s="127" t="s">
        <v>416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46.056000000000004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45.6</v>
      </c>
      <c r="Q51" s="2"/>
      <c r="T51" s="91" t="s">
        <v>104</v>
      </c>
      <c r="U51" s="127" t="s">
        <v>559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45.143999999999998</v>
      </c>
      <c r="Q52" s="2"/>
      <c r="T52" s="91" t="s">
        <v>105</v>
      </c>
      <c r="U52" s="127" t="s">
        <v>520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44.688000000000002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44.231999999999999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43.775999999999996</v>
      </c>
      <c r="T55" s="91" t="s">
        <v>107</v>
      </c>
      <c r="U55" s="127" t="s">
        <v>560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43.32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42.863999999999997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42.408000000000001</v>
      </c>
      <c r="T58" s="91" t="s">
        <v>108</v>
      </c>
      <c r="U58" s="127" t="s">
        <v>521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41.952000000000005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41.496000000000002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41.04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413" priority="11">
      <formula>F33&gt;0</formula>
    </cfRule>
    <cfRule type="expression" dxfId="2412" priority="12">
      <formula>F33&lt;0</formula>
    </cfRule>
  </conditionalFormatting>
  <conditionalFormatting sqref="Q7">
    <cfRule type="expression" dxfId="2411" priority="9">
      <formula>Q7&gt;0</formula>
    </cfRule>
    <cfRule type="expression" dxfId="2410" priority="10">
      <formula>Q7&lt;0</formula>
    </cfRule>
  </conditionalFormatting>
  <conditionalFormatting sqref="Q8">
    <cfRule type="expression" dxfId="2409" priority="7">
      <formula>Q8&gt;0</formula>
    </cfRule>
    <cfRule type="expression" dxfId="2408" priority="8">
      <formula>Q8&lt;0</formula>
    </cfRule>
  </conditionalFormatting>
  <conditionalFormatting sqref="F25:F32">
    <cfRule type="expression" dxfId="2407" priority="5">
      <formula>F25&gt;0</formula>
    </cfRule>
    <cfRule type="expression" dxfId="2406" priority="6">
      <formula>F25&lt;0</formula>
    </cfRule>
  </conditionalFormatting>
  <conditionalFormatting sqref="H25:H32">
    <cfRule type="expression" dxfId="2405" priority="3">
      <formula>H25&gt;0</formula>
    </cfRule>
    <cfRule type="expression" dxfId="2404" priority="4">
      <formula>H25&lt;0</formula>
    </cfRule>
  </conditionalFormatting>
  <conditionalFormatting sqref="Q10">
    <cfRule type="expression" dxfId="2403" priority="1">
      <formula>Q10&gt;0</formula>
    </cfRule>
    <cfRule type="expression" dxfId="2402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321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446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9.58</v>
      </c>
      <c r="T3" s="567" t="s">
        <v>467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9.58</v>
      </c>
      <c r="R4" s="475">
        <v>3.1199999999999999E-2</v>
      </c>
      <c r="T4" s="156" t="s">
        <v>468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469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817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206</v>
      </c>
      <c r="Q9" s="222">
        <f>IF(Q2=0, 0, Q8/Q6)</f>
        <v>0</v>
      </c>
      <c r="T9" s="29">
        <v>43103</v>
      </c>
      <c r="U9" t="s">
        <v>809</v>
      </c>
      <c r="AA9" s="2"/>
      <c r="AD9" s="2"/>
      <c r="AG9" s="2"/>
      <c r="AI9" s="2"/>
    </row>
    <row r="10" spans="1:39" x14ac:dyDescent="0.25">
      <c r="A10" t="s">
        <v>761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205</v>
      </c>
      <c r="P10" s="33"/>
      <c r="Q10" s="2">
        <f>M58</f>
        <v>1283.4199999999946</v>
      </c>
      <c r="U10" t="s">
        <v>810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811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974</v>
      </c>
      <c r="Q12" s="1" t="s">
        <v>1222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952</v>
      </c>
      <c r="Q13">
        <f>Q4/0.32</f>
        <v>29.9375</v>
      </c>
      <c r="U13" t="s">
        <v>818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59" t="s">
        <v>78</v>
      </c>
      <c r="P15" s="859"/>
      <c r="T15" s="1">
        <v>43114</v>
      </c>
      <c r="U15" t="s">
        <v>849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11.016999999999999</v>
      </c>
      <c r="U16" s="475" t="s">
        <v>850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10.921199999999999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10.825399999999998</v>
      </c>
      <c r="T18" s="1">
        <v>43140</v>
      </c>
      <c r="U18" t="s">
        <v>904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10.729600000000001</v>
      </c>
      <c r="X19" s="134"/>
    </row>
    <row r="20" spans="1:39" x14ac:dyDescent="0.25">
      <c r="O20" s="81">
        <v>1.1100000000000001</v>
      </c>
      <c r="P20" s="81">
        <f t="shared" si="3"/>
        <v>10.633800000000001</v>
      </c>
      <c r="T20" s="1">
        <v>43152</v>
      </c>
      <c r="U20" t="s">
        <v>908</v>
      </c>
      <c r="X20" s="134"/>
    </row>
    <row r="21" spans="1:39" x14ac:dyDescent="0.25">
      <c r="O21" s="81">
        <v>1.1000000000000001</v>
      </c>
      <c r="P21" s="81">
        <f t="shared" si="3"/>
        <v>10.538</v>
      </c>
      <c r="X21" s="134"/>
    </row>
    <row r="22" spans="1:39" x14ac:dyDescent="0.25">
      <c r="O22" s="81">
        <v>1.0900000000000001</v>
      </c>
      <c r="P22" s="81">
        <f t="shared" si="3"/>
        <v>10.442200000000001</v>
      </c>
      <c r="T22" s="1">
        <v>43160</v>
      </c>
      <c r="U22" t="s">
        <v>856</v>
      </c>
      <c r="X22" s="134"/>
    </row>
    <row r="23" spans="1:39" x14ac:dyDescent="0.25">
      <c r="O23" s="81">
        <v>1.08</v>
      </c>
      <c r="P23" s="81">
        <f t="shared" si="3"/>
        <v>10.346400000000001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O24" s="81">
        <v>1.07</v>
      </c>
      <c r="P24" s="81">
        <f t="shared" si="3"/>
        <v>10.2506</v>
      </c>
      <c r="T24" s="1">
        <v>43191</v>
      </c>
      <c r="U24" t="s">
        <v>972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10.1548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10.059000000000001</v>
      </c>
      <c r="T26" s="1">
        <v>43237</v>
      </c>
      <c r="U26" t="s">
        <v>1067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9.9632000000000005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9.8673999999999999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9.7715999999999994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9.6758000000000006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9.58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9.4841999999999995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9.3884000000000007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9.2926000000000002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9.1967999999999996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9.1009999999999991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9.0052000000000003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887</v>
      </c>
      <c r="J38" s="39">
        <v>880</v>
      </c>
      <c r="K38" s="39"/>
      <c r="L38" s="4"/>
      <c r="O38" s="81">
        <v>0.93</v>
      </c>
      <c r="P38" s="81">
        <f t="shared" si="7"/>
        <v>8.9093999999999998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8.813600000000001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8.7178000000000004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8.6219999999999999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888</v>
      </c>
      <c r="J42" s="39">
        <v>736</v>
      </c>
      <c r="K42" s="39"/>
      <c r="L42" s="4"/>
      <c r="O42" s="81">
        <v>0.89</v>
      </c>
      <c r="P42" s="81">
        <f>O42*$Q$4</f>
        <v>8.5261999999999993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8.4304000000000006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8.3346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474</v>
      </c>
      <c r="T47" s="567" t="s">
        <v>467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478</v>
      </c>
      <c r="T48" s="22" t="s">
        <v>477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479</v>
      </c>
      <c r="T49" s="22" t="s">
        <v>480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481</v>
      </c>
      <c r="T50" s="22" t="s">
        <v>482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485</v>
      </c>
      <c r="T53" s="22" t="s">
        <v>475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484</v>
      </c>
      <c r="T54" s="22" t="s">
        <v>476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483</v>
      </c>
      <c r="T55" s="22" t="s">
        <v>486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278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649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332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326</v>
      </c>
      <c r="J103" s="39"/>
      <c r="K103" s="39"/>
    </row>
    <row r="104" spans="1:11" x14ac:dyDescent="0.25">
      <c r="A104" t="s">
        <v>332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362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372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380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400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332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332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428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401" priority="75">
      <formula>F32&gt;0</formula>
    </cfRule>
    <cfRule type="expression" dxfId="2400" priority="76">
      <formula>F32&lt;0</formula>
    </cfRule>
  </conditionalFormatting>
  <conditionalFormatting sqref="Q7">
    <cfRule type="expression" dxfId="2399" priority="73">
      <formula>Q7&gt;0</formula>
    </cfRule>
    <cfRule type="expression" dxfId="2398" priority="74">
      <formula>Q7&lt;0</formula>
    </cfRule>
  </conditionalFormatting>
  <conditionalFormatting sqref="Q8">
    <cfRule type="expression" dxfId="2397" priority="71">
      <formula>Q8&gt;0</formula>
    </cfRule>
    <cfRule type="expression" dxfId="2396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395" priority="63">
      <formula>M58&gt;0</formula>
    </cfRule>
    <cfRule type="expression" dxfId="2394" priority="64">
      <formula>M58&lt;0</formula>
    </cfRule>
  </conditionalFormatting>
  <conditionalFormatting sqref="Q10">
    <cfRule type="expression" dxfId="2393" priority="61">
      <formula>Q10&gt;0</formula>
    </cfRule>
    <cfRule type="expression" dxfId="2392" priority="62">
      <formula>Q10&lt;0</formula>
    </cfRule>
  </conditionalFormatting>
  <conditionalFormatting sqref="F29:F31">
    <cfRule type="expression" dxfId="2391" priority="59">
      <formula>F29&gt;0</formula>
    </cfRule>
    <cfRule type="expression" dxfId="2390" priority="60">
      <formula>F29&lt;0</formula>
    </cfRule>
  </conditionalFormatting>
  <conditionalFormatting sqref="H29:H31">
    <cfRule type="expression" dxfId="2389" priority="57">
      <formula>H29&gt;0</formula>
    </cfRule>
    <cfRule type="expression" dxfId="2388" priority="58">
      <formula>H29&lt;0</formula>
    </cfRule>
  </conditionalFormatting>
  <conditionalFormatting sqref="F83:F94">
    <cfRule type="expression" dxfId="2387" priority="55">
      <formula>F83&gt;0</formula>
    </cfRule>
    <cfRule type="expression" dxfId="2386" priority="56">
      <formula>F83&lt;0</formula>
    </cfRule>
  </conditionalFormatting>
  <conditionalFormatting sqref="H83:H94">
    <cfRule type="expression" dxfId="2385" priority="53">
      <formula>H83&gt;0</formula>
    </cfRule>
    <cfRule type="expression" dxfId="2384" priority="54">
      <formula>H83&lt;0</formula>
    </cfRule>
  </conditionalFormatting>
  <conditionalFormatting sqref="J41">
    <cfRule type="expression" dxfId="2383" priority="51">
      <formula>J41&gt;0</formula>
    </cfRule>
    <cfRule type="expression" dxfId="2382" priority="52">
      <formula>J41&lt;0</formula>
    </cfRule>
  </conditionalFormatting>
  <conditionalFormatting sqref="J39:J47">
    <cfRule type="expression" dxfId="2381" priority="49">
      <formula>J39&gt;0</formula>
    </cfRule>
    <cfRule type="expression" dxfId="2380" priority="50">
      <formula>J39&lt;0</formula>
    </cfRule>
  </conditionalFormatting>
  <conditionalFormatting sqref="F48:F51 H48:H51">
    <cfRule type="expression" dxfId="2379" priority="47">
      <formula>F48&gt;0</formula>
    </cfRule>
    <cfRule type="expression" dxfId="2378" priority="48">
      <formula>F48&lt;0</formula>
    </cfRule>
  </conditionalFormatting>
  <conditionalFormatting sqref="J48:J57">
    <cfRule type="expression" dxfId="2377" priority="45">
      <formula>J48&gt;0</formula>
    </cfRule>
    <cfRule type="expression" dxfId="2376" priority="46">
      <formula>J48&lt;0</formula>
    </cfRule>
  </conditionalFormatting>
  <conditionalFormatting sqref="K45:K52">
    <cfRule type="expression" dxfId="2375" priority="43">
      <formula>K45&gt;0</formula>
    </cfRule>
    <cfRule type="expression" dxfId="2374" priority="44">
      <formula>K45&lt;0</formula>
    </cfRule>
  </conditionalFormatting>
  <conditionalFormatting sqref="K45:K52">
    <cfRule type="expression" dxfId="2373" priority="41">
      <formula>K45&gt;0</formula>
    </cfRule>
    <cfRule type="expression" dxfId="2372" priority="42">
      <formula>K45&lt;0</formula>
    </cfRule>
  </conditionalFormatting>
  <conditionalFormatting sqref="F102:F118 H102:H118 H120:H128 F120:F128">
    <cfRule type="expression" dxfId="2371" priority="37">
      <formula>F102&gt;0</formula>
    </cfRule>
    <cfRule type="expression" dxfId="2370" priority="38">
      <formula>F102&lt;0</formula>
    </cfRule>
  </conditionalFormatting>
  <conditionalFormatting sqref="F96:F101">
    <cfRule type="expression" dxfId="2369" priority="35">
      <formula>F96&gt;0</formula>
    </cfRule>
    <cfRule type="expression" dxfId="2368" priority="36">
      <formula>F96&lt;0</formula>
    </cfRule>
  </conditionalFormatting>
  <conditionalFormatting sqref="H96:H101">
    <cfRule type="expression" dxfId="2367" priority="33">
      <formula>H96&gt;0</formula>
    </cfRule>
    <cfRule type="expression" dxfId="2366" priority="34">
      <formula>H96&lt;0</formula>
    </cfRule>
  </conditionalFormatting>
  <conditionalFormatting sqref="J112">
    <cfRule type="expression" dxfId="2365" priority="31">
      <formula>J112&gt;0</formula>
    </cfRule>
    <cfRule type="expression" dxfId="2364" priority="32">
      <formula>J112&lt;0</formula>
    </cfRule>
  </conditionalFormatting>
  <conditionalFormatting sqref="J110:J118 J120">
    <cfRule type="expression" dxfId="2363" priority="29">
      <formula>J110&gt;0</formula>
    </cfRule>
    <cfRule type="expression" dxfId="2362" priority="30">
      <formula>J110&lt;0</formula>
    </cfRule>
  </conditionalFormatting>
  <conditionalFormatting sqref="F119 H119">
    <cfRule type="expression" dxfId="2361" priority="27">
      <formula>F119&gt;0</formula>
    </cfRule>
    <cfRule type="expression" dxfId="2360" priority="28">
      <formula>F119&lt;0</formula>
    </cfRule>
  </conditionalFormatting>
  <conditionalFormatting sqref="J119">
    <cfRule type="expression" dxfId="2359" priority="25">
      <formula>J119&gt;0</formula>
    </cfRule>
    <cfRule type="expression" dxfId="2358" priority="26">
      <formula>J119&lt;0</formula>
    </cfRule>
  </conditionalFormatting>
  <conditionalFormatting sqref="K112:K123">
    <cfRule type="expression" dxfId="2357" priority="23">
      <formula>K112&gt;0</formula>
    </cfRule>
    <cfRule type="expression" dxfId="2356" priority="24">
      <formula>K112&lt;0</formula>
    </cfRule>
  </conditionalFormatting>
  <conditionalFormatting sqref="K110:K123">
    <cfRule type="expression" dxfId="2355" priority="21">
      <formula>K110&gt;0</formula>
    </cfRule>
    <cfRule type="expression" dxfId="2354" priority="22">
      <formula>K110&lt;0</formula>
    </cfRule>
  </conditionalFormatting>
  <conditionalFormatting sqref="J121">
    <cfRule type="expression" dxfId="2353" priority="19">
      <formula>J121&gt;0</formula>
    </cfRule>
    <cfRule type="expression" dxfId="2352" priority="20">
      <formula>J121&lt;0</formula>
    </cfRule>
  </conditionalFormatting>
  <conditionalFormatting sqref="F25:F28">
    <cfRule type="expression" dxfId="2351" priority="17">
      <formula>F25&gt;0</formula>
    </cfRule>
    <cfRule type="expression" dxfId="2350" priority="18">
      <formula>F25&lt;0</formula>
    </cfRule>
  </conditionalFormatting>
  <conditionalFormatting sqref="H25:H28">
    <cfRule type="expression" dxfId="2349" priority="15">
      <formula>H25&gt;0</formula>
    </cfRule>
    <cfRule type="expression" dxfId="2348" priority="16">
      <formula>H25&lt;0</formula>
    </cfRule>
  </conditionalFormatting>
  <conditionalFormatting sqref="J27:J29">
    <cfRule type="expression" dxfId="2347" priority="13">
      <formula>J27&gt;0</formula>
    </cfRule>
    <cfRule type="expression" dxfId="2346" priority="14">
      <formula>J27&lt;0</formula>
    </cfRule>
  </conditionalFormatting>
  <conditionalFormatting sqref="J30:J31">
    <cfRule type="expression" dxfId="2345" priority="11">
      <formula>J30&gt;0</formula>
    </cfRule>
    <cfRule type="expression" dxfId="2344" priority="12">
      <formula>J30&lt;0</formula>
    </cfRule>
  </conditionalFormatting>
  <conditionalFormatting sqref="J33">
    <cfRule type="expression" dxfId="2343" priority="9">
      <formula>J33&gt;0</formula>
    </cfRule>
    <cfRule type="expression" dxfId="2342" priority="10">
      <formula>J33&lt;0</formula>
    </cfRule>
  </conditionalFormatting>
  <conditionalFormatting sqref="J34">
    <cfRule type="expression" dxfId="2341" priority="7">
      <formula>J34&gt;0</formula>
    </cfRule>
    <cfRule type="expression" dxfId="2340" priority="8">
      <formula>J34&lt;0</formula>
    </cfRule>
  </conditionalFormatting>
  <conditionalFormatting sqref="J35:J43">
    <cfRule type="expression" dxfId="2339" priority="5">
      <formula>J35&gt;0</formula>
    </cfRule>
    <cfRule type="expression" dxfId="2338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337" priority="1">
      <formula>Q9&gt;0</formula>
    </cfRule>
    <cfRule type="expression" dxfId="2336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58.99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58.99</v>
      </c>
      <c r="R4" s="475">
        <v>2.8999999999999998E-3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59" t="s">
        <v>78</v>
      </c>
      <c r="P40" s="859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64.88900000000001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64.29910000000001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63.70920000000001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63.119300000000003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62.529400000000003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61.939500000000002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61.349600000000002</v>
      </c>
      <c r="Q47" s="2"/>
    </row>
    <row r="48" spans="2:17" x14ac:dyDescent="0.25">
      <c r="O48" s="81">
        <v>1.03</v>
      </c>
      <c r="P48" s="81">
        <f t="shared" si="4"/>
        <v>60.759700000000002</v>
      </c>
      <c r="Q48" s="2"/>
    </row>
    <row r="49" spans="1:17" x14ac:dyDescent="0.25">
      <c r="O49" s="81">
        <v>1.02</v>
      </c>
      <c r="P49" s="81">
        <f t="shared" si="4"/>
        <v>60.169800000000002</v>
      </c>
      <c r="Q49" s="2"/>
    </row>
    <row r="50" spans="1:17" x14ac:dyDescent="0.25">
      <c r="O50" s="81">
        <v>1.01</v>
      </c>
      <c r="P50" s="81">
        <f t="shared" si="4"/>
        <v>59.579900000000002</v>
      </c>
      <c r="Q50" s="2"/>
    </row>
    <row r="51" spans="1:17" x14ac:dyDescent="0.25">
      <c r="O51" s="81">
        <v>1</v>
      </c>
      <c r="P51" s="81">
        <f t="shared" si="4"/>
        <v>58.99</v>
      </c>
      <c r="Q51" s="2"/>
    </row>
    <row r="52" spans="1:17" x14ac:dyDescent="0.25">
      <c r="O52" s="81">
        <v>0.99</v>
      </c>
      <c r="P52" s="81">
        <f t="shared" si="4"/>
        <v>58.400100000000002</v>
      </c>
      <c r="Q52" s="2"/>
    </row>
    <row r="53" spans="1:17" x14ac:dyDescent="0.25">
      <c r="O53" s="81">
        <v>0.98</v>
      </c>
      <c r="P53" s="81">
        <f t="shared" si="4"/>
        <v>57.810200000000002</v>
      </c>
      <c r="Q53" s="2"/>
    </row>
    <row r="54" spans="1:17" x14ac:dyDescent="0.25">
      <c r="O54" s="81">
        <v>0.97</v>
      </c>
      <c r="P54" s="81">
        <f t="shared" si="4"/>
        <v>57.220300000000002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56.630400000000002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56.040500000000002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55.450600000000001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54.860700000000001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54.270800000000001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53.680900000000001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53.091000000000001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335" priority="15">
      <formula>F39&gt;0</formula>
    </cfRule>
    <cfRule type="expression" dxfId="2334" priority="16">
      <formula>F39&lt;0</formula>
    </cfRule>
  </conditionalFormatting>
  <conditionalFormatting sqref="Q7">
    <cfRule type="expression" dxfId="2333" priority="13">
      <formula>Q7&gt;0</formula>
    </cfRule>
    <cfRule type="expression" dxfId="2332" priority="14">
      <formula>Q7&lt;0</formula>
    </cfRule>
  </conditionalFormatting>
  <conditionalFormatting sqref="Q8">
    <cfRule type="expression" dxfId="2331" priority="11">
      <formula>Q8&gt;0</formula>
    </cfRule>
    <cfRule type="expression" dxfId="2330" priority="12">
      <formula>Q8&lt;0</formula>
    </cfRule>
  </conditionalFormatting>
  <conditionalFormatting sqref="F25:F38">
    <cfRule type="expression" dxfId="2329" priority="9">
      <formula>F25&gt;0</formula>
    </cfRule>
    <cfRule type="expression" dxfId="2328" priority="10">
      <formula>F25&lt;0</formula>
    </cfRule>
  </conditionalFormatting>
  <conditionalFormatting sqref="H25:H38">
    <cfRule type="expression" dxfId="2327" priority="7">
      <formula>H25&gt;0</formula>
    </cfRule>
    <cfRule type="expression" dxfId="2326" priority="8">
      <formula>H25&lt;0</formula>
    </cfRule>
  </conditionalFormatting>
  <conditionalFormatting sqref="M55">
    <cfRule type="expression" dxfId="2325" priority="3">
      <formula>M55&gt;0</formula>
    </cfRule>
    <cfRule type="expression" dxfId="2324" priority="4">
      <formula>M55&lt;0</formula>
    </cfRule>
  </conditionalFormatting>
  <conditionalFormatting sqref="Q10">
    <cfRule type="expression" dxfId="2323" priority="1">
      <formula>Q10&gt;0</formula>
    </cfRule>
    <cfRule type="expression" dxfId="2322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42.63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42.63</v>
      </c>
      <c r="R4" s="475">
        <v>4.2599999999999999E-2</v>
      </c>
      <c r="T4" s="156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206</v>
      </c>
      <c r="Q9" s="134">
        <f>IF(Q2=0, 0, Q8/Q6)</f>
        <v>0</v>
      </c>
    </row>
    <row r="10" spans="1:21" x14ac:dyDescent="0.25">
      <c r="O10" s="11" t="s">
        <v>205</v>
      </c>
      <c r="P10" s="33"/>
      <c r="Q10" s="2">
        <f>M41</f>
        <v>264.92000000000007</v>
      </c>
    </row>
    <row r="11" spans="1:21" x14ac:dyDescent="0.25">
      <c r="O11" s="11" t="s">
        <v>176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</row>
    <row r="21" spans="1:13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</row>
    <row r="22" spans="1:13" x14ac:dyDescent="0.25">
      <c r="A22" t="s">
        <v>340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</row>
    <row r="23" spans="1:13" x14ac:dyDescent="0.25">
      <c r="B23" s="184"/>
      <c r="C23" s="10"/>
      <c r="D23" s="193"/>
      <c r="E23" s="39"/>
      <c r="F23" s="227"/>
      <c r="G23" s="39"/>
      <c r="H23" s="223"/>
      <c r="I23" s="39"/>
    </row>
    <row r="24" spans="1:13" x14ac:dyDescent="0.25">
      <c r="B24" s="184"/>
      <c r="C24" s="10"/>
      <c r="D24" s="193"/>
      <c r="E24" s="39"/>
      <c r="F24" s="227"/>
      <c r="G24" s="39"/>
      <c r="H24" s="223"/>
      <c r="I24" s="39"/>
    </row>
    <row r="25" spans="1:13" x14ac:dyDescent="0.25">
      <c r="B25" s="184"/>
      <c r="C25" s="10"/>
      <c r="D25" s="193"/>
      <c r="E25" s="39"/>
      <c r="F25" s="227"/>
      <c r="G25" s="39"/>
      <c r="H25" s="223"/>
      <c r="I25" s="39"/>
    </row>
    <row r="26" spans="1:13" x14ac:dyDescent="0.25">
      <c r="B26" s="184"/>
      <c r="C26" s="10"/>
      <c r="D26" s="193"/>
      <c r="E26" s="39"/>
      <c r="F26" s="227"/>
      <c r="G26" s="39"/>
      <c r="H26" s="223"/>
      <c r="I26" s="39"/>
    </row>
    <row r="27" spans="1:13" x14ac:dyDescent="0.25">
      <c r="B27" s="184"/>
      <c r="C27" s="10"/>
      <c r="D27" s="193"/>
      <c r="E27" s="39"/>
      <c r="F27" s="227"/>
      <c r="G27" s="39"/>
      <c r="H27" s="223"/>
      <c r="I27" s="39"/>
    </row>
    <row r="28" spans="1:13" x14ac:dyDescent="0.25">
      <c r="B28" s="184"/>
      <c r="C28" s="10"/>
      <c r="D28" s="193"/>
      <c r="E28" s="39"/>
      <c r="F28" s="227"/>
      <c r="G28" s="39"/>
      <c r="H28" s="223"/>
      <c r="I28" s="39"/>
    </row>
    <row r="29" spans="1:13" x14ac:dyDescent="0.25">
      <c r="B29" s="184"/>
      <c r="C29" s="10"/>
      <c r="D29" s="193"/>
      <c r="E29" s="39"/>
      <c r="F29" s="227"/>
      <c r="G29" s="39"/>
      <c r="H29" s="223"/>
      <c r="I29" s="39"/>
    </row>
    <row r="30" spans="1:13" x14ac:dyDescent="0.25">
      <c r="B30" s="184"/>
      <c r="C30" s="10"/>
      <c r="D30" s="193"/>
      <c r="E30" s="39"/>
      <c r="F30" s="227"/>
      <c r="G30" s="39"/>
      <c r="H30" s="223"/>
      <c r="I30" s="39"/>
    </row>
    <row r="31" spans="1:13" x14ac:dyDescent="0.25">
      <c r="B31" s="184"/>
      <c r="C31" s="10"/>
      <c r="D31" s="193"/>
      <c r="E31" s="39"/>
      <c r="F31" s="227"/>
      <c r="G31" s="39"/>
      <c r="H31" s="223"/>
      <c r="I31" s="39"/>
    </row>
    <row r="32" spans="1:13" x14ac:dyDescent="0.25">
      <c r="B32" s="184"/>
      <c r="C32" s="10"/>
      <c r="D32" s="193"/>
      <c r="E32" s="39"/>
      <c r="F32" s="227"/>
      <c r="G32" s="39"/>
      <c r="H32" s="223"/>
      <c r="I32" s="39"/>
    </row>
    <row r="33" spans="1:21" x14ac:dyDescent="0.25">
      <c r="B33" s="184"/>
      <c r="C33" s="10"/>
      <c r="D33" s="193"/>
      <c r="E33" s="39"/>
      <c r="F33" s="227"/>
      <c r="G33" s="39"/>
      <c r="H33" s="223"/>
      <c r="I33" s="39"/>
    </row>
    <row r="34" spans="1:21" x14ac:dyDescent="0.25">
      <c r="B34" s="184"/>
      <c r="C34" s="10"/>
      <c r="D34" s="193"/>
      <c r="E34" s="39"/>
      <c r="F34" s="227"/>
      <c r="G34" s="39"/>
      <c r="H34" s="223"/>
      <c r="I34" s="39"/>
    </row>
    <row r="35" spans="1:21" x14ac:dyDescent="0.25">
      <c r="B35" s="184"/>
      <c r="C35" s="10"/>
      <c r="D35" s="193"/>
      <c r="E35" s="39"/>
      <c r="F35" s="227"/>
      <c r="G35" s="39"/>
      <c r="H35" s="223"/>
      <c r="I35" s="39"/>
    </row>
    <row r="36" spans="1:21" x14ac:dyDescent="0.25">
      <c r="B36" s="184"/>
      <c r="C36" s="10"/>
      <c r="D36" s="193"/>
      <c r="E36" s="39"/>
      <c r="F36" s="227"/>
      <c r="G36" s="39"/>
      <c r="H36" s="223"/>
      <c r="I36" s="39"/>
    </row>
    <row r="37" spans="1:21" x14ac:dyDescent="0.25">
      <c r="B37" s="72"/>
      <c r="C37" s="4"/>
      <c r="D37" s="554"/>
      <c r="E37" s="3"/>
      <c r="F37" s="3"/>
      <c r="G37" s="3"/>
      <c r="H37" s="224"/>
      <c r="I37" s="3"/>
    </row>
    <row r="38" spans="1:21" x14ac:dyDescent="0.25">
      <c r="B38" s="72"/>
      <c r="C38" s="4"/>
      <c r="D38" s="554"/>
      <c r="E38" s="3"/>
      <c r="F38" s="3"/>
      <c r="G38" s="3"/>
      <c r="H38" s="224"/>
      <c r="I38" s="3"/>
    </row>
    <row r="40" spans="1:21" ht="20.25" thickBot="1" x14ac:dyDescent="0.35">
      <c r="O40" s="859" t="s">
        <v>78</v>
      </c>
      <c r="P40" s="859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46.893000000000008</v>
      </c>
      <c r="Q41" s="2"/>
    </row>
    <row r="42" spans="1:2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0">O42*$Q$4</f>
        <v>46.466700000000003</v>
      </c>
      <c r="Q42" s="2"/>
      <c r="T42" s="89" t="s">
        <v>112</v>
      </c>
    </row>
    <row r="43" spans="1:21" ht="15.75" thickTop="1" x14ac:dyDescent="0.25">
      <c r="A43" s="371" t="s">
        <v>309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0"/>
        <v>46.040400000000005</v>
      </c>
      <c r="Q43" s="2"/>
      <c r="T43" s="125" t="s">
        <v>97</v>
      </c>
      <c r="U43" s="126">
        <v>37.69</v>
      </c>
    </row>
    <row r="44" spans="1:2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0"/>
        <v>45.614100000000008</v>
      </c>
      <c r="Q44" s="2"/>
      <c r="T44" s="91" t="s">
        <v>98</v>
      </c>
      <c r="U44" s="127">
        <v>37.67</v>
      </c>
    </row>
    <row r="45" spans="1:2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0"/>
        <v>45.187800000000003</v>
      </c>
      <c r="Q45" s="2"/>
      <c r="T45" s="91" t="s">
        <v>99</v>
      </c>
      <c r="U45" s="127" t="s">
        <v>128</v>
      </c>
    </row>
    <row r="46" spans="1:2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0"/>
        <v>44.761500000000005</v>
      </c>
      <c r="Q46" s="2"/>
      <c r="T46" s="91" t="s">
        <v>100</v>
      </c>
      <c r="U46" s="127" t="s">
        <v>128</v>
      </c>
    </row>
    <row r="47" spans="1:2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0"/>
        <v>44.335200000000007</v>
      </c>
      <c r="Q47" s="2"/>
      <c r="T47" s="91" t="s">
        <v>101</v>
      </c>
      <c r="U47" s="127">
        <v>41.2</v>
      </c>
    </row>
    <row r="48" spans="1:2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0"/>
        <v>43.908900000000003</v>
      </c>
      <c r="Q48" s="2"/>
      <c r="T48" s="91" t="s">
        <v>102</v>
      </c>
      <c r="U48" s="127">
        <v>0.90102199999999999</v>
      </c>
    </row>
    <row r="49" spans="1:2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0"/>
        <v>43.482600000000005</v>
      </c>
      <c r="Q49" s="2"/>
      <c r="T49" s="91" t="s">
        <v>103</v>
      </c>
      <c r="U49" s="127" t="s">
        <v>561</v>
      </c>
    </row>
    <row r="50" spans="1:2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0"/>
        <v>43.0563</v>
      </c>
      <c r="Q50" s="2"/>
      <c r="T50" s="91"/>
      <c r="U50" s="127"/>
    </row>
    <row r="51" spans="1:2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0"/>
        <v>42.63</v>
      </c>
      <c r="Q51" s="2"/>
      <c r="T51" s="91" t="s">
        <v>104</v>
      </c>
      <c r="U51" s="127" t="s">
        <v>562</v>
      </c>
    </row>
    <row r="52" spans="1:2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0"/>
        <v>42.203700000000005</v>
      </c>
      <c r="Q52" s="2"/>
      <c r="T52" s="91" t="s">
        <v>105</v>
      </c>
      <c r="U52" s="127" t="s">
        <v>310</v>
      </c>
    </row>
    <row r="53" spans="1:2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0"/>
        <v>41.7774</v>
      </c>
      <c r="Q53" s="2"/>
      <c r="T53" s="91" t="s">
        <v>106</v>
      </c>
      <c r="U53" s="128">
        <v>1471133</v>
      </c>
    </row>
    <row r="54" spans="1:2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0"/>
        <v>41.351100000000002</v>
      </c>
      <c r="T54" s="91" t="s">
        <v>109</v>
      </c>
      <c r="U54" s="128">
        <v>1550960</v>
      </c>
    </row>
    <row r="55" spans="1:2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0"/>
        <v>40.924799999999998</v>
      </c>
      <c r="T55" s="91" t="s">
        <v>107</v>
      </c>
      <c r="U55" s="127" t="s">
        <v>563</v>
      </c>
    </row>
    <row r="56" spans="1:2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0"/>
        <v>40.4985</v>
      </c>
      <c r="T56" s="91" t="s">
        <v>110</v>
      </c>
      <c r="U56" s="127">
        <v>24.49</v>
      </c>
    </row>
    <row r="57" spans="1:2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0"/>
        <v>40.072200000000002</v>
      </c>
      <c r="T57" s="91" t="s">
        <v>111</v>
      </c>
      <c r="U57" s="127">
        <v>1.53</v>
      </c>
    </row>
    <row r="58" spans="1:2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0"/>
        <v>39.645900000000005</v>
      </c>
      <c r="T58" s="91" t="s">
        <v>108</v>
      </c>
      <c r="U58" s="127" t="s">
        <v>498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39.219600000000007</v>
      </c>
    </row>
    <row r="60" spans="1:2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0"/>
        <v>38.793300000000002</v>
      </c>
    </row>
    <row r="61" spans="1:21" x14ac:dyDescent="0.25">
      <c r="O61" s="81">
        <v>0.9</v>
      </c>
      <c r="P61" s="81">
        <f t="shared" si="0"/>
        <v>38.367000000000004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</row>
    <row r="69" spans="1:2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</row>
    <row r="70" spans="1:2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2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321" priority="27">
      <formula>F27&gt;0</formula>
    </cfRule>
    <cfRule type="expression" dxfId="2320" priority="28">
      <formula>F27&lt;0</formula>
    </cfRule>
  </conditionalFormatting>
  <conditionalFormatting sqref="Q8">
    <cfRule type="expression" dxfId="2319" priority="15">
      <formula>Q8&gt;0</formula>
    </cfRule>
    <cfRule type="expression" dxfId="2318" priority="16">
      <formula>Q8&lt;0</formula>
    </cfRule>
  </conditionalFormatting>
  <conditionalFormatting sqref="Q7">
    <cfRule type="expression" dxfId="2317" priority="17">
      <formula>Q7&gt;0</formula>
    </cfRule>
    <cfRule type="expression" dxfId="2316" priority="18">
      <formula>Q7&lt;0</formula>
    </cfRule>
  </conditionalFormatting>
  <conditionalFormatting sqref="F37:F38">
    <cfRule type="expression" dxfId="2315" priority="13">
      <formula>F37&gt;0</formula>
    </cfRule>
    <cfRule type="expression" dxfId="2314" priority="14">
      <formula>F37&lt;0</formula>
    </cfRule>
  </conditionalFormatting>
  <conditionalFormatting sqref="H37:H38">
    <cfRule type="expression" dxfId="2313" priority="11">
      <formula>H37&gt;0</formula>
    </cfRule>
    <cfRule type="expression" dxfId="2312" priority="12">
      <formula>H37&lt;0</formula>
    </cfRule>
  </conditionalFormatting>
  <conditionalFormatting sqref="F23:F26 H23:H26">
    <cfRule type="expression" dxfId="2311" priority="9">
      <formula>F23&gt;0</formula>
    </cfRule>
    <cfRule type="expression" dxfId="2310" priority="10">
      <formula>F23&lt;0</formula>
    </cfRule>
  </conditionalFormatting>
  <conditionalFormatting sqref="Q10">
    <cfRule type="expression" dxfId="2309" priority="3">
      <formula>Q10&gt;0</formula>
    </cfRule>
    <cfRule type="expression" dxfId="2308" priority="4">
      <formula>Q10&lt;0</formula>
    </cfRule>
  </conditionalFormatting>
  <conditionalFormatting sqref="F22 H22">
    <cfRule type="expression" dxfId="2307" priority="1">
      <formula>F22&gt;0</formula>
    </cfRule>
    <cfRule type="expression" dxfId="2306" priority="2">
      <formula>F22&lt;0</formula>
    </cfRule>
  </conditionalFormatting>
  <conditionalFormatting sqref="M41">
    <cfRule type="expression" dxfId="2305" priority="5">
      <formula>M41&gt;0</formula>
    </cfRule>
    <cfRule type="expression" dxfId="2304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59.53</v>
      </c>
      <c r="T3" s="1"/>
      <c r="W3" s="130">
        <v>42830</v>
      </c>
      <c r="X3" s="10" t="s">
        <v>322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59.53</v>
      </c>
      <c r="R4" s="475">
        <v>-1.0500000000000001E-2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9" t="s">
        <v>78</v>
      </c>
      <c r="P40" s="859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65.483000000000004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64.887700000000009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64.292400000000001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63.697100000000006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63.101800000000004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62.506500000000003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61.911200000000001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295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61.315900000000006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60.720600000000005</v>
      </c>
      <c r="Q49" s="2"/>
      <c r="T49" s="91" t="s">
        <v>103</v>
      </c>
      <c r="U49" s="127" t="s">
        <v>470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60.125300000000003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59.53</v>
      </c>
      <c r="Q51" s="2"/>
      <c r="T51" s="91" t="s">
        <v>104</v>
      </c>
      <c r="U51" s="127" t="s">
        <v>564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58.934699999999999</v>
      </c>
      <c r="Q52" s="2"/>
      <c r="T52" s="91" t="s">
        <v>105</v>
      </c>
      <c r="U52" s="127" t="s">
        <v>359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58.339399999999998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57.744099999999996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57.148800000000001</v>
      </c>
      <c r="T55" s="91" t="s">
        <v>107</v>
      </c>
      <c r="U55" s="127" t="s">
        <v>565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56.5535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55.958199999999998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55.362900000000003</v>
      </c>
      <c r="T58" s="91" t="s">
        <v>108</v>
      </c>
      <c r="U58" s="127" t="s">
        <v>528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54.767600000000002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54.1723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53.577000000000005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329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339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356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356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379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414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430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447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303" priority="29">
      <formula>F25&gt;0</formula>
    </cfRule>
    <cfRule type="expression" dxfId="2302" priority="30">
      <formula>F25&lt;0</formula>
    </cfRule>
  </conditionalFormatting>
  <conditionalFormatting sqref="Q7">
    <cfRule type="expression" dxfId="2301" priority="27">
      <formula>Q7&gt;0</formula>
    </cfRule>
    <cfRule type="expression" dxfId="2300" priority="28">
      <formula>Q7&lt;0</formula>
    </cfRule>
  </conditionalFormatting>
  <conditionalFormatting sqref="Q8">
    <cfRule type="expression" dxfId="2299" priority="25">
      <formula>Q8&gt;0</formula>
    </cfRule>
    <cfRule type="expression" dxfId="2298" priority="26">
      <formula>Q8&lt;0</formula>
    </cfRule>
  </conditionalFormatting>
  <conditionalFormatting sqref="Q10">
    <cfRule type="expression" dxfId="2297" priority="13">
      <formula>Q10&gt;0</formula>
    </cfRule>
    <cfRule type="expression" dxfId="2296" priority="14">
      <formula>Q10&lt;0</formula>
    </cfRule>
  </conditionalFormatting>
  <conditionalFormatting sqref="M46">
    <cfRule type="expression" dxfId="2295" priority="11">
      <formula>M46&gt;0</formula>
    </cfRule>
    <cfRule type="expression" dxfId="2294" priority="12">
      <formula>M46&lt;0</formula>
    </cfRule>
  </conditionalFormatting>
  <conditionalFormatting sqref="F80:F88 H80:H88">
    <cfRule type="expression" dxfId="2293" priority="9">
      <formula>F80&gt;0</formula>
    </cfRule>
    <cfRule type="expression" dxfId="2292" priority="10">
      <formula>F80&lt;0</formula>
    </cfRule>
  </conditionalFormatting>
  <conditionalFormatting sqref="F75:F79">
    <cfRule type="expression" dxfId="2291" priority="7">
      <formula>F75&gt;0</formula>
    </cfRule>
    <cfRule type="expression" dxfId="2290" priority="8">
      <formula>F75&lt;0</formula>
    </cfRule>
  </conditionalFormatting>
  <conditionalFormatting sqref="H75:H79">
    <cfRule type="expression" dxfId="2289" priority="5">
      <formula>H75&gt;0</formula>
    </cfRule>
    <cfRule type="expression" dxfId="2288" priority="6">
      <formula>H75&lt;0</formula>
    </cfRule>
  </conditionalFormatting>
  <conditionalFormatting sqref="F71:F74">
    <cfRule type="expression" dxfId="2287" priority="3">
      <formula>F71&gt;0</formula>
    </cfRule>
    <cfRule type="expression" dxfId="2286" priority="4">
      <formula>F71&lt;0</formula>
    </cfRule>
  </conditionalFormatting>
  <conditionalFormatting sqref="H71:H74">
    <cfRule type="expression" dxfId="2285" priority="1">
      <formula>H71&gt;0</formula>
    </cfRule>
    <cfRule type="expression" dxfId="2284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31.18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31.18</v>
      </c>
      <c r="R4" s="495">
        <v>9.4000000000000004E-3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9" t="s">
        <v>78</v>
      </c>
      <c r="P40" s="85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34.298000000000002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33.986200000000004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33.674399999999999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33.3626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33.050800000000002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32.739000000000004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32.427199999999999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32.115400000000001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31.803599999999999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31.491800000000001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31.18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30.868199999999998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30.5564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30.244599999999998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29.9328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29.620999999999999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29.309199999999997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28.997400000000003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28.685600000000001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28.373799999999999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28.062000000000001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673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283" priority="21">
      <formula>F47&gt;0</formula>
    </cfRule>
    <cfRule type="expression" dxfId="2282" priority="22">
      <formula>F47&lt;0</formula>
    </cfRule>
  </conditionalFormatting>
  <conditionalFormatting sqref="Q7">
    <cfRule type="expression" dxfId="2281" priority="19">
      <formula>Q7&gt;0</formula>
    </cfRule>
    <cfRule type="expression" dxfId="2280" priority="20">
      <formula>Q7&lt;0</formula>
    </cfRule>
  </conditionalFormatting>
  <conditionalFormatting sqref="Q8">
    <cfRule type="expression" dxfId="2279" priority="17">
      <formula>Q8&gt;0</formula>
    </cfRule>
    <cfRule type="expression" dxfId="2278" priority="18">
      <formula>Q8&lt;0</formula>
    </cfRule>
  </conditionalFormatting>
  <conditionalFormatting sqref="F25:F46">
    <cfRule type="expression" dxfId="2277" priority="15">
      <formula>F25&gt;0</formula>
    </cfRule>
    <cfRule type="expression" dxfId="2276" priority="16">
      <formula>F25&lt;0</formula>
    </cfRule>
  </conditionalFormatting>
  <conditionalFormatting sqref="H25:H46">
    <cfRule type="expression" dxfId="2275" priority="13">
      <formula>H25&gt;0</formula>
    </cfRule>
    <cfRule type="expression" dxfId="2274" priority="14">
      <formula>H25&lt;0</formula>
    </cfRule>
  </conditionalFormatting>
  <conditionalFormatting sqref="F89:F110">
    <cfRule type="expression" dxfId="2273" priority="11">
      <formula>F89&gt;0</formula>
    </cfRule>
    <cfRule type="expression" dxfId="2272" priority="12">
      <formula>F89&lt;0</formula>
    </cfRule>
  </conditionalFormatting>
  <conditionalFormatting sqref="H89:H110">
    <cfRule type="expression" dxfId="2271" priority="9">
      <formula>H89&gt;0</formula>
    </cfRule>
    <cfRule type="expression" dxfId="2270" priority="10">
      <formula>H89&lt;0</formula>
    </cfRule>
  </conditionalFormatting>
  <conditionalFormatting sqref="Q10">
    <cfRule type="expression" dxfId="2269" priority="7">
      <formula>Q10&gt;0</formula>
    </cfRule>
    <cfRule type="expression" dxfId="2268" priority="8">
      <formula>Q10&lt;0</formula>
    </cfRule>
  </conditionalFormatting>
  <conditionalFormatting sqref="J25:J38">
    <cfRule type="expression" dxfId="2267" priority="5">
      <formula>J25&gt;0</formula>
    </cfRule>
    <cfRule type="expression" dxfId="2266" priority="6">
      <formula>J25&lt;0</formula>
    </cfRule>
  </conditionalFormatting>
  <conditionalFormatting sqref="K25:K38">
    <cfRule type="expression" dxfId="2265" priority="3">
      <formula>K25&gt;0</formula>
    </cfRule>
    <cfRule type="expression" dxfId="2264" priority="4">
      <formula>K25&lt;0</formula>
    </cfRule>
  </conditionalFormatting>
  <conditionalFormatting sqref="L25:L38">
    <cfRule type="expression" dxfId="2263" priority="1">
      <formula>L25&gt;0</formula>
    </cfRule>
    <cfRule type="expression" dxfId="226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76.84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76.84</v>
      </c>
      <c r="R4" s="475">
        <v>2.8999999999999998E-3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9" t="s">
        <v>78</v>
      </c>
      <c r="P40" s="85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84.524000000000015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83.755600000000015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82.987200000000016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82.218800000000002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81.450400000000002</v>
      </c>
      <c r="Q45" s="2"/>
      <c r="T45" s="91" t="s">
        <v>99</v>
      </c>
      <c r="U45" s="127" t="s">
        <v>566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80.682000000000002</v>
      </c>
      <c r="Q46" s="2"/>
      <c r="T46" s="91" t="s">
        <v>100</v>
      </c>
      <c r="U46" s="127" t="s">
        <v>567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79.913600000000002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244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79.145200000000003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78.376800000000003</v>
      </c>
      <c r="Q49" s="2"/>
      <c r="T49" s="91" t="s">
        <v>121</v>
      </c>
      <c r="U49" s="127" t="s">
        <v>381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77.608400000000003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76.84</v>
      </c>
      <c r="Q51" s="2"/>
      <c r="T51" s="91" t="s">
        <v>104</v>
      </c>
      <c r="U51" s="127" t="s">
        <v>568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76.071600000000004</v>
      </c>
      <c r="Q52" s="2"/>
      <c r="T52" s="91" t="s">
        <v>105</v>
      </c>
      <c r="U52" s="127" t="s">
        <v>411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75.303200000000004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74.534800000000004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73.766400000000004</v>
      </c>
      <c r="T55" s="91" t="s">
        <v>107</v>
      </c>
      <c r="U55" s="127" t="s">
        <v>569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72.998000000000005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72.229600000000005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71.461200000000005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70.692800000000005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69.924400000000006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69.156000000000006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245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248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261" priority="23">
      <formula>F34&gt;0</formula>
    </cfRule>
    <cfRule type="expression" dxfId="2260" priority="24">
      <formula>F34&lt;0</formula>
    </cfRule>
  </conditionalFormatting>
  <conditionalFormatting sqref="Q7">
    <cfRule type="expression" dxfId="2259" priority="21">
      <formula>Q7&gt;0</formula>
    </cfRule>
    <cfRule type="expression" dxfId="2258" priority="22">
      <formula>Q7&lt;0</formula>
    </cfRule>
  </conditionalFormatting>
  <conditionalFormatting sqref="Q8">
    <cfRule type="expression" dxfId="2257" priority="19">
      <formula>Q8&gt;0</formula>
    </cfRule>
    <cfRule type="expression" dxfId="2256" priority="20">
      <formula>Q8&lt;0</formula>
    </cfRule>
  </conditionalFormatting>
  <conditionalFormatting sqref="F25:F33">
    <cfRule type="expression" dxfId="2255" priority="17">
      <formula>F25&gt;0</formula>
    </cfRule>
    <cfRule type="expression" dxfId="2254" priority="18">
      <formula>F25&lt;0</formula>
    </cfRule>
  </conditionalFormatting>
  <conditionalFormatting sqref="H25:H33">
    <cfRule type="expression" dxfId="2253" priority="15">
      <formula>H25&gt;0</formula>
    </cfRule>
    <cfRule type="expression" dxfId="2252" priority="16">
      <formula>H25&lt;0</formula>
    </cfRule>
  </conditionalFormatting>
  <conditionalFormatting sqref="M46">
    <cfRule type="expression" dxfId="2251" priority="13">
      <formula>M46&gt;0</formula>
    </cfRule>
    <cfRule type="expression" dxfId="2250" priority="14">
      <formula>M46&lt;0</formula>
    </cfRule>
  </conditionalFormatting>
  <conditionalFormatting sqref="F79:F87 H79:H87">
    <cfRule type="expression" dxfId="2249" priority="11">
      <formula>F79&gt;0</formula>
    </cfRule>
    <cfRule type="expression" dxfId="2248" priority="12">
      <formula>F79&lt;0</formula>
    </cfRule>
  </conditionalFormatting>
  <conditionalFormatting sqref="F70:F78">
    <cfRule type="expression" dxfId="2247" priority="9">
      <formula>F70&gt;0</formula>
    </cfRule>
    <cfRule type="expression" dxfId="2246" priority="10">
      <formula>F70&lt;0</formula>
    </cfRule>
  </conditionalFormatting>
  <conditionalFormatting sqref="H70:H78">
    <cfRule type="expression" dxfId="2245" priority="7">
      <formula>H70&gt;0</formula>
    </cfRule>
    <cfRule type="expression" dxfId="2244" priority="8">
      <formula>H70&lt;0</formula>
    </cfRule>
  </conditionalFormatting>
  <conditionalFormatting sqref="J27:K27 J30:K30 J33:K33 J36:K36 J39:K39 J42:K42">
    <cfRule type="expression" dxfId="2243" priority="5">
      <formula>J27&gt;0</formula>
    </cfRule>
    <cfRule type="expression" dxfId="2242" priority="6">
      <formula>J27&lt;0</formula>
    </cfRule>
  </conditionalFormatting>
  <conditionalFormatting sqref="J28:K29 J31:K32 J34:K35 J37:K38 J40:K41">
    <cfRule type="expression" dxfId="2241" priority="3">
      <formula>J28&gt;0</formula>
    </cfRule>
    <cfRule type="expression" dxfId="2240" priority="4">
      <formula>J28&lt;0</formula>
    </cfRule>
  </conditionalFormatting>
  <conditionalFormatting sqref="L27:L42">
    <cfRule type="expression" dxfId="2239" priority="1">
      <formula>L27&gt;0</formula>
    </cfRule>
    <cfRule type="expression" dxfId="2238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P53" sqref="P5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652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20.77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20.77</v>
      </c>
      <c r="R4" s="475">
        <v>-7.1999999999999998E-3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9" t="s">
        <v>78</v>
      </c>
      <c r="P40" s="859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22.847000000000001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22.639300000000002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22.4316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22.2239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22.016200000000001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21.808500000000002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21.6008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21.3931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21.185400000000001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20.977699999999999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20.77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20.5623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20.354599999999998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20.146899999999999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19.9392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19.731499999999997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19.523799999999998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19.316100000000002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19.1084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18.900700000000001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18.693000000000001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652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237" priority="9">
      <formula>F57&gt;0</formula>
    </cfRule>
    <cfRule type="expression" dxfId="2236" priority="10">
      <formula>F57&lt;0</formula>
    </cfRule>
  </conditionalFormatting>
  <conditionalFormatting sqref="Q7">
    <cfRule type="expression" dxfId="2235" priority="7">
      <formula>Q7&gt;0</formula>
    </cfRule>
    <cfRule type="expression" dxfId="2234" priority="8">
      <formula>Q7&lt;0</formula>
    </cfRule>
  </conditionalFormatting>
  <conditionalFormatting sqref="Q8">
    <cfRule type="expression" dxfId="2233" priority="5">
      <formula>Q8&gt;0</formula>
    </cfRule>
    <cfRule type="expression" dxfId="2232" priority="6">
      <formula>Q8&lt;0</formula>
    </cfRule>
  </conditionalFormatting>
  <conditionalFormatting sqref="F25:F56">
    <cfRule type="expression" dxfId="2231" priority="3">
      <formula>F25&gt;0</formula>
    </cfRule>
    <cfRule type="expression" dxfId="2230" priority="4">
      <formula>F25&lt;0</formula>
    </cfRule>
  </conditionalFormatting>
  <conditionalFormatting sqref="H25:H56">
    <cfRule type="expression" dxfId="2229" priority="1">
      <formula>H25&gt;0</formula>
    </cfRule>
    <cfRule type="expression" dxfId="2228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1124</v>
      </c>
      <c r="B2" s="72">
        <v>43278</v>
      </c>
      <c r="C2" s="4">
        <v>100</v>
      </c>
      <c r="D2" s="3">
        <v>51.18</v>
      </c>
      <c r="E2" s="3">
        <v>0</v>
      </c>
      <c r="F2" s="3">
        <f>C2*D2+E2</f>
        <v>5118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51.18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52.239899999999999</v>
      </c>
      <c r="R4" s="495">
        <v>-2.12E-2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5223.99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5118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105.98999999999978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105.98999999999978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2.0709261430246147E-2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3.3690722991429924E-2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5118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>C25*(E25-D25)</f>
        <v>7.0000000000000284</v>
      </c>
      <c r="G25" s="39">
        <f>D25*C25</f>
        <v>5118</v>
      </c>
      <c r="H25" s="222">
        <f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>
        <v>43312</v>
      </c>
      <c r="C26" s="10">
        <v>100</v>
      </c>
      <c r="D26" s="39">
        <v>51.18</v>
      </c>
      <c r="E26" s="39">
        <v>54.1</v>
      </c>
      <c r="F26" s="39">
        <f>C26*(E26-D26)</f>
        <v>292.00000000000017</v>
      </c>
      <c r="G26" s="39">
        <f>D26*C26</f>
        <v>5118</v>
      </c>
      <c r="H26" s="222">
        <f>(E26-D26)/D26</f>
        <v>5.705353653771008E-2</v>
      </c>
      <c r="I26" s="39"/>
      <c r="J26" s="39"/>
      <c r="K26" s="39"/>
      <c r="L26" s="39"/>
    </row>
    <row r="27" spans="1:13" x14ac:dyDescent="0.25">
      <c r="B27" s="184">
        <v>43316</v>
      </c>
      <c r="C27" s="10">
        <v>100</v>
      </c>
      <c r="D27" s="39">
        <v>51.18</v>
      </c>
      <c r="E27" s="39">
        <v>53.45</v>
      </c>
      <c r="F27" s="39">
        <f>C27*(E27-D27)</f>
        <v>227.00000000000031</v>
      </c>
      <c r="G27" s="39">
        <f>D27*C27</f>
        <v>5118</v>
      </c>
      <c r="H27" s="222">
        <f>(E27-D27)/D27</f>
        <v>4.4353262993356839E-2</v>
      </c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9" t="s">
        <v>78</v>
      </c>
      <c r="P40" s="859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57.463890000000006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56.941490999999999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56.419091999999999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55.896692999999999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55.374293999999999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54.851894999999999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54.329495999999999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53.807096999999999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53.284697999999999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52.762298999999999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52.239899999999999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51.717500999999999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51.195101999999999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50.672702999999998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50.150303999999998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49.627904999999998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49.105505999999998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48.583106999999998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48.060707999999998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47.538308999999998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47.015909999999998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27" priority="35">
      <formula>F47&gt;0</formula>
    </cfRule>
    <cfRule type="expression" dxfId="2226" priority="36">
      <formula>F47&lt;0</formula>
    </cfRule>
  </conditionalFormatting>
  <conditionalFormatting sqref="Q7">
    <cfRule type="expression" dxfId="2225" priority="33">
      <formula>Q7&gt;0</formula>
    </cfRule>
    <cfRule type="expression" dxfId="2224" priority="34">
      <formula>Q7&lt;0</formula>
    </cfRule>
  </conditionalFormatting>
  <conditionalFormatting sqref="Q8">
    <cfRule type="expression" dxfId="2223" priority="31">
      <formula>Q8&gt;0</formula>
    </cfRule>
    <cfRule type="expression" dxfId="2222" priority="32">
      <formula>Q8&lt;0</formula>
    </cfRule>
  </conditionalFormatting>
  <conditionalFormatting sqref="F30:F46">
    <cfRule type="expression" dxfId="2221" priority="29">
      <formula>F30&gt;0</formula>
    </cfRule>
    <cfRule type="expression" dxfId="2220" priority="30">
      <formula>F30&lt;0</formula>
    </cfRule>
  </conditionalFormatting>
  <conditionalFormatting sqref="H30:H46">
    <cfRule type="expression" dxfId="2219" priority="27">
      <formula>H30&gt;0</formula>
    </cfRule>
    <cfRule type="expression" dxfId="2218" priority="28">
      <formula>H30&lt;0</formula>
    </cfRule>
  </conditionalFormatting>
  <conditionalFormatting sqref="Q10">
    <cfRule type="expression" dxfId="2217" priority="25">
      <formula>Q10&gt;0</formula>
    </cfRule>
    <cfRule type="expression" dxfId="2216" priority="26">
      <formula>Q10&lt;0</formula>
    </cfRule>
  </conditionalFormatting>
  <conditionalFormatting sqref="J27:J38">
    <cfRule type="expression" dxfId="2215" priority="23">
      <formula>J27&gt;0</formula>
    </cfRule>
    <cfRule type="expression" dxfId="2214" priority="24">
      <formula>J27&lt;0</formula>
    </cfRule>
  </conditionalFormatting>
  <conditionalFormatting sqref="K27:K38">
    <cfRule type="expression" dxfId="2213" priority="21">
      <formula>K27&gt;0</formula>
    </cfRule>
    <cfRule type="expression" dxfId="2212" priority="22">
      <formula>K27&lt;0</formula>
    </cfRule>
  </conditionalFormatting>
  <conditionalFormatting sqref="L27:L38">
    <cfRule type="expression" dxfId="2211" priority="19">
      <formula>L27&gt;0</formula>
    </cfRule>
    <cfRule type="expression" dxfId="2210" priority="20">
      <formula>L27&lt;0</formula>
    </cfRule>
  </conditionalFormatting>
  <conditionalFormatting sqref="F89:F110">
    <cfRule type="expression" dxfId="2209" priority="17">
      <formula>F89&gt;0</formula>
    </cfRule>
    <cfRule type="expression" dxfId="2208" priority="18">
      <formula>F89&lt;0</formula>
    </cfRule>
  </conditionalFormatting>
  <conditionalFormatting sqref="H89:H110">
    <cfRule type="expression" dxfId="2207" priority="15">
      <formula>H89&gt;0</formula>
    </cfRule>
    <cfRule type="expression" dxfId="2206" priority="16">
      <formula>H89&lt;0</formula>
    </cfRule>
  </conditionalFormatting>
  <conditionalFormatting sqref="J89:J102">
    <cfRule type="expression" dxfId="2205" priority="13">
      <formula>J89&gt;0</formula>
    </cfRule>
    <cfRule type="expression" dxfId="2204" priority="14">
      <formula>J89&lt;0</formula>
    </cfRule>
  </conditionalFormatting>
  <conditionalFormatting sqref="K89:K102">
    <cfRule type="expression" dxfId="2203" priority="11">
      <formula>K89&gt;0</formula>
    </cfRule>
    <cfRule type="expression" dxfId="2202" priority="12">
      <formula>K89&lt;0</formula>
    </cfRule>
  </conditionalFormatting>
  <conditionalFormatting sqref="L89:L102">
    <cfRule type="expression" dxfId="2201" priority="9">
      <formula>L89&gt;0</formula>
    </cfRule>
    <cfRule type="expression" dxfId="2200" priority="10">
      <formula>L89&lt;0</formula>
    </cfRule>
  </conditionalFormatting>
  <conditionalFormatting sqref="F28:F29">
    <cfRule type="expression" dxfId="2199" priority="7">
      <formula>F28&gt;0</formula>
    </cfRule>
    <cfRule type="expression" dxfId="2198" priority="8">
      <formula>F28&lt;0</formula>
    </cfRule>
  </conditionalFormatting>
  <conditionalFormatting sqref="H28:H29">
    <cfRule type="expression" dxfId="2197" priority="5">
      <formula>H28&gt;0</formula>
    </cfRule>
    <cfRule type="expression" dxfId="2196" priority="6">
      <formula>H28&lt;0</formula>
    </cfRule>
  </conditionalFormatting>
  <conditionalFormatting sqref="F25:F27 H25:H27">
    <cfRule type="expression" dxfId="2195" priority="1">
      <formula>F25&gt;0</formula>
    </cfRule>
    <cfRule type="expression" dxfId="2194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74">
        <v>43300</v>
      </c>
      <c r="C2" s="4">
        <v>100</v>
      </c>
      <c r="D2" s="3">
        <v>64.88</v>
      </c>
      <c r="E2" s="3">
        <v>0</v>
      </c>
      <c r="F2" s="3">
        <f>C2*D2+E2</f>
        <v>6488</v>
      </c>
      <c r="G2" s="72"/>
      <c r="H2" s="4"/>
      <c r="I2" s="3"/>
      <c r="J2" s="3"/>
      <c r="K2" s="3"/>
      <c r="L2" s="72">
        <v>43313</v>
      </c>
      <c r="M2" s="43">
        <v>50</v>
      </c>
      <c r="O2" s="11" t="s">
        <v>57</v>
      </c>
      <c r="Q2">
        <f>C18-H18</f>
        <v>150</v>
      </c>
      <c r="T2" s="1" t="s">
        <v>1122</v>
      </c>
      <c r="U2" t="s">
        <v>1244</v>
      </c>
    </row>
    <row r="3" spans="1:21" x14ac:dyDescent="0.25">
      <c r="A3" s="22" t="s">
        <v>71</v>
      </c>
      <c r="B3" s="474">
        <v>43313</v>
      </c>
      <c r="C3" s="4">
        <v>50</v>
      </c>
      <c r="D3" s="3">
        <v>64.180000000000007</v>
      </c>
      <c r="E3" s="3">
        <v>0</v>
      </c>
      <c r="F3" s="3">
        <f>C3*D3+E3</f>
        <v>3209.0000000000005</v>
      </c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64.313333333333333</v>
      </c>
      <c r="T3" s="1" t="s">
        <v>1252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69.049899999999994</v>
      </c>
      <c r="R4" s="475">
        <v>7.0000000000000001E-3</v>
      </c>
      <c r="T4" s="156" t="s">
        <v>1259</v>
      </c>
      <c r="U4" s="1" t="s">
        <v>1260</v>
      </c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10357.484999999999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9647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907.69499999999425</v>
      </c>
      <c r="R7" s="29">
        <v>43332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710.48499999999876</v>
      </c>
      <c r="U8" s="475" t="s">
        <v>1257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7.364828444075866E-2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R11*4/Q4</f>
        <v>2.8964560412107768E-2</v>
      </c>
      <c r="R11">
        <v>0.5</v>
      </c>
    </row>
    <row r="12" spans="1:21" x14ac:dyDescent="0.25">
      <c r="H12" s="70"/>
      <c r="O12" s="11" t="s">
        <v>925</v>
      </c>
      <c r="Q12" s="1" t="s">
        <v>1211</v>
      </c>
    </row>
    <row r="13" spans="1:21" x14ac:dyDescent="0.25">
      <c r="H13" s="70"/>
      <c r="O13" s="11" t="s">
        <v>952</v>
      </c>
      <c r="Q13" s="2">
        <f>Q4/(6.87+7.08)*2</f>
        <v>9.8996272401433689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150</v>
      </c>
      <c r="D18" s="18"/>
      <c r="E18" s="18"/>
      <c r="F18" s="18">
        <f>SUM(F2:F7)</f>
        <v>9697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50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50</v>
      </c>
    </row>
    <row r="20" spans="1:16" ht="20.25" thickBot="1" x14ac:dyDescent="0.35">
      <c r="O20" s="857" t="s">
        <v>78</v>
      </c>
      <c r="P20" s="857"/>
    </row>
    <row r="21" spans="1:16" ht="15.75" thickTop="1" x14ac:dyDescent="0.25">
      <c r="O21" s="81">
        <v>1.1000000000000001</v>
      </c>
      <c r="P21" s="81">
        <f>O21*$Q$4</f>
        <v>75.954890000000006</v>
      </c>
    </row>
    <row r="22" spans="1:16" x14ac:dyDescent="0.25">
      <c r="O22" s="81">
        <v>1.0900000000000001</v>
      </c>
      <c r="P22" s="81">
        <f t="shared" ref="P22:P41" si="0">O22*$Q$4</f>
        <v>75.264391000000003</v>
      </c>
    </row>
    <row r="23" spans="1:16" x14ac:dyDescent="0.25">
      <c r="O23" s="81">
        <v>1.08</v>
      </c>
      <c r="P23" s="81">
        <f t="shared" si="0"/>
        <v>74.573892000000001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952</v>
      </c>
      <c r="O24" s="81">
        <v>1.07</v>
      </c>
      <c r="P24" s="81">
        <f t="shared" si="0"/>
        <v>73.883392999999998</v>
      </c>
    </row>
    <row r="25" spans="1:16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" si="1">C25*(E25-D25)</f>
        <v>0</v>
      </c>
      <c r="G25" s="39">
        <f t="shared" ref="G25" si="2">D25*C25</f>
        <v>6488</v>
      </c>
      <c r="H25" s="222">
        <f t="shared" ref="H25" si="3">(E25-D25)/D25</f>
        <v>0</v>
      </c>
      <c r="I25" s="39"/>
      <c r="J25" s="39"/>
      <c r="K25" s="39">
        <f t="shared" ref="K25:K28" si="4">$Q$10+F25</f>
        <v>197.20999999999549</v>
      </c>
      <c r="L25" s="39">
        <v>9.48</v>
      </c>
      <c r="O25" s="81">
        <v>1.06</v>
      </c>
      <c r="P25" s="81">
        <f t="shared" si="0"/>
        <v>73.192893999999995</v>
      </c>
    </row>
    <row r="26" spans="1:16" x14ac:dyDescent="0.25">
      <c r="B26" s="184">
        <v>43312</v>
      </c>
      <c r="C26" s="10">
        <v>100</v>
      </c>
      <c r="D26" s="39">
        <v>64.88</v>
      </c>
      <c r="E26" s="39">
        <v>64.86</v>
      </c>
      <c r="F26" s="39">
        <f t="shared" ref="F26" si="5">C26*(E26-D26)</f>
        <v>-1.9999999999996021</v>
      </c>
      <c r="G26" s="39">
        <f t="shared" ref="G26" si="6">D26*C26</f>
        <v>6488</v>
      </c>
      <c r="H26" s="222">
        <f t="shared" ref="H26" si="7">(E26-D26)/D26</f>
        <v>-3.0826140567194856E-4</v>
      </c>
      <c r="I26" s="39"/>
      <c r="J26" s="39"/>
      <c r="K26" s="39">
        <f t="shared" si="4"/>
        <v>195.20999999999589</v>
      </c>
      <c r="L26" s="39"/>
      <c r="O26" s="81">
        <v>1.05</v>
      </c>
      <c r="P26" s="81">
        <f t="shared" si="0"/>
        <v>72.502394999999993</v>
      </c>
    </row>
    <row r="27" spans="1:16" x14ac:dyDescent="0.25">
      <c r="A27">
        <v>0</v>
      </c>
      <c r="B27" s="184">
        <v>43313</v>
      </c>
      <c r="C27" s="10">
        <v>150</v>
      </c>
      <c r="D27" s="39">
        <v>64.313329999999993</v>
      </c>
      <c r="E27" s="39">
        <v>64.09</v>
      </c>
      <c r="F27" s="39">
        <f t="shared" ref="F27" si="8">C27*(E27-D27)</f>
        <v>-33.499499999998505</v>
      </c>
      <c r="G27" s="39">
        <f t="shared" ref="G27" si="9">D27*C27</f>
        <v>9646.9994999999999</v>
      </c>
      <c r="H27" s="222">
        <f t="shared" ref="H27" si="10">(E27-D27)/D27</f>
        <v>-3.472530500286489E-3</v>
      </c>
      <c r="I27" s="39"/>
      <c r="J27" s="39" t="s">
        <v>185</v>
      </c>
      <c r="K27" s="39">
        <f t="shared" si="4"/>
        <v>163.71049999999698</v>
      </c>
      <c r="L27" s="39">
        <v>9.19</v>
      </c>
      <c r="O27" s="81">
        <v>1.04</v>
      </c>
      <c r="P27" s="81">
        <f t="shared" si="0"/>
        <v>71.81189599999999</v>
      </c>
    </row>
    <row r="28" spans="1:16" x14ac:dyDescent="0.25">
      <c r="B28" s="184">
        <v>43316</v>
      </c>
      <c r="C28" s="10">
        <v>150</v>
      </c>
      <c r="D28" s="39">
        <v>64.313329999999993</v>
      </c>
      <c r="E28" s="39">
        <v>64.89</v>
      </c>
      <c r="F28" s="39">
        <f t="shared" ref="F28:F29" si="11">C28*(E28-D28)</f>
        <v>86.500500000001068</v>
      </c>
      <c r="G28" s="39">
        <f t="shared" ref="G28:G29" si="12">D28*C28</f>
        <v>9646.9994999999999</v>
      </c>
      <c r="H28" s="222">
        <f t="shared" ref="H28:H29" si="13">(E28-D28)/D28</f>
        <v>8.9665703828429848E-3</v>
      </c>
      <c r="I28" s="39"/>
      <c r="J28" s="39"/>
      <c r="K28" s="39">
        <f t="shared" si="4"/>
        <v>283.71049999999656</v>
      </c>
      <c r="L28" s="39">
        <v>9.3000000000000007</v>
      </c>
      <c r="O28" s="81">
        <v>1.03</v>
      </c>
      <c r="P28" s="81">
        <f t="shared" si="0"/>
        <v>71.121397000000002</v>
      </c>
    </row>
    <row r="29" spans="1:16" x14ac:dyDescent="0.25">
      <c r="B29" s="184">
        <v>43324</v>
      </c>
      <c r="C29" s="10">
        <v>150</v>
      </c>
      <c r="D29" s="39">
        <v>64.313329999999993</v>
      </c>
      <c r="E29" s="39">
        <v>69.05</v>
      </c>
      <c r="F29" s="39">
        <f t="shared" si="11"/>
        <v>710.50050000000056</v>
      </c>
      <c r="G29" s="39">
        <f t="shared" si="12"/>
        <v>9646.9994999999999</v>
      </c>
      <c r="H29" s="222">
        <f t="shared" si="13"/>
        <v>7.3649894975116426E-2</v>
      </c>
      <c r="I29" s="39"/>
      <c r="J29" s="39"/>
      <c r="K29" s="39">
        <f>$Q$10+F29</f>
        <v>907.71049999999605</v>
      </c>
      <c r="L29" s="39"/>
      <c r="O29" s="81">
        <v>1.02</v>
      </c>
      <c r="P29" s="81">
        <f t="shared" si="0"/>
        <v>70.430897999999999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1.01</v>
      </c>
      <c r="P30" s="81">
        <f t="shared" si="0"/>
        <v>69.740398999999996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1</v>
      </c>
      <c r="P31" s="81">
        <f t="shared" si="0"/>
        <v>69.049899999999994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0.99</v>
      </c>
      <c r="P32" s="81">
        <f t="shared" si="0"/>
        <v>68.359400999999991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0.98</v>
      </c>
      <c r="P33" s="81">
        <f t="shared" si="0"/>
        <v>67.668901999999989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0.97</v>
      </c>
      <c r="P34" s="81">
        <f t="shared" si="0"/>
        <v>66.978402999999986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0.96</v>
      </c>
      <c r="P35" s="81">
        <f t="shared" si="0"/>
        <v>66.287903999999997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0.95</v>
      </c>
      <c r="P36" s="81">
        <f t="shared" si="0"/>
        <v>65.597404999999995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0.94</v>
      </c>
      <c r="P37" s="81">
        <f t="shared" si="0"/>
        <v>64.906905999999992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0.93</v>
      </c>
      <c r="P38" s="81">
        <f t="shared" si="0"/>
        <v>64.216407000000004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0.92</v>
      </c>
      <c r="P39" s="81">
        <f t="shared" si="0"/>
        <v>63.525907999999994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0"/>
        <v>62.835408999999999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0"/>
        <v>62.144909999999996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</row>
    <row r="60" spans="1:17" x14ac:dyDescent="0.25">
      <c r="A60" s="371" t="s">
        <v>271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4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</row>
    <row r="61" spans="1:17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4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</row>
    <row r="62" spans="1:17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4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17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4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17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4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4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15">C84*(E84-D84)</f>
        <v>1.6000000000002501</v>
      </c>
      <c r="G84" s="363">
        <f t="shared" ref="G84:G107" si="16">D84*C84</f>
        <v>1817</v>
      </c>
      <c r="H84" s="364">
        <f t="shared" ref="H84:H107" si="17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15"/>
        <v>-28.199999999999932</v>
      </c>
      <c r="G85" s="363">
        <f t="shared" si="16"/>
        <v>1817</v>
      </c>
      <c r="H85" s="364">
        <f t="shared" si="17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15"/>
        <v>-5.7999999999998408</v>
      </c>
      <c r="G86" s="363">
        <f t="shared" si="16"/>
        <v>1817</v>
      </c>
      <c r="H86" s="364">
        <f t="shared" si="17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15"/>
        <v>-84.599999999999795</v>
      </c>
      <c r="G87" s="363">
        <f t="shared" si="16"/>
        <v>3568.2</v>
      </c>
      <c r="H87" s="364">
        <f t="shared" si="17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15"/>
        <v>-112.1999999999997</v>
      </c>
      <c r="G88" s="363">
        <f t="shared" si="16"/>
        <v>3568.2</v>
      </c>
      <c r="H88" s="364">
        <f t="shared" si="17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15"/>
        <v>-204.20000000000016</v>
      </c>
      <c r="G89" s="363">
        <f t="shared" si="16"/>
        <v>3568.2</v>
      </c>
      <c r="H89" s="364">
        <f t="shared" si="17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15"/>
        <v>-304.80000000000018</v>
      </c>
      <c r="G90" s="363">
        <f t="shared" si="16"/>
        <v>6830.4</v>
      </c>
      <c r="H90" s="364">
        <f t="shared" si="17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15"/>
        <v>-905.59999999999945</v>
      </c>
      <c r="G91" s="363">
        <f t="shared" si="16"/>
        <v>6830.4</v>
      </c>
      <c r="H91" s="364">
        <f t="shared" si="17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15"/>
        <v>-679.19999999999959</v>
      </c>
      <c r="G92" s="363">
        <f t="shared" si="16"/>
        <v>6830.4</v>
      </c>
      <c r="H92" s="364">
        <f t="shared" si="17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15"/>
        <v>-499.19999999999959</v>
      </c>
      <c r="G93" s="363">
        <f t="shared" si="16"/>
        <v>6830.4</v>
      </c>
      <c r="H93" s="364">
        <f t="shared" si="17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15"/>
        <v>-216.7999999999995</v>
      </c>
      <c r="G94" s="363">
        <f t="shared" si="16"/>
        <v>6830.4</v>
      </c>
      <c r="H94" s="364">
        <f t="shared" si="17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15"/>
        <v>-305.59999999999945</v>
      </c>
      <c r="G95" s="363">
        <f t="shared" si="16"/>
        <v>6830.4</v>
      </c>
      <c r="H95" s="364">
        <f t="shared" si="17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15"/>
        <v>-487.00000000000045</v>
      </c>
      <c r="G96" s="363">
        <f t="shared" si="16"/>
        <v>8436</v>
      </c>
      <c r="H96" s="364">
        <f t="shared" si="17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15"/>
        <v>-615.47040000000015</v>
      </c>
      <c r="G97" s="363">
        <f t="shared" si="16"/>
        <v>14610.4704</v>
      </c>
      <c r="H97" s="364">
        <f t="shared" si="17"/>
        <v>-4.2125296663959574E-2</v>
      </c>
      <c r="I97" s="363"/>
      <c r="J97" s="363"/>
      <c r="K97" s="363"/>
      <c r="L97" s="362"/>
    </row>
    <row r="98" spans="1:12" x14ac:dyDescent="0.25">
      <c r="A98" s="362" t="s">
        <v>363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15"/>
        <v>-614.26960000000065</v>
      </c>
      <c r="G98" s="363">
        <f t="shared" si="16"/>
        <v>11499.269600000001</v>
      </c>
      <c r="H98" s="364">
        <f t="shared" si="17"/>
        <v>-5.3418140574771865E-2</v>
      </c>
      <c r="I98" s="363"/>
      <c r="J98" s="363"/>
      <c r="K98" s="363"/>
      <c r="L98" s="362"/>
    </row>
    <row r="99" spans="1:12" x14ac:dyDescent="0.25">
      <c r="A99" s="362" t="s">
        <v>378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15"/>
        <v>-998.47080000000028</v>
      </c>
      <c r="G99" s="363">
        <f t="shared" si="16"/>
        <v>14462.470799999999</v>
      </c>
      <c r="H99" s="364">
        <f t="shared" si="17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378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15"/>
        <v>-327.07079999999962</v>
      </c>
      <c r="G100" s="363">
        <f t="shared" si="16"/>
        <v>14462.470799999999</v>
      </c>
      <c r="H100" s="364">
        <f t="shared" si="17"/>
        <v>-2.2615139869461284E-2</v>
      </c>
      <c r="I100" s="363"/>
      <c r="J100" s="363"/>
      <c r="K100" s="363"/>
      <c r="L100" s="362"/>
    </row>
    <row r="101" spans="1:12" x14ac:dyDescent="0.25">
      <c r="A101" s="362" t="s">
        <v>432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15"/>
        <v>-105.65999999999804</v>
      </c>
      <c r="G101" s="363">
        <f t="shared" si="16"/>
        <v>14462.46</v>
      </c>
      <c r="H101" s="364">
        <f t="shared" si="17"/>
        <v>-7.3058110445939376E-3</v>
      </c>
      <c r="I101" s="363"/>
      <c r="J101" s="363"/>
      <c r="K101" s="363"/>
      <c r="L101" s="362"/>
    </row>
    <row r="102" spans="1:12" x14ac:dyDescent="0.25">
      <c r="A102" s="362" t="s">
        <v>434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15"/>
        <v>-24.939599999999871</v>
      </c>
      <c r="G102" s="363">
        <f t="shared" si="16"/>
        <v>11247.339599999999</v>
      </c>
      <c r="H102" s="364">
        <f t="shared" si="17"/>
        <v>-2.2173776988115368E-3</v>
      </c>
      <c r="I102" s="363"/>
      <c r="J102" s="363"/>
      <c r="K102" s="363"/>
      <c r="L102" s="362"/>
    </row>
    <row r="103" spans="1:12" x14ac:dyDescent="0.25">
      <c r="A103" s="362" t="s">
        <v>434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15"/>
        <v>159.86040000000116</v>
      </c>
      <c r="G103" s="363">
        <f t="shared" si="16"/>
        <v>11247.339599999999</v>
      </c>
      <c r="H103" s="364">
        <f t="shared" si="17"/>
        <v>1.4213174464830881E-2</v>
      </c>
      <c r="I103" s="363"/>
      <c r="J103" s="363"/>
      <c r="K103" s="363"/>
      <c r="L103" s="362"/>
    </row>
    <row r="104" spans="1:12" x14ac:dyDescent="0.25">
      <c r="A104" s="362" t="s">
        <v>462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15"/>
        <v>129.52199999999976</v>
      </c>
      <c r="G104" s="363">
        <f t="shared" si="16"/>
        <v>4751.4780000000001</v>
      </c>
      <c r="H104" s="364">
        <f t="shared" si="17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15"/>
        <v>32.322000000000344</v>
      </c>
      <c r="G105" s="363">
        <f t="shared" si="16"/>
        <v>4751.4780000000001</v>
      </c>
      <c r="H105" s="364">
        <f t="shared" si="17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15"/>
        <v>-42.078000000000202</v>
      </c>
      <c r="G106" s="363">
        <f t="shared" si="16"/>
        <v>4751.4780000000001</v>
      </c>
      <c r="H106" s="364">
        <f t="shared" si="17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15"/>
        <v>-73.800000000000239</v>
      </c>
      <c r="G107" s="363">
        <f t="shared" si="16"/>
        <v>4751.3999999999996</v>
      </c>
      <c r="H107" s="364">
        <f t="shared" si="17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conditionalFormatting sqref="O21:O4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193" priority="21">
      <formula>F57&gt;0</formula>
    </cfRule>
    <cfRule type="expression" dxfId="2192" priority="22">
      <formula>F57&lt;0</formula>
    </cfRule>
  </conditionalFormatting>
  <conditionalFormatting sqref="Q7">
    <cfRule type="expression" dxfId="2191" priority="19">
      <formula>Q7&gt;0</formula>
    </cfRule>
    <cfRule type="expression" dxfId="2190" priority="20">
      <formula>Q7&lt;0</formula>
    </cfRule>
  </conditionalFormatting>
  <conditionalFormatting sqref="Q8">
    <cfRule type="expression" dxfId="2189" priority="17">
      <formula>Q8&gt;0</formula>
    </cfRule>
    <cfRule type="expression" dxfId="2188" priority="18">
      <formula>Q8&lt;0</formula>
    </cfRule>
  </conditionalFormatting>
  <conditionalFormatting sqref="M58">
    <cfRule type="expression" dxfId="2187" priority="11">
      <formula>M58&gt;0</formula>
    </cfRule>
    <cfRule type="expression" dxfId="2186" priority="12">
      <formula>M58&lt;0</formula>
    </cfRule>
  </conditionalFormatting>
  <conditionalFormatting sqref="F84:F115">
    <cfRule type="expression" dxfId="2185" priority="9">
      <formula>F84&gt;0</formula>
    </cfRule>
    <cfRule type="expression" dxfId="2184" priority="10">
      <formula>F84&lt;0</formula>
    </cfRule>
  </conditionalFormatting>
  <conditionalFormatting sqref="H84:H115">
    <cfRule type="expression" dxfId="2183" priority="7">
      <formula>H84&gt;0</formula>
    </cfRule>
    <cfRule type="expression" dxfId="2182" priority="8">
      <formula>H84&lt;0</formula>
    </cfRule>
  </conditionalFormatting>
  <conditionalFormatting sqref="F25:F56 H25:H56">
    <cfRule type="expression" dxfId="2181" priority="5">
      <formula>F25&gt;0</formula>
    </cfRule>
    <cfRule type="expression" dxfId="2180" priority="6">
      <formula>F25&lt;0</formula>
    </cfRule>
  </conditionalFormatting>
  <conditionalFormatting sqref="J29:K38 J28 K25:K28">
    <cfRule type="expression" dxfId="2177" priority="1">
      <formula>J25&gt;0</formula>
    </cfRule>
    <cfRule type="expression" dxfId="2176" priority="2">
      <formula>J25&lt;0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253.8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253.8</v>
      </c>
      <c r="R4" s="495">
        <v>-1E-4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9" t="s">
        <v>78</v>
      </c>
      <c r="P40" s="859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279.18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276.64200000000005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274.10400000000004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271.56600000000003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269.02800000000002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266.49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263.952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261.41400000000004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258.87600000000003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256.33800000000002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253.8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251.262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248.72400000000002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246.18600000000001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243.648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241.11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238.572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236.03400000000002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233.49600000000001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230.95800000000003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228.42000000000002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75" priority="21">
      <formula>F47&gt;0</formula>
    </cfRule>
    <cfRule type="expression" dxfId="2174" priority="22">
      <formula>F47&lt;0</formula>
    </cfRule>
  </conditionalFormatting>
  <conditionalFormatting sqref="Q7">
    <cfRule type="expression" dxfId="2173" priority="19">
      <formula>Q7&gt;0</formula>
    </cfRule>
    <cfRule type="expression" dxfId="2172" priority="20">
      <formula>Q7&lt;0</formula>
    </cfRule>
  </conditionalFormatting>
  <conditionalFormatting sqref="Q8">
    <cfRule type="expression" dxfId="2171" priority="17">
      <formula>Q8&gt;0</formula>
    </cfRule>
    <cfRule type="expression" dxfId="2170" priority="18">
      <formula>Q8&lt;0</formula>
    </cfRule>
  </conditionalFormatting>
  <conditionalFormatting sqref="F25:F46">
    <cfRule type="expression" dxfId="2169" priority="15">
      <formula>F25&gt;0</formula>
    </cfRule>
    <cfRule type="expression" dxfId="2168" priority="16">
      <formula>F25&lt;0</formula>
    </cfRule>
  </conditionalFormatting>
  <conditionalFormatting sqref="H25:H46">
    <cfRule type="expression" dxfId="2167" priority="13">
      <formula>H25&gt;0</formula>
    </cfRule>
    <cfRule type="expression" dxfId="2166" priority="14">
      <formula>H25&lt;0</formula>
    </cfRule>
  </conditionalFormatting>
  <conditionalFormatting sqref="F89:F110">
    <cfRule type="expression" dxfId="2165" priority="11">
      <formula>F89&gt;0</formula>
    </cfRule>
    <cfRule type="expression" dxfId="2164" priority="12">
      <formula>F89&lt;0</formula>
    </cfRule>
  </conditionalFormatting>
  <conditionalFormatting sqref="H89:H110">
    <cfRule type="expression" dxfId="2163" priority="9">
      <formula>H89&gt;0</formula>
    </cfRule>
    <cfRule type="expression" dxfId="2162" priority="10">
      <formula>H89&lt;0</formula>
    </cfRule>
  </conditionalFormatting>
  <conditionalFormatting sqref="Q10">
    <cfRule type="expression" dxfId="2161" priority="7">
      <formula>Q10&gt;0</formula>
    </cfRule>
    <cfRule type="expression" dxfId="2160" priority="8">
      <formula>Q10&lt;0</formula>
    </cfRule>
  </conditionalFormatting>
  <conditionalFormatting sqref="J25:J38">
    <cfRule type="expression" dxfId="2159" priority="5">
      <formula>J25&gt;0</formula>
    </cfRule>
    <cfRule type="expression" dxfId="2158" priority="6">
      <formula>J25&lt;0</formula>
    </cfRule>
  </conditionalFormatting>
  <conditionalFormatting sqref="K25:K38">
    <cfRule type="expression" dxfId="2157" priority="3">
      <formula>K25&gt;0</formula>
    </cfRule>
    <cfRule type="expression" dxfId="2156" priority="4">
      <formula>K25&lt;0</formula>
    </cfRule>
  </conditionalFormatting>
  <conditionalFormatting sqref="L25:L38">
    <cfRule type="expression" dxfId="2155" priority="1">
      <formula>L25&gt;0</formula>
    </cfRule>
    <cfRule type="expression" dxfId="2154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79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C96-H96</f>
        <v>2300</v>
      </c>
      <c r="U2" s="121">
        <v>42804</v>
      </c>
      <c r="V2" s="837" t="s">
        <v>656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74" si="1">H3*I3-J3</f>
        <v>3119.93</v>
      </c>
      <c r="L3" s="72">
        <v>42846</v>
      </c>
      <c r="M3" s="43">
        <v>3.25</v>
      </c>
      <c r="O3" s="11" t="s">
        <v>58</v>
      </c>
      <c r="Q3" s="481">
        <f>IF(Q2=0, Q4, (F96-K96-M96)/Q2)</f>
        <v>9.1080217391304146</v>
      </c>
      <c r="U3" s="121">
        <v>42866</v>
      </c>
      <c r="V3" s="837" t="s">
        <v>657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20.38</v>
      </c>
      <c r="R4" s="475">
        <v>1.44E-2</v>
      </c>
      <c r="U4" s="121">
        <v>43088</v>
      </c>
      <c r="V4" s="737" t="s">
        <v>757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46874</v>
      </c>
      <c r="U5" s="121">
        <v>43096</v>
      </c>
      <c r="V5" s="737" t="s">
        <v>762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20948.449999999953</v>
      </c>
      <c r="U6" s="121">
        <v>43103</v>
      </c>
      <c r="V6" s="737" t="s">
        <v>812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40541.121000001673</v>
      </c>
      <c r="R7">
        <v>600</v>
      </c>
      <c r="V7" s="737" t="s">
        <v>813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K96+M96-F96+Q2*Q4</f>
        <v>25925.550000000047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206</v>
      </c>
      <c r="Q9" s="134">
        <f>IF(Q2=0, 0, Q8/Q6)</f>
        <v>1.237587983836518</v>
      </c>
      <c r="U9" s="121">
        <v>43106</v>
      </c>
      <c r="V9" s="748" t="s">
        <v>833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205</v>
      </c>
      <c r="P10" s="33"/>
      <c r="Q10" s="2">
        <f>M526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9.8135426889106973E-3</v>
      </c>
      <c r="R11">
        <f>0.05</f>
        <v>0.05</v>
      </c>
      <c r="U11" s="121">
        <v>43117</v>
      </c>
      <c r="V11" s="737" t="s">
        <v>869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925</v>
      </c>
      <c r="Q12" s="1" t="s">
        <v>1099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952</v>
      </c>
      <c r="Q13" s="2">
        <f>Q4/0.63</f>
        <v>32.349206349206348</v>
      </c>
      <c r="U13" s="121">
        <v>43120</v>
      </c>
      <c r="V13" s="737" t="s">
        <v>875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1088</v>
      </c>
      <c r="Q14" s="736">
        <v>0.17199999999999999</v>
      </c>
      <c r="V14" s="737" t="s">
        <v>878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11" t="s">
        <v>1017</v>
      </c>
      <c r="Q15" s="29">
        <v>43317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877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876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903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59" t="s">
        <v>78</v>
      </c>
      <c r="P23" s="859"/>
      <c r="V23" s="737" t="s">
        <v>926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24.863599999999998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24.659799999999997</v>
      </c>
      <c r="U25" s="121">
        <v>43161</v>
      </c>
      <c r="V25" s="737" t="s">
        <v>927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24.456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24.252199999999998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24.048399999999997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23.844599999999996</v>
      </c>
      <c r="V29" s="737" t="s">
        <v>1016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23.640799999999999</v>
      </c>
      <c r="V30" s="737" t="s">
        <v>1024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23.436999999999998</v>
      </c>
      <c r="V31" s="737" t="s">
        <v>1027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23.233199999999997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23.029399999999995</v>
      </c>
      <c r="U33" s="121">
        <v>43238</v>
      </c>
      <c r="V33" s="748" t="s">
        <v>1069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22.825600000000001</v>
      </c>
      <c r="V34" s="737" t="s">
        <v>1070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22.6218</v>
      </c>
      <c r="V35" s="737" t="s">
        <v>1071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22.417999999999999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22.214200000000002</v>
      </c>
      <c r="U37" s="121">
        <v>43285</v>
      </c>
      <c r="V37" s="737" t="s">
        <v>1134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22.010400000000001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21.8066</v>
      </c>
      <c r="U39" s="121">
        <v>43297</v>
      </c>
      <c r="V39" s="737" t="s">
        <v>1189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21.602799999999998</v>
      </c>
      <c r="U40" s="121">
        <v>43299</v>
      </c>
      <c r="V40" s="737" t="s">
        <v>1194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21.399000000000001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21.1952</v>
      </c>
      <c r="U42" s="824">
        <v>43306</v>
      </c>
      <c r="V42" s="737" t="s">
        <v>876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20.991399999999999</v>
      </c>
      <c r="U43" s="824">
        <v>43313</v>
      </c>
      <c r="V43" s="737" t="s">
        <v>1218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20.787599999999998</v>
      </c>
      <c r="U44" s="849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20.5838</v>
      </c>
      <c r="U45" s="849">
        <v>43319</v>
      </c>
      <c r="V45" s="737" t="s">
        <v>1162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20.38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20.176199999999998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19.9724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19.768599999999999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19.564799999999998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19.360999999999997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19.1572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18.953399999999998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18.749600000000001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18.5458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18.341999999999999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18.138199999999998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17.9344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7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17.730599999999999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7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17.526799999999998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7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17.323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7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7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92" si="4">C64*D64+E64</f>
        <v>7760</v>
      </c>
      <c r="G64" s="47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7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7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7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7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7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7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7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76">
        <v>43314</v>
      </c>
      <c r="H73" s="80">
        <v>200</v>
      </c>
      <c r="I73" s="77">
        <v>20.87</v>
      </c>
      <c r="J73" s="43">
        <v>0</v>
      </c>
      <c r="K73" s="43">
        <f t="shared" si="1"/>
        <v>4174</v>
      </c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29"/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2"/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29"/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29"/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29"/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29"/>
      <c r="AA79" s="2"/>
      <c r="AD79" s="2"/>
      <c r="AG79" s="2"/>
      <c r="AI79" s="2"/>
    </row>
    <row r="80" spans="1:35" x14ac:dyDescent="0.25">
      <c r="A80" s="860" t="s">
        <v>1111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29"/>
      <c r="AA80" s="2"/>
      <c r="AD80" s="2"/>
      <c r="AG80" s="2"/>
      <c r="AI80" s="2"/>
    </row>
    <row r="81" spans="1:35" x14ac:dyDescent="0.25">
      <c r="A81" s="860"/>
      <c r="B81" s="47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29"/>
      <c r="AA81" s="2"/>
      <c r="AD81" s="2"/>
      <c r="AG81" s="2"/>
      <c r="AI81" s="2"/>
    </row>
    <row r="82" spans="1:35" x14ac:dyDescent="0.25">
      <c r="A82" s="860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29"/>
      <c r="AA82" s="2"/>
      <c r="AD82" s="2"/>
      <c r="AG82" s="2"/>
      <c r="AI82" s="2"/>
    </row>
    <row r="83" spans="1:35" x14ac:dyDescent="0.25">
      <c r="B83" s="47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29"/>
      <c r="AA83" s="2"/>
      <c r="AD83" s="2"/>
      <c r="AG83" s="2"/>
      <c r="AI83" s="2"/>
    </row>
    <row r="84" spans="1:35" x14ac:dyDescent="0.25">
      <c r="B84" s="47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29"/>
      <c r="AA84" s="2"/>
      <c r="AD84" s="2"/>
      <c r="AG84" s="2"/>
      <c r="AI84" s="2"/>
    </row>
    <row r="85" spans="1:35" x14ac:dyDescent="0.25">
      <c r="A85" t="s">
        <v>1217</v>
      </c>
      <c r="B85" s="47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29"/>
      <c r="AA85" s="2"/>
      <c r="AD85" s="2"/>
      <c r="AG85" s="2"/>
      <c r="AI85" s="2"/>
    </row>
    <row r="86" spans="1:35" x14ac:dyDescent="0.25">
      <c r="B86" s="477">
        <v>43286</v>
      </c>
      <c r="C86" s="4">
        <v>300</v>
      </c>
      <c r="D86" s="231">
        <v>20.68</v>
      </c>
      <c r="E86" s="3">
        <v>0</v>
      </c>
      <c r="F86" s="3">
        <f t="shared" si="4"/>
        <v>6204</v>
      </c>
      <c r="G86" s="29"/>
      <c r="AA86" s="2"/>
      <c r="AD86" s="2"/>
      <c r="AG86" s="2"/>
      <c r="AI86" s="2"/>
    </row>
    <row r="87" spans="1:35" x14ac:dyDescent="0.25">
      <c r="A87" s="869" t="s">
        <v>1188</v>
      </c>
      <c r="B87" s="477">
        <v>43292</v>
      </c>
      <c r="C87" s="4">
        <v>300</v>
      </c>
      <c r="D87" s="231">
        <v>21.3</v>
      </c>
      <c r="E87" s="3">
        <v>0</v>
      </c>
      <c r="F87" s="3">
        <f t="shared" si="4"/>
        <v>6390</v>
      </c>
      <c r="G87" s="29"/>
      <c r="AA87" s="2"/>
      <c r="AD87" s="2"/>
      <c r="AG87" s="2"/>
      <c r="AI87" s="2"/>
    </row>
    <row r="88" spans="1:35" x14ac:dyDescent="0.25">
      <c r="A88" s="869"/>
      <c r="B88" s="735">
        <v>43297</v>
      </c>
      <c r="C88" s="4">
        <v>500</v>
      </c>
      <c r="D88" s="231">
        <v>20.38</v>
      </c>
      <c r="E88" s="3">
        <v>0</v>
      </c>
      <c r="F88" s="3">
        <f t="shared" si="4"/>
        <v>10190</v>
      </c>
      <c r="G88" s="29"/>
      <c r="AA88" s="2"/>
      <c r="AD88" s="2"/>
      <c r="AG88" s="2"/>
      <c r="AI88" s="2"/>
    </row>
    <row r="89" spans="1:35" x14ac:dyDescent="0.25">
      <c r="A89" s="869"/>
      <c r="B89" s="735">
        <v>43297</v>
      </c>
      <c r="C89" s="4">
        <v>500</v>
      </c>
      <c r="D89" s="231">
        <v>19.95</v>
      </c>
      <c r="E89" s="3">
        <v>0</v>
      </c>
      <c r="F89" s="3">
        <f t="shared" si="4"/>
        <v>9975</v>
      </c>
      <c r="G89" s="29"/>
    </row>
    <row r="90" spans="1:35" x14ac:dyDescent="0.25">
      <c r="B90" s="735">
        <v>43312</v>
      </c>
      <c r="C90" s="4">
        <v>200</v>
      </c>
      <c r="D90" s="78">
        <v>20.65</v>
      </c>
      <c r="E90" s="2">
        <v>0</v>
      </c>
      <c r="F90" s="2">
        <f t="shared" si="4"/>
        <v>4130</v>
      </c>
      <c r="G90" s="29"/>
    </row>
    <row r="91" spans="1:35" x14ac:dyDescent="0.25">
      <c r="B91" s="735">
        <v>43314</v>
      </c>
      <c r="C91" s="4">
        <v>200</v>
      </c>
      <c r="D91" s="78">
        <v>19.7</v>
      </c>
      <c r="E91" s="2">
        <v>0</v>
      </c>
      <c r="F91" s="2">
        <f t="shared" si="4"/>
        <v>3940</v>
      </c>
      <c r="G91" s="29"/>
    </row>
    <row r="92" spans="1:35" x14ac:dyDescent="0.25">
      <c r="B92" s="735">
        <v>43320</v>
      </c>
      <c r="C92" s="4">
        <v>300</v>
      </c>
      <c r="D92" s="78">
        <v>20.010000000000002</v>
      </c>
      <c r="E92" s="2">
        <v>0</v>
      </c>
      <c r="F92" s="2">
        <f t="shared" si="4"/>
        <v>6003.0000000000009</v>
      </c>
      <c r="G92" s="29"/>
    </row>
    <row r="93" spans="1:35" x14ac:dyDescent="0.25">
      <c r="C93" s="4"/>
      <c r="G93" s="29"/>
    </row>
    <row r="94" spans="1:35" x14ac:dyDescent="0.25">
      <c r="G94" s="29"/>
    </row>
    <row r="95" spans="1:35" x14ac:dyDescent="0.25">
      <c r="G95" s="29"/>
    </row>
    <row r="96" spans="1:35" x14ac:dyDescent="0.25">
      <c r="A96" s="31" t="s">
        <v>81</v>
      </c>
      <c r="B96" s="478"/>
      <c r="C96" s="71">
        <f>SUM(C2:C95)</f>
        <v>28000</v>
      </c>
      <c r="D96" s="18"/>
      <c r="E96" s="18"/>
      <c r="F96" s="18">
        <f>SUM(F2:F95)</f>
        <v>456679.05</v>
      </c>
      <c r="G96" s="14"/>
      <c r="H96" s="71">
        <f>SUM(H2:H95)</f>
        <v>25700</v>
      </c>
      <c r="I96" s="79"/>
      <c r="J96" s="18"/>
      <c r="K96" s="18">
        <f>SUM(K2:K95)</f>
        <v>434017.35000000003</v>
      </c>
      <c r="L96" s="14"/>
      <c r="M96" s="18">
        <f>SUM(M2:M95)</f>
        <v>1713.25</v>
      </c>
    </row>
    <row r="97" spans="1:13" ht="15.75" thickBot="1" x14ac:dyDescent="0.3">
      <c r="A97" s="341" t="s">
        <v>193</v>
      </c>
      <c r="B97" s="479"/>
      <c r="C97" s="343">
        <f>SumByColor($A$97, C2:C95)</f>
        <v>25700</v>
      </c>
      <c r="D97" s="343"/>
      <c r="E97" s="343"/>
      <c r="F97" s="344">
        <f>SumByColor($A$97, F2:F95)</f>
        <v>409848</v>
      </c>
      <c r="G97" s="343"/>
      <c r="H97" s="343">
        <f>SumByColor($A$97, H2:H95)</f>
        <v>25700</v>
      </c>
      <c r="I97" s="343"/>
      <c r="J97" s="344"/>
      <c r="K97" s="344">
        <f>SumByColor($A$97, K2:K95)</f>
        <v>434025</v>
      </c>
      <c r="L97" s="343"/>
      <c r="M97" s="344">
        <f>SumByColor($A$97, M2:M95)</f>
        <v>1713</v>
      </c>
    </row>
    <row r="100" spans="1:13" x14ac:dyDescent="0.25">
      <c r="B100" s="480" t="s">
        <v>113</v>
      </c>
      <c r="C100" s="182" t="s">
        <v>146</v>
      </c>
      <c r="D100" s="190" t="s">
        <v>145</v>
      </c>
      <c r="E100" s="185" t="s">
        <v>147</v>
      </c>
      <c r="F100" s="186" t="s">
        <v>65</v>
      </c>
      <c r="G100" s="220" t="s">
        <v>151</v>
      </c>
      <c r="H100" s="186" t="s">
        <v>88</v>
      </c>
      <c r="I100" s="220" t="s">
        <v>154</v>
      </c>
      <c r="J100" s="220" t="s">
        <v>490</v>
      </c>
      <c r="K100" s="220" t="s">
        <v>150</v>
      </c>
      <c r="L100" s="220" t="s">
        <v>902</v>
      </c>
    </row>
    <row r="101" spans="1:13" x14ac:dyDescent="0.25">
      <c r="A101" t="s">
        <v>424</v>
      </c>
      <c r="B101" s="150">
        <v>42787</v>
      </c>
      <c r="C101" s="10">
        <v>5700</v>
      </c>
      <c r="D101" s="233">
        <v>16.667088</v>
      </c>
      <c r="E101" s="39">
        <v>16.38</v>
      </c>
      <c r="F101" s="39">
        <f t="shared" ref="F101:F117" si="5">C101*(E101-D101)</f>
        <v>-1636.4016000000038</v>
      </c>
      <c r="G101" s="39">
        <f t="shared" ref="G101:G117" si="6">D101*C101</f>
        <v>95002.401599999997</v>
      </c>
      <c r="H101" s="222">
        <f t="shared" ref="H101:H117" si="7">(E101-D101)/D101</f>
        <v>-1.7224844555929666E-2</v>
      </c>
      <c r="I101" s="39"/>
      <c r="J101" s="39"/>
      <c r="K101" s="39"/>
      <c r="L101" s="39"/>
    </row>
    <row r="102" spans="1:13" x14ac:dyDescent="0.25">
      <c r="A102" t="s">
        <v>436</v>
      </c>
      <c r="B102" s="150">
        <v>42788</v>
      </c>
      <c r="C102" s="425">
        <v>6000</v>
      </c>
      <c r="D102" s="642">
        <v>16.620999999999999</v>
      </c>
      <c r="E102" s="39">
        <v>15.76</v>
      </c>
      <c r="F102" s="39">
        <f t="shared" si="5"/>
        <v>-5165.9999999999936</v>
      </c>
      <c r="G102" s="39">
        <f t="shared" si="6"/>
        <v>99725.999999999985</v>
      </c>
      <c r="H102" s="222">
        <f t="shared" si="7"/>
        <v>-5.1801937308224473E-2</v>
      </c>
      <c r="I102" s="39"/>
      <c r="J102" s="39"/>
      <c r="K102" s="39"/>
      <c r="L102" s="39"/>
    </row>
    <row r="103" spans="1:13" x14ac:dyDescent="0.25">
      <c r="A103">
        <v>600</v>
      </c>
      <c r="B103" s="150">
        <v>42795</v>
      </c>
      <c r="C103" s="10">
        <v>5500</v>
      </c>
      <c r="D103" s="233">
        <v>16.619900000000001</v>
      </c>
      <c r="E103" s="39">
        <v>16.45</v>
      </c>
      <c r="F103" s="39">
        <f t="shared" si="5"/>
        <v>-934.45000000001062</v>
      </c>
      <c r="G103" s="39">
        <f t="shared" si="6"/>
        <v>91409.450000000012</v>
      </c>
      <c r="H103" s="222">
        <f t="shared" si="7"/>
        <v>-1.0222684853699596E-2</v>
      </c>
      <c r="I103" s="39">
        <v>16.399999999999999</v>
      </c>
      <c r="J103" s="39"/>
      <c r="K103" s="39">
        <v>13681</v>
      </c>
      <c r="L103" s="39"/>
    </row>
    <row r="104" spans="1:13" x14ac:dyDescent="0.25">
      <c r="A104">
        <v>1400</v>
      </c>
      <c r="B104" s="150">
        <v>42796</v>
      </c>
      <c r="C104" s="10">
        <v>6000</v>
      </c>
      <c r="D104" s="233">
        <v>16.589099999999998</v>
      </c>
      <c r="E104" s="39">
        <v>16.14</v>
      </c>
      <c r="F104" s="39">
        <f t="shared" si="5"/>
        <v>-2694.5999999999872</v>
      </c>
      <c r="G104" s="39">
        <f t="shared" si="6"/>
        <v>99534.599999999991</v>
      </c>
      <c r="H104" s="222">
        <f t="shared" si="7"/>
        <v>-2.7071993055681011E-2</v>
      </c>
      <c r="I104" s="39">
        <v>16.25</v>
      </c>
      <c r="J104" s="39"/>
      <c r="K104" s="39">
        <v>11921</v>
      </c>
      <c r="L104" s="39"/>
    </row>
    <row r="105" spans="1:13" x14ac:dyDescent="0.25">
      <c r="A105">
        <v>3600</v>
      </c>
      <c r="B105" s="150">
        <v>42798</v>
      </c>
      <c r="C105" s="10">
        <v>6000</v>
      </c>
      <c r="D105" s="233">
        <v>16.589099999999998</v>
      </c>
      <c r="E105" s="39">
        <v>16.14</v>
      </c>
      <c r="F105" s="39">
        <f t="shared" si="5"/>
        <v>-2694.5999999999872</v>
      </c>
      <c r="G105" s="39">
        <f t="shared" si="6"/>
        <v>99534.599999999991</v>
      </c>
      <c r="H105" s="222">
        <f t="shared" si="7"/>
        <v>-2.7071993055681011E-2</v>
      </c>
      <c r="I105" s="39">
        <v>16.25</v>
      </c>
      <c r="J105" s="39"/>
      <c r="K105" s="39">
        <v>12161</v>
      </c>
      <c r="L105" s="39"/>
    </row>
    <row r="106" spans="1:13" x14ac:dyDescent="0.25">
      <c r="A106">
        <v>3600</v>
      </c>
      <c r="B106" s="150">
        <v>42800</v>
      </c>
      <c r="C106" s="10">
        <v>6000</v>
      </c>
      <c r="D106" s="233">
        <v>16.589099999999998</v>
      </c>
      <c r="E106" s="39">
        <v>16.47</v>
      </c>
      <c r="F106" s="39">
        <f t="shared" si="5"/>
        <v>-714.59999999999718</v>
      </c>
      <c r="G106" s="39">
        <f t="shared" si="6"/>
        <v>99534.599999999991</v>
      </c>
      <c r="H106" s="222">
        <f t="shared" si="7"/>
        <v>-7.1794129880463405E-3</v>
      </c>
      <c r="I106" s="39">
        <v>16.25</v>
      </c>
      <c r="J106" s="39"/>
      <c r="K106" s="39">
        <v>13901</v>
      </c>
      <c r="L106" s="39"/>
    </row>
    <row r="107" spans="1:13" x14ac:dyDescent="0.25">
      <c r="A107">
        <v>3600</v>
      </c>
      <c r="B107" s="150">
        <v>42802</v>
      </c>
      <c r="C107" s="10">
        <v>6700</v>
      </c>
      <c r="D107" s="233">
        <v>16.427</v>
      </c>
      <c r="E107" s="39">
        <v>14.87</v>
      </c>
      <c r="F107" s="39">
        <f t="shared" si="5"/>
        <v>-10431.900000000003</v>
      </c>
      <c r="G107" s="39">
        <f t="shared" si="6"/>
        <v>110060.9</v>
      </c>
      <c r="H107" s="223">
        <f t="shared" si="7"/>
        <v>-9.478297924149269E-2</v>
      </c>
      <c r="I107" s="39"/>
      <c r="J107" s="39"/>
      <c r="K107" s="39">
        <v>4183.99</v>
      </c>
      <c r="L107" s="39"/>
    </row>
    <row r="108" spans="1:13" x14ac:dyDescent="0.25">
      <c r="A108">
        <v>3600</v>
      </c>
      <c r="B108" s="150">
        <v>42803</v>
      </c>
      <c r="C108" s="10">
        <v>6000</v>
      </c>
      <c r="D108" s="233">
        <v>16.50263</v>
      </c>
      <c r="E108" s="39">
        <v>16.07</v>
      </c>
      <c r="F108" s="39">
        <f t="shared" si="5"/>
        <v>-2595.7799999999979</v>
      </c>
      <c r="G108" s="39">
        <f t="shared" si="6"/>
        <v>99015.78</v>
      </c>
      <c r="H108" s="223">
        <f t="shared" si="7"/>
        <v>-2.6215821356959445E-2</v>
      </c>
      <c r="I108" s="39">
        <v>16.25</v>
      </c>
      <c r="J108" s="39"/>
      <c r="K108" s="39">
        <v>12020</v>
      </c>
      <c r="L108" s="39"/>
    </row>
    <row r="109" spans="1:13" x14ac:dyDescent="0.25">
      <c r="A109">
        <v>4200</v>
      </c>
      <c r="B109" s="150">
        <v>42805</v>
      </c>
      <c r="C109" s="425">
        <v>6000</v>
      </c>
      <c r="D109" s="642">
        <v>16.447600000000001</v>
      </c>
      <c r="E109" s="39">
        <v>16.16</v>
      </c>
      <c r="F109" s="39">
        <f t="shared" si="5"/>
        <v>-1725.6000000000072</v>
      </c>
      <c r="G109" s="39">
        <f t="shared" si="6"/>
        <v>98685.6</v>
      </c>
      <c r="H109" s="223">
        <f t="shared" si="7"/>
        <v>-1.7485833799460174E-2</v>
      </c>
      <c r="I109" s="39" t="s">
        <v>185</v>
      </c>
      <c r="J109" s="39"/>
      <c r="K109" s="39">
        <v>12890</v>
      </c>
      <c r="L109" s="39"/>
    </row>
    <row r="110" spans="1:13" x14ac:dyDescent="0.25">
      <c r="A110">
        <v>4200</v>
      </c>
      <c r="B110" s="150">
        <v>42807</v>
      </c>
      <c r="C110" s="10">
        <v>6000</v>
      </c>
      <c r="D110" s="233">
        <v>16.447600000000001</v>
      </c>
      <c r="E110" s="39">
        <v>15.84</v>
      </c>
      <c r="F110" s="39">
        <f t="shared" si="5"/>
        <v>-3645.600000000009</v>
      </c>
      <c r="G110" s="39">
        <f t="shared" si="6"/>
        <v>98685.6</v>
      </c>
      <c r="H110" s="223">
        <f t="shared" si="7"/>
        <v>-3.6941559862837217E-2</v>
      </c>
      <c r="I110" s="39"/>
      <c r="J110" s="39"/>
      <c r="K110" s="39">
        <v>10970</v>
      </c>
      <c r="L110" s="39"/>
    </row>
    <row r="111" spans="1:13" x14ac:dyDescent="0.25">
      <c r="A111">
        <v>3700</v>
      </c>
      <c r="B111" s="150">
        <v>42808</v>
      </c>
      <c r="C111" s="425">
        <v>6000</v>
      </c>
      <c r="D111" s="642">
        <v>16.422999999999998</v>
      </c>
      <c r="E111" s="39">
        <v>15.32</v>
      </c>
      <c r="F111" s="39">
        <f t="shared" si="5"/>
        <v>-6617.9999999999882</v>
      </c>
      <c r="G111" s="39">
        <f t="shared" si="6"/>
        <v>98537.999999999985</v>
      </c>
      <c r="H111" s="223">
        <f t="shared" si="7"/>
        <v>-6.7161907081531885E-2</v>
      </c>
      <c r="I111" s="39">
        <v>16.25</v>
      </c>
      <c r="J111" s="39">
        <v>41.23</v>
      </c>
      <c r="K111" s="39">
        <v>8000</v>
      </c>
      <c r="L111" s="39"/>
    </row>
    <row r="112" spans="1:13" x14ac:dyDescent="0.25">
      <c r="A112">
        <v>3700</v>
      </c>
      <c r="B112" s="150">
        <v>42809</v>
      </c>
      <c r="C112" s="10">
        <v>6000</v>
      </c>
      <c r="D112" s="233">
        <v>16.422999999999998</v>
      </c>
      <c r="E112" s="39">
        <v>15.56</v>
      </c>
      <c r="F112" s="39">
        <f t="shared" si="5"/>
        <v>-5177.9999999999864</v>
      </c>
      <c r="G112" s="39">
        <f t="shared" si="6"/>
        <v>98537.999999999985</v>
      </c>
      <c r="H112" s="223">
        <f t="shared" si="7"/>
        <v>-5.254825549534177E-2</v>
      </c>
      <c r="I112" s="39">
        <v>16.25</v>
      </c>
      <c r="J112" s="39">
        <v>44</v>
      </c>
      <c r="K112" s="39">
        <v>9439</v>
      </c>
      <c r="L112" s="39"/>
    </row>
    <row r="113" spans="1:12" x14ac:dyDescent="0.25">
      <c r="A113">
        <v>4000</v>
      </c>
      <c r="B113" s="150">
        <v>42815</v>
      </c>
      <c r="C113" s="10">
        <v>6400</v>
      </c>
      <c r="D113" s="233">
        <v>16.349399999999999</v>
      </c>
      <c r="E113" s="39">
        <v>15.05</v>
      </c>
      <c r="F113" s="39">
        <f t="shared" si="5"/>
        <v>-8316.1599999999908</v>
      </c>
      <c r="G113" s="39">
        <f t="shared" si="6"/>
        <v>104636.15999999999</v>
      </c>
      <c r="H113" s="223">
        <f t="shared" si="7"/>
        <v>-7.9476922700527156E-2</v>
      </c>
      <c r="I113" s="39"/>
      <c r="J113" s="39"/>
      <c r="K113" s="39">
        <v>6300</v>
      </c>
      <c r="L113" s="39"/>
    </row>
    <row r="114" spans="1:12" x14ac:dyDescent="0.25">
      <c r="A114">
        <v>4300</v>
      </c>
      <c r="B114" s="150">
        <v>42819</v>
      </c>
      <c r="C114" s="10">
        <v>6400</v>
      </c>
      <c r="D114" s="233">
        <v>16.349399999999999</v>
      </c>
      <c r="E114" s="39">
        <v>14.61</v>
      </c>
      <c r="F114" s="39">
        <f t="shared" si="5"/>
        <v>-11132.16</v>
      </c>
      <c r="G114" s="39">
        <f t="shared" si="6"/>
        <v>104636.15999999999</v>
      </c>
      <c r="H114" s="223">
        <f t="shared" si="7"/>
        <v>-0.10638922529267128</v>
      </c>
      <c r="I114" s="39"/>
      <c r="J114" s="39"/>
      <c r="K114" s="39">
        <v>3484</v>
      </c>
      <c r="L114" s="39"/>
    </row>
    <row r="115" spans="1:12" x14ac:dyDescent="0.25">
      <c r="A115">
        <v>4300</v>
      </c>
      <c r="B115" s="150">
        <v>42821</v>
      </c>
      <c r="C115" s="10">
        <v>6400</v>
      </c>
      <c r="D115" s="233">
        <v>16.349399999999999</v>
      </c>
      <c r="E115" s="39">
        <v>14.75</v>
      </c>
      <c r="F115" s="39">
        <f t="shared" si="5"/>
        <v>-10236.159999999996</v>
      </c>
      <c r="G115" s="39">
        <f t="shared" si="6"/>
        <v>104636.15999999999</v>
      </c>
      <c r="H115" s="223">
        <f t="shared" si="7"/>
        <v>-9.78262199224436E-2</v>
      </c>
      <c r="I115" s="39"/>
      <c r="J115" s="39"/>
      <c r="K115" s="39">
        <v>4380</v>
      </c>
      <c r="L115" s="39"/>
    </row>
    <row r="116" spans="1:12" x14ac:dyDescent="0.25">
      <c r="A116">
        <v>4300</v>
      </c>
      <c r="B116" s="150">
        <v>42822</v>
      </c>
      <c r="C116" s="10">
        <v>6400</v>
      </c>
      <c r="D116" s="233">
        <v>16.349399999999999</v>
      </c>
      <c r="E116" s="39">
        <v>15.23</v>
      </c>
      <c r="F116" s="39">
        <f t="shared" si="5"/>
        <v>-7164.1599999999926</v>
      </c>
      <c r="G116" s="39">
        <f t="shared" si="6"/>
        <v>104636.15999999999</v>
      </c>
      <c r="H116" s="223">
        <f t="shared" si="7"/>
        <v>-6.8467344367377322E-2</v>
      </c>
      <c r="I116" s="39"/>
      <c r="J116" s="39"/>
      <c r="K116" s="39">
        <v>7452</v>
      </c>
      <c r="L116" s="39"/>
    </row>
    <row r="117" spans="1:12" x14ac:dyDescent="0.25">
      <c r="A117">
        <v>3900</v>
      </c>
      <c r="B117" s="150">
        <v>42823</v>
      </c>
      <c r="C117" s="425">
        <v>6000</v>
      </c>
      <c r="D117" s="642">
        <v>16.407399999999999</v>
      </c>
      <c r="E117" s="39">
        <v>15.48</v>
      </c>
      <c r="F117" s="39">
        <f t="shared" si="5"/>
        <v>-5564.3999999999924</v>
      </c>
      <c r="G117" s="39">
        <f t="shared" si="6"/>
        <v>98444.4</v>
      </c>
      <c r="H117" s="223">
        <f t="shared" si="7"/>
        <v>-5.6523276082743074E-2</v>
      </c>
      <c r="I117" s="39">
        <v>16.25</v>
      </c>
      <c r="J117" s="39"/>
      <c r="K117" s="39">
        <v>9051</v>
      </c>
      <c r="L117" s="39"/>
    </row>
    <row r="118" spans="1:12" x14ac:dyDescent="0.25">
      <c r="A118">
        <v>4100</v>
      </c>
      <c r="B118" s="150">
        <v>42830</v>
      </c>
      <c r="C118" s="425">
        <v>6000</v>
      </c>
      <c r="D118" s="642">
        <v>16.388999999999999</v>
      </c>
      <c r="E118" s="39">
        <v>15.98</v>
      </c>
      <c r="F118" s="39">
        <f t="shared" ref="F118:F131" si="8">C118*(E118-D118)</f>
        <v>-2453.9999999999936</v>
      </c>
      <c r="G118" s="39">
        <f t="shared" ref="G118:G131" si="9">D118*C118</f>
        <v>98334</v>
      </c>
      <c r="H118" s="223">
        <f t="shared" ref="H118:H131" si="10">(E118-D118)/D118</f>
        <v>-2.4955763011776128E-2</v>
      </c>
      <c r="I118" s="39">
        <v>16.25</v>
      </c>
      <c r="J118" s="39"/>
      <c r="K118" s="39">
        <v>12159</v>
      </c>
      <c r="L118" s="39"/>
    </row>
    <row r="119" spans="1:12" x14ac:dyDescent="0.25">
      <c r="A119">
        <v>4800</v>
      </c>
      <c r="B119" s="150">
        <v>42838</v>
      </c>
      <c r="C119" s="10">
        <v>6200</v>
      </c>
      <c r="D119" s="233">
        <v>16.375</v>
      </c>
      <c r="E119" s="39">
        <v>15.9</v>
      </c>
      <c r="F119" s="39">
        <f t="shared" si="8"/>
        <v>-2944.9999999999977</v>
      </c>
      <c r="G119" s="39">
        <f t="shared" si="9"/>
        <v>101525</v>
      </c>
      <c r="H119" s="222">
        <f t="shared" si="10"/>
        <v>-2.9007633587786238E-2</v>
      </c>
      <c r="I119" s="39"/>
      <c r="J119" s="39"/>
      <c r="K119" s="39">
        <v>11731</v>
      </c>
      <c r="L119" s="39"/>
    </row>
    <row r="120" spans="1:12" x14ac:dyDescent="0.25">
      <c r="A120">
        <v>5300</v>
      </c>
      <c r="B120" s="150">
        <v>42844</v>
      </c>
      <c r="C120" s="10">
        <v>6400</v>
      </c>
      <c r="D120" s="233">
        <v>16.335000000000001</v>
      </c>
      <c r="E120" s="39">
        <v>15.06</v>
      </c>
      <c r="F120" s="39">
        <f t="shared" si="8"/>
        <v>-8160.0000000000018</v>
      </c>
      <c r="G120" s="39">
        <f t="shared" si="9"/>
        <v>104544</v>
      </c>
      <c r="H120" s="222">
        <f t="shared" si="10"/>
        <v>-7.805325987144171E-2</v>
      </c>
      <c r="I120" s="39"/>
      <c r="J120" s="39"/>
      <c r="K120" s="39">
        <v>6457</v>
      </c>
      <c r="L120" s="39"/>
    </row>
    <row r="121" spans="1:12" x14ac:dyDescent="0.25">
      <c r="A121">
        <v>5700</v>
      </c>
      <c r="B121" s="150">
        <v>42854</v>
      </c>
      <c r="C121" s="10">
        <v>6400</v>
      </c>
      <c r="D121" s="233">
        <v>16.334199999999999</v>
      </c>
      <c r="E121" s="39">
        <v>14.87</v>
      </c>
      <c r="F121" s="39">
        <f t="shared" si="8"/>
        <v>-9370.8799999999992</v>
      </c>
      <c r="G121" s="39">
        <f t="shared" si="9"/>
        <v>104538.87999999999</v>
      </c>
      <c r="H121" s="222">
        <f t="shared" si="10"/>
        <v>-8.9640141543509938E-2</v>
      </c>
      <c r="I121" s="39"/>
      <c r="J121" s="39"/>
      <c r="K121" s="39">
        <v>5245</v>
      </c>
      <c r="L121" s="39"/>
    </row>
    <row r="122" spans="1:12" x14ac:dyDescent="0.25">
      <c r="A122">
        <v>5700</v>
      </c>
      <c r="B122" s="150">
        <v>42860</v>
      </c>
      <c r="C122" s="10">
        <v>6700</v>
      </c>
      <c r="D122" s="233">
        <v>16.225999999999999</v>
      </c>
      <c r="E122" s="39">
        <v>14.29</v>
      </c>
      <c r="F122" s="39">
        <f t="shared" si="8"/>
        <v>-12971.199999999999</v>
      </c>
      <c r="G122" s="39">
        <f t="shared" si="9"/>
        <v>108714.2</v>
      </c>
      <c r="H122" s="222">
        <f t="shared" si="10"/>
        <v>-0.11931468014298041</v>
      </c>
      <c r="I122" s="39"/>
      <c r="J122" s="39"/>
      <c r="K122" s="39">
        <v>1644</v>
      </c>
      <c r="L122" s="39"/>
    </row>
    <row r="123" spans="1:12" x14ac:dyDescent="0.25">
      <c r="A123">
        <v>6000</v>
      </c>
      <c r="B123" s="150">
        <v>42862</v>
      </c>
      <c r="C123" s="10">
        <v>6700</v>
      </c>
      <c r="D123" s="233">
        <v>16.225999999999999</v>
      </c>
      <c r="E123" s="39">
        <v>14.29</v>
      </c>
      <c r="F123" s="39">
        <f t="shared" si="8"/>
        <v>-12971.199999999999</v>
      </c>
      <c r="G123" s="39">
        <f t="shared" si="9"/>
        <v>108714.2</v>
      </c>
      <c r="H123" s="222">
        <f t="shared" si="10"/>
        <v>-0.11931468014298041</v>
      </c>
      <c r="I123" s="39"/>
      <c r="J123" s="39"/>
      <c r="K123" s="39">
        <v>1644</v>
      </c>
      <c r="L123" s="39"/>
    </row>
    <row r="124" spans="1:12" x14ac:dyDescent="0.25">
      <c r="A124">
        <v>5700</v>
      </c>
      <c r="B124" s="150">
        <v>42863</v>
      </c>
      <c r="C124" s="10">
        <v>6400</v>
      </c>
      <c r="D124" s="233">
        <v>16.318000000000001</v>
      </c>
      <c r="E124" s="39">
        <v>14.59</v>
      </c>
      <c r="F124" s="39">
        <f t="shared" si="8"/>
        <v>-11059.20000000001</v>
      </c>
      <c r="G124" s="39">
        <f t="shared" si="9"/>
        <v>104435.20000000001</v>
      </c>
      <c r="H124" s="222">
        <f t="shared" si="10"/>
        <v>-0.1058953303100871</v>
      </c>
      <c r="I124" s="39"/>
      <c r="J124" s="39"/>
      <c r="K124" s="39">
        <v>3559</v>
      </c>
      <c r="L124" s="39"/>
    </row>
    <row r="125" spans="1:12" x14ac:dyDescent="0.25">
      <c r="A125">
        <v>5700</v>
      </c>
      <c r="B125" s="150">
        <v>42866</v>
      </c>
      <c r="C125" s="10">
        <v>6400</v>
      </c>
      <c r="D125" s="233">
        <v>16.318000000000001</v>
      </c>
      <c r="E125" s="39">
        <v>14.48</v>
      </c>
      <c r="F125" s="39">
        <f t="shared" si="8"/>
        <v>-11763.200000000006</v>
      </c>
      <c r="G125" s="39">
        <f t="shared" si="9"/>
        <v>104435.20000000001</v>
      </c>
      <c r="H125" s="222">
        <f t="shared" si="10"/>
        <v>-0.11263635249417826</v>
      </c>
      <c r="I125" s="39"/>
      <c r="J125" s="39"/>
      <c r="K125" s="39">
        <v>2855</v>
      </c>
      <c r="L125" s="39"/>
    </row>
    <row r="126" spans="1:12" x14ac:dyDescent="0.25">
      <c r="A126">
        <v>5900</v>
      </c>
      <c r="B126" s="150">
        <v>42872</v>
      </c>
      <c r="C126" s="10">
        <v>6531</v>
      </c>
      <c r="D126" s="233">
        <v>16.274999999999999</v>
      </c>
      <c r="E126" s="39">
        <v>14.35</v>
      </c>
      <c r="F126" s="39">
        <f t="shared" si="8"/>
        <v>-12572.174999999994</v>
      </c>
      <c r="G126" s="39">
        <f t="shared" si="9"/>
        <v>106292.02499999999</v>
      </c>
      <c r="H126" s="222">
        <f t="shared" si="10"/>
        <v>-0.11827956989247307</v>
      </c>
      <c r="I126" s="39"/>
      <c r="J126" s="39"/>
      <c r="K126" s="39">
        <v>2044</v>
      </c>
      <c r="L126" s="39"/>
    </row>
    <row r="127" spans="1:12" x14ac:dyDescent="0.25">
      <c r="B127" s="150">
        <v>42873</v>
      </c>
      <c r="C127" s="10">
        <v>6400</v>
      </c>
      <c r="D127" s="233">
        <v>16.306000000000001</v>
      </c>
      <c r="E127" s="39">
        <v>14.35</v>
      </c>
      <c r="F127" s="39">
        <f t="shared" si="8"/>
        <v>-12518.400000000009</v>
      </c>
      <c r="G127" s="39">
        <f t="shared" si="9"/>
        <v>104358.40000000001</v>
      </c>
      <c r="H127" s="222">
        <f t="shared" si="10"/>
        <v>-0.11995584447442667</v>
      </c>
      <c r="I127" s="39"/>
      <c r="J127" s="39"/>
      <c r="K127" s="39">
        <v>2098</v>
      </c>
      <c r="L127" s="39"/>
    </row>
    <row r="128" spans="1:12" x14ac:dyDescent="0.25">
      <c r="A128">
        <v>5600</v>
      </c>
      <c r="B128" s="150">
        <v>42873</v>
      </c>
      <c r="C128" s="10">
        <v>6700</v>
      </c>
      <c r="D128" s="233">
        <v>16.21</v>
      </c>
      <c r="E128" s="39">
        <v>14.16</v>
      </c>
      <c r="F128" s="39">
        <f t="shared" si="8"/>
        <v>-13735.000000000005</v>
      </c>
      <c r="G128" s="39">
        <f t="shared" si="9"/>
        <v>108607</v>
      </c>
      <c r="H128" s="222">
        <f t="shared" si="10"/>
        <v>-0.1264651449722394</v>
      </c>
      <c r="I128" s="39"/>
      <c r="J128" s="39"/>
      <c r="K128" s="39">
        <v>1016</v>
      </c>
      <c r="L128" s="39"/>
    </row>
    <row r="129" spans="1:12" x14ac:dyDescent="0.25">
      <c r="A129">
        <v>5300</v>
      </c>
      <c r="B129" s="150">
        <v>42874</v>
      </c>
      <c r="C129" s="10">
        <v>6400</v>
      </c>
      <c r="D129" s="233">
        <v>16.286000000000001</v>
      </c>
      <c r="E129" s="39">
        <v>14.58</v>
      </c>
      <c r="F129" s="39">
        <f t="shared" si="8"/>
        <v>-10918.400000000009</v>
      </c>
      <c r="G129" s="39">
        <f t="shared" si="9"/>
        <v>104230.40000000001</v>
      </c>
      <c r="H129" s="222">
        <f t="shared" si="10"/>
        <v>-0.10475254820090883</v>
      </c>
      <c r="I129" s="39"/>
      <c r="J129" s="39"/>
      <c r="K129" s="39">
        <v>3664</v>
      </c>
      <c r="L129" s="39"/>
    </row>
    <row r="130" spans="1:12" x14ac:dyDescent="0.25">
      <c r="B130" s="150">
        <v>42880</v>
      </c>
      <c r="C130" s="10">
        <v>7000</v>
      </c>
      <c r="D130" s="233">
        <v>16.05</v>
      </c>
      <c r="E130" s="39">
        <v>13.5</v>
      </c>
      <c r="F130" s="39">
        <f t="shared" si="8"/>
        <v>-17850.000000000004</v>
      </c>
      <c r="G130" s="39">
        <f t="shared" si="9"/>
        <v>112350</v>
      </c>
      <c r="H130" s="222">
        <f t="shared" si="10"/>
        <v>-0.15887850467289724</v>
      </c>
      <c r="I130" s="39"/>
      <c r="J130" s="39"/>
      <c r="K130" s="39">
        <v>-3227</v>
      </c>
      <c r="L130" s="39"/>
    </row>
    <row r="131" spans="1:12" x14ac:dyDescent="0.25">
      <c r="A131">
        <v>5800</v>
      </c>
      <c r="B131" s="150">
        <v>42899</v>
      </c>
      <c r="C131" s="10">
        <v>8000</v>
      </c>
      <c r="D131" s="233">
        <v>15.624000000000001</v>
      </c>
      <c r="E131" s="39">
        <v>13.01</v>
      </c>
      <c r="F131" s="39">
        <f t="shared" si="8"/>
        <v>-20912.000000000007</v>
      </c>
      <c r="G131" s="39">
        <f t="shared" si="9"/>
        <v>124992</v>
      </c>
      <c r="H131" s="222">
        <f t="shared" si="10"/>
        <v>-0.16730670762928831</v>
      </c>
      <c r="I131" s="39"/>
      <c r="J131" s="39"/>
      <c r="K131" s="39">
        <v>-6296</v>
      </c>
      <c r="L131" s="39"/>
    </row>
    <row r="132" spans="1:12" x14ac:dyDescent="0.25">
      <c r="A132">
        <v>8000</v>
      </c>
      <c r="B132" s="150">
        <v>42939</v>
      </c>
      <c r="C132" s="10">
        <v>8000</v>
      </c>
      <c r="D132" s="233">
        <v>15.584</v>
      </c>
      <c r="E132" s="39">
        <v>11.85</v>
      </c>
      <c r="F132" s="39">
        <f t="shared" ref="F132:F142" si="11">C132*(E132-D132)</f>
        <v>-29872</v>
      </c>
      <c r="G132" s="39">
        <f t="shared" ref="G132:G142" si="12">D132*C132</f>
        <v>124672</v>
      </c>
      <c r="H132" s="222">
        <f t="shared" ref="H132:H142" si="13">(E132-D132)/D132</f>
        <v>-0.2396047227926078</v>
      </c>
      <c r="I132" s="39"/>
      <c r="J132" s="39"/>
      <c r="K132" s="39">
        <v>-15256</v>
      </c>
      <c r="L132" s="39"/>
    </row>
    <row r="133" spans="1:12" x14ac:dyDescent="0.25">
      <c r="A133">
        <v>8000</v>
      </c>
      <c r="B133" s="150">
        <v>42943</v>
      </c>
      <c r="C133" s="10">
        <v>8200</v>
      </c>
      <c r="D133" s="233">
        <v>15.5</v>
      </c>
      <c r="E133" s="39">
        <v>12.23</v>
      </c>
      <c r="F133" s="39">
        <f t="shared" si="11"/>
        <v>-26813.999999999996</v>
      </c>
      <c r="G133" s="39">
        <f t="shared" si="12"/>
        <v>127100</v>
      </c>
      <c r="H133" s="222">
        <f t="shared" si="13"/>
        <v>-0.21096774193548384</v>
      </c>
      <c r="I133" s="39"/>
      <c r="J133" s="39"/>
      <c r="K133" s="39">
        <v>-12200</v>
      </c>
      <c r="L133" s="39"/>
    </row>
    <row r="134" spans="1:12" x14ac:dyDescent="0.25">
      <c r="B134" s="150">
        <v>42944</v>
      </c>
      <c r="C134" s="10">
        <v>8000</v>
      </c>
      <c r="D134" s="233">
        <v>15.5733</v>
      </c>
      <c r="E134" s="39">
        <v>12.36</v>
      </c>
      <c r="F134" s="39">
        <f t="shared" si="11"/>
        <v>-25706.400000000001</v>
      </c>
      <c r="G134" s="39">
        <f t="shared" si="12"/>
        <v>124586.4</v>
      </c>
      <c r="H134" s="222">
        <f t="shared" si="13"/>
        <v>-0.20633391766677586</v>
      </c>
      <c r="I134" s="39"/>
      <c r="J134" s="39"/>
      <c r="K134" s="39">
        <v>-11091</v>
      </c>
      <c r="L134" s="39"/>
    </row>
    <row r="135" spans="1:12" x14ac:dyDescent="0.25">
      <c r="A135">
        <v>7400</v>
      </c>
      <c r="B135" s="150">
        <v>42950</v>
      </c>
      <c r="C135" s="10">
        <v>8000</v>
      </c>
      <c r="D135" s="233">
        <v>15.516999999999999</v>
      </c>
      <c r="E135" s="39">
        <v>12.51</v>
      </c>
      <c r="F135" s="39">
        <f t="shared" si="11"/>
        <v>-24055.999999999996</v>
      </c>
      <c r="G135" s="39">
        <f t="shared" si="12"/>
        <v>124136</v>
      </c>
      <c r="H135" s="222">
        <f t="shared" si="13"/>
        <v>-0.19378745891602756</v>
      </c>
      <c r="I135" s="39"/>
      <c r="J135" s="39"/>
      <c r="K135" s="39">
        <v>-9442</v>
      </c>
      <c r="L135" s="39"/>
    </row>
    <row r="136" spans="1:12" x14ac:dyDescent="0.25">
      <c r="A136">
        <v>7200</v>
      </c>
      <c r="B136" s="150">
        <v>42953</v>
      </c>
      <c r="C136" s="10">
        <v>8000</v>
      </c>
      <c r="D136" s="233">
        <v>15.516999999999999</v>
      </c>
      <c r="E136" s="39">
        <v>12.9</v>
      </c>
      <c r="F136" s="39">
        <f t="shared" si="11"/>
        <v>-20935.999999999993</v>
      </c>
      <c r="G136" s="39">
        <f t="shared" si="12"/>
        <v>124136</v>
      </c>
      <c r="H136" s="222">
        <f t="shared" si="13"/>
        <v>-0.16865373461364949</v>
      </c>
      <c r="I136" s="39"/>
      <c r="J136" s="39"/>
      <c r="K136" s="39">
        <v>-6322</v>
      </c>
      <c r="L136" s="39"/>
    </row>
    <row r="137" spans="1:12" x14ac:dyDescent="0.25">
      <c r="A137">
        <v>7200</v>
      </c>
      <c r="B137" s="150">
        <v>42967</v>
      </c>
      <c r="C137" s="10">
        <v>8900</v>
      </c>
      <c r="D137" s="233">
        <v>15.09</v>
      </c>
      <c r="E137" s="39">
        <v>10.87</v>
      </c>
      <c r="F137" s="39">
        <f t="shared" si="11"/>
        <v>-37558.000000000007</v>
      </c>
      <c r="G137" s="39">
        <f t="shared" si="12"/>
        <v>134301</v>
      </c>
      <c r="H137" s="222">
        <f t="shared" si="13"/>
        <v>-0.27965540092776675</v>
      </c>
      <c r="I137" s="39"/>
      <c r="J137" s="39"/>
      <c r="K137" s="39">
        <v>-22952</v>
      </c>
      <c r="L137" s="39"/>
    </row>
    <row r="138" spans="1:12" x14ac:dyDescent="0.25">
      <c r="A138">
        <v>7100</v>
      </c>
      <c r="B138" s="150">
        <v>42978</v>
      </c>
      <c r="C138" s="10">
        <v>8600</v>
      </c>
      <c r="D138" s="233">
        <v>15.226800000000001</v>
      </c>
      <c r="E138" s="39">
        <v>11.27</v>
      </c>
      <c r="F138" s="39">
        <f t="shared" si="11"/>
        <v>-34028.48000000001</v>
      </c>
      <c r="G138" s="39">
        <f t="shared" si="12"/>
        <v>130950.48000000001</v>
      </c>
      <c r="H138" s="222">
        <f t="shared" si="13"/>
        <v>-0.25985761946042513</v>
      </c>
      <c r="I138" s="39"/>
      <c r="J138" s="39"/>
      <c r="K138" s="39">
        <v>-19413</v>
      </c>
      <c r="L138" s="39"/>
    </row>
    <row r="139" spans="1:12" x14ac:dyDescent="0.25">
      <c r="A139">
        <v>7300</v>
      </c>
      <c r="B139" s="150">
        <v>42984</v>
      </c>
      <c r="C139" s="10">
        <v>8200</v>
      </c>
      <c r="D139" s="233">
        <v>15.403</v>
      </c>
      <c r="E139" s="39">
        <v>11.6</v>
      </c>
      <c r="F139" s="39">
        <f t="shared" si="11"/>
        <v>-31184.600000000006</v>
      </c>
      <c r="G139" s="39">
        <f t="shared" si="12"/>
        <v>126304.6</v>
      </c>
      <c r="H139" s="222">
        <f t="shared" si="13"/>
        <v>-0.24689995455430766</v>
      </c>
      <c r="I139" s="39"/>
      <c r="J139" s="39"/>
      <c r="K139" s="39">
        <v>-17305</v>
      </c>
      <c r="L139" s="39"/>
    </row>
    <row r="140" spans="1:12" ht="15" customHeight="1" x14ac:dyDescent="0.25">
      <c r="A140">
        <v>7300</v>
      </c>
      <c r="B140" s="150">
        <v>42986</v>
      </c>
      <c r="C140" s="10">
        <v>8600</v>
      </c>
      <c r="D140" s="233">
        <v>15.202999999999999</v>
      </c>
      <c r="E140" s="39">
        <v>11.11</v>
      </c>
      <c r="F140" s="39">
        <f t="shared" si="11"/>
        <v>-35199.800000000003</v>
      </c>
      <c r="G140" s="39">
        <f t="shared" si="12"/>
        <v>130745.79999999999</v>
      </c>
      <c r="H140" s="222">
        <f t="shared" si="13"/>
        <v>-0.26922317963559822</v>
      </c>
      <c r="I140" s="39"/>
      <c r="J140" s="39"/>
      <c r="K140" s="39">
        <v>-20585</v>
      </c>
      <c r="L140" s="39"/>
    </row>
    <row r="141" spans="1:12" x14ac:dyDescent="0.25">
      <c r="A141">
        <v>6900</v>
      </c>
      <c r="B141" s="150">
        <v>42987</v>
      </c>
      <c r="C141" s="10">
        <v>8200</v>
      </c>
      <c r="D141" s="233">
        <v>15.3935</v>
      </c>
      <c r="E141" s="39">
        <v>11.3</v>
      </c>
      <c r="F141" s="39">
        <f t="shared" si="11"/>
        <v>-33566.69999999999</v>
      </c>
      <c r="G141" s="39">
        <f t="shared" si="12"/>
        <v>126226.7</v>
      </c>
      <c r="H141" s="222">
        <f t="shared" si="13"/>
        <v>-0.26592392893104227</v>
      </c>
      <c r="I141" s="39"/>
      <c r="J141" s="39"/>
      <c r="K141" s="39">
        <v>-18951</v>
      </c>
      <c r="L141" s="39"/>
    </row>
    <row r="142" spans="1:12" x14ac:dyDescent="0.25">
      <c r="A142">
        <v>7500</v>
      </c>
      <c r="B142" s="150">
        <v>42996</v>
      </c>
      <c r="C142" s="10">
        <v>8000</v>
      </c>
      <c r="D142" s="233">
        <v>15.43</v>
      </c>
      <c r="E142" s="39">
        <v>12.02</v>
      </c>
      <c r="F142" s="39">
        <f t="shared" si="11"/>
        <v>-27280</v>
      </c>
      <c r="G142" s="39">
        <f t="shared" si="12"/>
        <v>123440</v>
      </c>
      <c r="H142" s="222">
        <f t="shared" si="13"/>
        <v>-0.22099805573558004</v>
      </c>
      <c r="I142" s="39">
        <v>15</v>
      </c>
      <c r="J142" s="39"/>
      <c r="K142" s="39">
        <v>-12635</v>
      </c>
      <c r="L142" s="39"/>
    </row>
    <row r="143" spans="1:12" x14ac:dyDescent="0.25">
      <c r="A143">
        <v>7600</v>
      </c>
      <c r="B143" s="150">
        <v>42999</v>
      </c>
      <c r="C143" s="421">
        <v>8000</v>
      </c>
      <c r="D143" s="781">
        <v>15.43</v>
      </c>
      <c r="E143" s="39">
        <v>12.73</v>
      </c>
      <c r="F143" s="39">
        <f t="shared" ref="F143:F149" si="14">C143*(E143-D143)</f>
        <v>-21599.999999999993</v>
      </c>
      <c r="G143" s="39">
        <f t="shared" ref="G143:G149" si="15">D143*C143</f>
        <v>123440</v>
      </c>
      <c r="H143" s="222">
        <f t="shared" ref="H143:H149" si="16">(E143-D143)/D143</f>
        <v>-0.17498379779650028</v>
      </c>
      <c r="I143" s="39">
        <v>15</v>
      </c>
      <c r="J143" s="39"/>
      <c r="K143" s="39">
        <v>-6955</v>
      </c>
      <c r="L143" s="39"/>
    </row>
    <row r="144" spans="1:12" x14ac:dyDescent="0.25">
      <c r="A144">
        <v>7100</v>
      </c>
      <c r="B144" s="150">
        <v>43000</v>
      </c>
      <c r="C144" s="10">
        <v>7500</v>
      </c>
      <c r="D144" s="233">
        <v>15.6</v>
      </c>
      <c r="E144" s="39">
        <v>12.83</v>
      </c>
      <c r="F144" s="39">
        <f t="shared" si="14"/>
        <v>-20774.999999999996</v>
      </c>
      <c r="G144" s="39">
        <f t="shared" si="15"/>
        <v>117000</v>
      </c>
      <c r="H144" s="222">
        <f t="shared" si="16"/>
        <v>-0.17756410256410254</v>
      </c>
      <c r="I144" s="39"/>
      <c r="J144" s="39"/>
      <c r="K144" s="39"/>
      <c r="L144" s="39"/>
    </row>
    <row r="145" spans="1:12" x14ac:dyDescent="0.25">
      <c r="A145">
        <v>6600</v>
      </c>
      <c r="B145" s="150">
        <v>43000</v>
      </c>
      <c r="C145" s="10">
        <v>7000</v>
      </c>
      <c r="D145" s="233">
        <v>15.788</v>
      </c>
      <c r="E145" s="39">
        <v>12.79</v>
      </c>
      <c r="F145" s="39">
        <f t="shared" si="14"/>
        <v>-20986.000000000007</v>
      </c>
      <c r="G145" s="39">
        <f t="shared" si="15"/>
        <v>110516</v>
      </c>
      <c r="H145" s="222">
        <f t="shared" si="16"/>
        <v>-0.1898910564986066</v>
      </c>
      <c r="I145" s="39">
        <v>15.5</v>
      </c>
      <c r="J145" s="39"/>
      <c r="K145" s="39">
        <v>-6370</v>
      </c>
      <c r="L145" s="39"/>
    </row>
    <row r="146" spans="1:12" x14ac:dyDescent="0.25">
      <c r="A146">
        <v>6300</v>
      </c>
      <c r="B146" s="150">
        <v>43004</v>
      </c>
      <c r="C146" s="10">
        <v>6700</v>
      </c>
      <c r="D146" s="233">
        <v>15.903</v>
      </c>
      <c r="E146" s="39">
        <v>13.4</v>
      </c>
      <c r="F146" s="39">
        <f t="shared" si="14"/>
        <v>-16770.100000000002</v>
      </c>
      <c r="G146" s="39">
        <f t="shared" si="15"/>
        <v>106550.1</v>
      </c>
      <c r="H146" s="222">
        <f t="shared" si="16"/>
        <v>-0.15739168710306231</v>
      </c>
      <c r="I146" s="39">
        <v>15.5</v>
      </c>
      <c r="J146" s="39"/>
      <c r="K146" s="39">
        <v>-2155</v>
      </c>
      <c r="L146" s="39"/>
    </row>
    <row r="147" spans="1:12" x14ac:dyDescent="0.25">
      <c r="A147">
        <v>6000</v>
      </c>
      <c r="B147" s="150">
        <v>43005</v>
      </c>
      <c r="C147" s="10">
        <v>6400</v>
      </c>
      <c r="D147" s="233">
        <v>16.003</v>
      </c>
      <c r="E147" s="39">
        <v>13.73</v>
      </c>
      <c r="F147" s="39">
        <f t="shared" si="14"/>
        <v>-14547.199999999997</v>
      </c>
      <c r="G147" s="39">
        <f t="shared" si="15"/>
        <v>102419.2</v>
      </c>
      <c r="H147" s="222">
        <f t="shared" si="16"/>
        <v>-0.14203586827469847</v>
      </c>
      <c r="I147" s="39"/>
      <c r="J147" s="39"/>
      <c r="K147" s="39">
        <v>71</v>
      </c>
      <c r="L147" s="39"/>
    </row>
    <row r="148" spans="1:12" x14ac:dyDescent="0.25">
      <c r="A148">
        <v>6000</v>
      </c>
      <c r="B148" s="150">
        <v>43006</v>
      </c>
      <c r="C148" s="10">
        <v>6700</v>
      </c>
      <c r="D148" s="233">
        <v>15.8888</v>
      </c>
      <c r="E148" s="39">
        <v>13.53</v>
      </c>
      <c r="F148" s="39">
        <f t="shared" si="14"/>
        <v>-15803.960000000003</v>
      </c>
      <c r="G148" s="39">
        <f t="shared" si="15"/>
        <v>106454.95999999999</v>
      </c>
      <c r="H148" s="222">
        <f t="shared" si="16"/>
        <v>-0.14845677458335435</v>
      </c>
      <c r="I148" s="39">
        <v>15.5</v>
      </c>
      <c r="J148" s="39"/>
      <c r="K148" s="39">
        <v>-1188</v>
      </c>
      <c r="L148" s="39"/>
    </row>
    <row r="149" spans="1:12" x14ac:dyDescent="0.25">
      <c r="A149">
        <v>5700</v>
      </c>
      <c r="B149" s="150">
        <v>43011</v>
      </c>
      <c r="C149" s="10">
        <v>6400</v>
      </c>
      <c r="D149" s="233">
        <v>15.99</v>
      </c>
      <c r="E149" s="39">
        <v>13.76</v>
      </c>
      <c r="F149" s="39">
        <f t="shared" si="14"/>
        <v>-14272.000000000004</v>
      </c>
      <c r="G149" s="39">
        <f t="shared" si="15"/>
        <v>102336</v>
      </c>
      <c r="H149" s="222">
        <f t="shared" si="16"/>
        <v>-0.13946216385240778</v>
      </c>
      <c r="I149" s="39"/>
      <c r="J149" s="39"/>
      <c r="K149" s="39">
        <v>341</v>
      </c>
      <c r="L149" s="39"/>
    </row>
    <row r="150" spans="1:12" x14ac:dyDescent="0.25">
      <c r="A150">
        <v>6100</v>
      </c>
      <c r="B150" s="150">
        <v>43023</v>
      </c>
      <c r="C150" s="10">
        <v>6400</v>
      </c>
      <c r="D150" s="233">
        <v>15.99</v>
      </c>
      <c r="E150" s="39">
        <v>13.75</v>
      </c>
      <c r="F150" s="39">
        <f>C150*(E150-D150)</f>
        <v>-14336.000000000002</v>
      </c>
      <c r="G150" s="39">
        <f>D150*C150</f>
        <v>102336</v>
      </c>
      <c r="H150" s="222">
        <f>(E150-D150)/D150</f>
        <v>-0.14008755472170106</v>
      </c>
      <c r="I150" s="39">
        <v>15.5</v>
      </c>
      <c r="J150" s="39">
        <v>69.28</v>
      </c>
      <c r="K150" s="39">
        <v>277</v>
      </c>
      <c r="L150" s="39"/>
    </row>
    <row r="151" spans="1:12" x14ac:dyDescent="0.25">
      <c r="B151" s="150">
        <v>43028</v>
      </c>
      <c r="C151" s="10">
        <v>6400</v>
      </c>
      <c r="D151" s="233">
        <v>15.99</v>
      </c>
      <c r="E151" s="39">
        <v>13.93</v>
      </c>
      <c r="F151" s="39">
        <f>C151*(E151-D151)</f>
        <v>-13184.000000000004</v>
      </c>
      <c r="G151" s="39">
        <f>D151*C151</f>
        <v>102336</v>
      </c>
      <c r="H151" s="222">
        <f>(E151-D151)/D151</f>
        <v>-0.12883051907442156</v>
      </c>
      <c r="I151" s="39"/>
      <c r="J151" s="39"/>
      <c r="K151" s="39">
        <v>1429</v>
      </c>
      <c r="L151" s="39"/>
    </row>
    <row r="152" spans="1:12" x14ac:dyDescent="0.25">
      <c r="A152">
        <v>6100</v>
      </c>
      <c r="B152" s="150">
        <v>43031</v>
      </c>
      <c r="C152" s="10">
        <v>6400</v>
      </c>
      <c r="D152" s="233">
        <v>15.99</v>
      </c>
      <c r="E152" s="39">
        <v>13.63</v>
      </c>
      <c r="F152" s="39">
        <f t="shared" ref="F152:F164" si="17">C152*(E152-D152)</f>
        <v>-15103.999999999996</v>
      </c>
      <c r="G152" s="39">
        <f t="shared" ref="G152:G164" si="18">D152*C152</f>
        <v>102336</v>
      </c>
      <c r="H152" s="222">
        <f t="shared" ref="H152:H164" si="19">(E152-D152)/D152</f>
        <v>-0.14759224515322072</v>
      </c>
      <c r="I152" s="39"/>
      <c r="J152" s="39"/>
      <c r="K152" s="39">
        <v>-491</v>
      </c>
      <c r="L152" s="39"/>
    </row>
    <row r="153" spans="1:12" x14ac:dyDescent="0.25">
      <c r="A153">
        <v>6000</v>
      </c>
      <c r="B153" s="150">
        <v>43040</v>
      </c>
      <c r="C153" s="425">
        <v>6000</v>
      </c>
      <c r="D153" s="642">
        <v>16.091100000000001</v>
      </c>
      <c r="E153" s="39">
        <v>14.87</v>
      </c>
      <c r="F153" s="39">
        <f t="shared" si="17"/>
        <v>-7326.6000000000095</v>
      </c>
      <c r="G153" s="39">
        <f t="shared" si="18"/>
        <v>96546.6</v>
      </c>
      <c r="H153" s="222">
        <f t="shared" si="19"/>
        <v>-7.5886670271143777E-2</v>
      </c>
      <c r="I153" s="193" t="s">
        <v>744</v>
      </c>
      <c r="J153" s="39"/>
      <c r="K153" s="39">
        <v>7289</v>
      </c>
      <c r="L153" s="39"/>
    </row>
    <row r="154" spans="1:12" ht="15" customHeight="1" x14ac:dyDescent="0.25">
      <c r="A154">
        <v>5700</v>
      </c>
      <c r="B154" s="150">
        <v>43042</v>
      </c>
      <c r="C154" s="10">
        <v>5700</v>
      </c>
      <c r="D154" s="233">
        <v>16.117999999999999</v>
      </c>
      <c r="E154" s="39">
        <v>15.58</v>
      </c>
      <c r="F154" s="39">
        <f t="shared" si="17"/>
        <v>-3066.5999999999913</v>
      </c>
      <c r="G154" s="39">
        <f t="shared" si="18"/>
        <v>91872.599999999991</v>
      </c>
      <c r="H154" s="222">
        <f t="shared" si="19"/>
        <v>-3.337883112048632E-2</v>
      </c>
      <c r="I154" s="39"/>
      <c r="J154" s="39"/>
      <c r="K154" s="39">
        <v>11549</v>
      </c>
      <c r="L154" s="39"/>
    </row>
    <row r="155" spans="1:12" x14ac:dyDescent="0.25">
      <c r="A155">
        <v>5600</v>
      </c>
      <c r="B155" s="150">
        <v>43045</v>
      </c>
      <c r="C155" s="10">
        <v>5600</v>
      </c>
      <c r="D155" s="233">
        <v>16.114000000000001</v>
      </c>
      <c r="E155" s="39">
        <v>16.329999999999998</v>
      </c>
      <c r="F155" s="39">
        <f t="shared" si="17"/>
        <v>1209.5999999999863</v>
      </c>
      <c r="G155" s="39">
        <f t="shared" si="18"/>
        <v>90238.400000000009</v>
      </c>
      <c r="H155" s="222">
        <f t="shared" si="19"/>
        <v>1.3404492987464163E-2</v>
      </c>
      <c r="I155" s="39"/>
      <c r="J155" s="39"/>
      <c r="K155" s="39">
        <v>15824</v>
      </c>
      <c r="L155" s="39"/>
    </row>
    <row r="156" spans="1:12" x14ac:dyDescent="0.25">
      <c r="A156">
        <v>5600</v>
      </c>
      <c r="B156" s="150">
        <v>43047</v>
      </c>
      <c r="C156" s="10">
        <v>5700</v>
      </c>
      <c r="D156" s="233">
        <v>16.1084</v>
      </c>
      <c r="E156" s="39">
        <v>15.8</v>
      </c>
      <c r="F156" s="39">
        <f t="shared" si="17"/>
        <v>-1757.8799999999937</v>
      </c>
      <c r="G156" s="39">
        <f t="shared" si="18"/>
        <v>91817.88</v>
      </c>
      <c r="H156" s="222">
        <f t="shared" si="19"/>
        <v>-1.9145290655806842E-2</v>
      </c>
      <c r="I156" s="39"/>
      <c r="J156" s="39"/>
      <c r="K156" s="39">
        <v>12858</v>
      </c>
      <c r="L156" s="39"/>
    </row>
    <row r="157" spans="1:12" x14ac:dyDescent="0.25">
      <c r="A157">
        <v>5600</v>
      </c>
      <c r="B157" s="150">
        <v>43053</v>
      </c>
      <c r="C157" s="425">
        <v>6000</v>
      </c>
      <c r="D157" s="642">
        <v>16.059999999999999</v>
      </c>
      <c r="E157" s="39">
        <v>14.84</v>
      </c>
      <c r="F157" s="39">
        <f t="shared" si="17"/>
        <v>-7319.9999999999927</v>
      </c>
      <c r="G157" s="39">
        <f t="shared" si="18"/>
        <v>96359.999999999985</v>
      </c>
      <c r="H157" s="222">
        <f t="shared" si="19"/>
        <v>-7.5965130759651237E-2</v>
      </c>
      <c r="I157" s="39">
        <v>15.75</v>
      </c>
      <c r="J157" s="39">
        <v>52.87</v>
      </c>
      <c r="K157" s="39">
        <v>7308</v>
      </c>
      <c r="L157" s="39"/>
    </row>
    <row r="158" spans="1:12" x14ac:dyDescent="0.25">
      <c r="A158">
        <v>5600</v>
      </c>
      <c r="B158" s="150">
        <v>43060</v>
      </c>
      <c r="C158" s="10">
        <v>6400</v>
      </c>
      <c r="D158" s="233">
        <v>15.96</v>
      </c>
      <c r="E158" s="39">
        <v>14.52</v>
      </c>
      <c r="F158" s="39">
        <f t="shared" si="17"/>
        <v>-9216.0000000000073</v>
      </c>
      <c r="G158" s="39">
        <f t="shared" si="18"/>
        <v>102144</v>
      </c>
      <c r="H158" s="222">
        <f t="shared" si="19"/>
        <v>-9.0225563909774514E-2</v>
      </c>
      <c r="I158" s="39"/>
      <c r="J158" s="39"/>
      <c r="K158" s="39">
        <v>5398</v>
      </c>
      <c r="L158" s="39"/>
    </row>
    <row r="159" spans="1:12" x14ac:dyDescent="0.25">
      <c r="B159" s="150">
        <v>43068</v>
      </c>
      <c r="C159" s="10">
        <v>6000</v>
      </c>
      <c r="D159" s="233">
        <v>16.010999999999999</v>
      </c>
      <c r="E159" s="39">
        <v>14.78</v>
      </c>
      <c r="F159" s="39">
        <f t="shared" si="17"/>
        <v>-7385.9999999999991</v>
      </c>
      <c r="G159" s="39">
        <f t="shared" si="18"/>
        <v>96066</v>
      </c>
      <c r="H159" s="222">
        <f t="shared" si="19"/>
        <v>-7.6884641808756482E-2</v>
      </c>
      <c r="I159" s="39"/>
      <c r="J159" s="39"/>
      <c r="K159" s="39"/>
      <c r="L159" s="39"/>
    </row>
    <row r="160" spans="1:12" x14ac:dyDescent="0.25">
      <c r="B160" s="150">
        <v>43069</v>
      </c>
      <c r="C160" s="10">
        <v>6100</v>
      </c>
      <c r="D160" s="233">
        <v>15.989000000000001</v>
      </c>
      <c r="E160" s="39">
        <v>14.69</v>
      </c>
      <c r="F160" s="39">
        <f t="shared" si="17"/>
        <v>-7923.9000000000078</v>
      </c>
      <c r="G160" s="39">
        <f t="shared" si="18"/>
        <v>97532.900000000009</v>
      </c>
      <c r="H160" s="222">
        <f t="shared" si="19"/>
        <v>-8.1243354806429496E-2</v>
      </c>
      <c r="I160" s="39"/>
      <c r="J160" s="39"/>
      <c r="K160" s="39"/>
      <c r="L160" s="39"/>
    </row>
    <row r="161" spans="1:22" x14ac:dyDescent="0.25">
      <c r="A161">
        <v>5100</v>
      </c>
      <c r="B161" s="150">
        <v>43070</v>
      </c>
      <c r="C161" s="425">
        <v>6000</v>
      </c>
      <c r="D161" s="642">
        <v>16.002800000000001</v>
      </c>
      <c r="E161" s="39">
        <v>15.08</v>
      </c>
      <c r="F161" s="39">
        <f t="shared" si="17"/>
        <v>-5536.8000000000029</v>
      </c>
      <c r="G161" s="39">
        <f t="shared" si="18"/>
        <v>96016.8</v>
      </c>
      <c r="H161" s="222">
        <f t="shared" si="19"/>
        <v>-5.7664908640987854E-2</v>
      </c>
      <c r="I161" s="39"/>
      <c r="J161" s="39"/>
      <c r="K161" s="39">
        <v>9079</v>
      </c>
      <c r="L161" s="39"/>
    </row>
    <row r="162" spans="1:22" x14ac:dyDescent="0.25">
      <c r="A162">
        <v>5200</v>
      </c>
      <c r="B162" s="150">
        <v>43081</v>
      </c>
      <c r="C162" s="425">
        <v>6000</v>
      </c>
      <c r="D162" s="642">
        <v>15.955</v>
      </c>
      <c r="E162" s="39">
        <v>15.18</v>
      </c>
      <c r="F162" s="39">
        <f t="shared" si="17"/>
        <v>-4650.0000000000018</v>
      </c>
      <c r="G162" s="39">
        <f t="shared" si="18"/>
        <v>95730</v>
      </c>
      <c r="H162" s="222">
        <f t="shared" si="19"/>
        <v>-4.8574114697586983E-2</v>
      </c>
      <c r="I162" s="193" t="s">
        <v>751</v>
      </c>
      <c r="J162" s="39">
        <v>56.3</v>
      </c>
      <c r="K162" s="39">
        <v>9964</v>
      </c>
      <c r="L162" s="39"/>
    </row>
    <row r="163" spans="1:22" x14ac:dyDescent="0.25">
      <c r="B163" s="150">
        <v>43087</v>
      </c>
      <c r="C163" s="10">
        <v>5800</v>
      </c>
      <c r="D163" s="233">
        <v>15.977</v>
      </c>
      <c r="E163" s="39">
        <v>15.33</v>
      </c>
      <c r="F163" s="39">
        <f t="shared" si="17"/>
        <v>-3752.6000000000013</v>
      </c>
      <c r="G163" s="39">
        <f t="shared" si="18"/>
        <v>92666.6</v>
      </c>
      <c r="H163" s="222">
        <f t="shared" si="19"/>
        <v>-4.0495712586843605E-2</v>
      </c>
      <c r="I163" s="39"/>
      <c r="J163" s="39"/>
      <c r="K163" s="39">
        <v>10864</v>
      </c>
      <c r="L163" s="39"/>
    </row>
    <row r="164" spans="1:22" x14ac:dyDescent="0.25">
      <c r="A164">
        <v>5200</v>
      </c>
      <c r="B164" s="150">
        <v>43087</v>
      </c>
      <c r="C164" s="10">
        <v>5700</v>
      </c>
      <c r="D164" s="233">
        <v>15.986000000000001</v>
      </c>
      <c r="E164" s="39">
        <v>15.44</v>
      </c>
      <c r="F164" s="39">
        <f t="shared" si="17"/>
        <v>-3112.2000000000066</v>
      </c>
      <c r="G164" s="39">
        <f t="shared" si="18"/>
        <v>91120.2</v>
      </c>
      <c r="H164" s="222">
        <f t="shared" si="19"/>
        <v>-3.4154885524834304E-2</v>
      </c>
      <c r="I164" s="39"/>
      <c r="J164" s="39"/>
      <c r="K164" s="39">
        <v>11502</v>
      </c>
      <c r="L164" s="39"/>
    </row>
    <row r="165" spans="1:22" x14ac:dyDescent="0.25">
      <c r="A165">
        <v>5100</v>
      </c>
      <c r="B165" s="150">
        <v>43088</v>
      </c>
      <c r="C165" s="10">
        <v>5600</v>
      </c>
      <c r="D165" s="233">
        <v>15.986000000000001</v>
      </c>
      <c r="E165" s="39">
        <v>16.02</v>
      </c>
      <c r="F165" s="39">
        <f t="shared" ref="F165:F173" si="20">C165*(E165-D165)</f>
        <v>190.39999999999395</v>
      </c>
      <c r="G165" s="39">
        <f t="shared" ref="G165:G173" si="21">D165*C165</f>
        <v>89521.600000000006</v>
      </c>
      <c r="H165" s="222">
        <f t="shared" ref="H165:H173" si="22">(E165-D165)/D165</f>
        <v>2.1268610033778881E-3</v>
      </c>
      <c r="I165" s="39"/>
      <c r="J165" s="39">
        <v>66</v>
      </c>
      <c r="K165" s="39">
        <v>14803</v>
      </c>
      <c r="L165" s="39"/>
    </row>
    <row r="166" spans="1:22" x14ac:dyDescent="0.25">
      <c r="B166" s="150">
        <v>43089</v>
      </c>
      <c r="C166" s="10">
        <v>5500</v>
      </c>
      <c r="D166" s="233">
        <v>15.981</v>
      </c>
      <c r="E166" s="39">
        <v>16.32</v>
      </c>
      <c r="F166" s="39">
        <f t="shared" si="20"/>
        <v>1864.5000000000023</v>
      </c>
      <c r="G166" s="39">
        <f t="shared" si="21"/>
        <v>87895.5</v>
      </c>
      <c r="H166" s="222">
        <f t="shared" si="22"/>
        <v>2.1212690069457505E-2</v>
      </c>
      <c r="I166" s="39"/>
      <c r="J166" s="39"/>
      <c r="K166" s="39">
        <v>16478</v>
      </c>
      <c r="L166" s="39"/>
    </row>
    <row r="167" spans="1:22" x14ac:dyDescent="0.25">
      <c r="B167" s="150">
        <v>43090</v>
      </c>
      <c r="C167" s="10">
        <v>5000</v>
      </c>
      <c r="D167" s="233">
        <v>15.917999999999999</v>
      </c>
      <c r="E167" s="39">
        <v>16.8</v>
      </c>
      <c r="F167" s="39">
        <f t="shared" si="20"/>
        <v>4410.0000000000073</v>
      </c>
      <c r="G167" s="39">
        <f t="shared" si="21"/>
        <v>79590</v>
      </c>
      <c r="H167" s="222">
        <f t="shared" si="22"/>
        <v>5.5408970976253392E-2</v>
      </c>
      <c r="I167" s="39"/>
      <c r="J167" s="39"/>
      <c r="K167" s="39">
        <v>18624</v>
      </c>
      <c r="L167" s="39"/>
    </row>
    <row r="168" spans="1:22" x14ac:dyDescent="0.25">
      <c r="A168">
        <v>4500</v>
      </c>
      <c r="B168" s="150">
        <v>43090</v>
      </c>
      <c r="C168" s="10">
        <v>4800</v>
      </c>
      <c r="D168" s="233">
        <v>15.877000000000001</v>
      </c>
      <c r="E168" s="39">
        <v>17.05</v>
      </c>
      <c r="F168" s="39">
        <f t="shared" si="20"/>
        <v>5630.4000000000005</v>
      </c>
      <c r="G168" s="39">
        <f t="shared" si="21"/>
        <v>76209.600000000006</v>
      </c>
      <c r="H168" s="222">
        <f t="shared" si="22"/>
        <v>7.3880456005542605E-2</v>
      </c>
      <c r="I168" s="39"/>
      <c r="J168" s="39"/>
      <c r="K168" s="39">
        <v>20244</v>
      </c>
      <c r="L168" s="39"/>
    </row>
    <row r="169" spans="1:22" x14ac:dyDescent="0.25">
      <c r="A169">
        <v>4700</v>
      </c>
      <c r="B169" s="150">
        <v>43096</v>
      </c>
      <c r="C169" s="10">
        <v>4800</v>
      </c>
      <c r="D169" s="233">
        <v>15.877000000000001</v>
      </c>
      <c r="E169" s="39">
        <v>17.010000000000002</v>
      </c>
      <c r="F169" s="39">
        <f t="shared" si="20"/>
        <v>5438.4000000000042</v>
      </c>
      <c r="G169" s="39">
        <f t="shared" si="21"/>
        <v>76209.600000000006</v>
      </c>
      <c r="H169" s="222">
        <f t="shared" si="22"/>
        <v>7.136108836681998E-2</v>
      </c>
      <c r="I169" s="39"/>
      <c r="J169" s="39">
        <v>69.88</v>
      </c>
      <c r="K169" s="39">
        <v>20245</v>
      </c>
      <c r="L169" s="39"/>
      <c r="V169" s="785"/>
    </row>
    <row r="170" spans="1:22" x14ac:dyDescent="0.25">
      <c r="A170">
        <v>4700</v>
      </c>
      <c r="B170" s="150">
        <v>43102</v>
      </c>
      <c r="C170" s="10">
        <v>4700</v>
      </c>
      <c r="D170" s="233">
        <v>15.84563</v>
      </c>
      <c r="E170" s="39">
        <v>17.38</v>
      </c>
      <c r="F170" s="39">
        <f t="shared" si="20"/>
        <v>7211.5389999999961</v>
      </c>
      <c r="G170" s="39">
        <f t="shared" si="21"/>
        <v>74474.460999999996</v>
      </c>
      <c r="H170" s="222">
        <f t="shared" si="22"/>
        <v>9.6832375866406015E-2</v>
      </c>
      <c r="I170" s="39"/>
      <c r="J170" s="39"/>
      <c r="K170" s="39">
        <v>21827</v>
      </c>
      <c r="L170" s="39"/>
      <c r="V170" s="785"/>
    </row>
    <row r="171" spans="1:22" x14ac:dyDescent="0.25">
      <c r="A171">
        <v>4700</v>
      </c>
      <c r="B171" s="150">
        <v>43103</v>
      </c>
      <c r="C171" s="10">
        <v>4700</v>
      </c>
      <c r="D171" s="233">
        <v>15.84563</v>
      </c>
      <c r="E171" s="39">
        <v>17.670000000000002</v>
      </c>
      <c r="F171" s="39">
        <f t="shared" si="20"/>
        <v>8574.5390000000079</v>
      </c>
      <c r="G171" s="39">
        <f t="shared" si="21"/>
        <v>74474.460999999996</v>
      </c>
      <c r="H171" s="222">
        <f t="shared" si="22"/>
        <v>0.11513395175830825</v>
      </c>
      <c r="I171" s="39"/>
      <c r="J171" s="39">
        <v>73</v>
      </c>
      <c r="K171" s="39">
        <v>23190</v>
      </c>
      <c r="L171" s="39"/>
      <c r="V171" s="785"/>
    </row>
    <row r="172" spans="1:22" x14ac:dyDescent="0.25">
      <c r="A172">
        <v>4600</v>
      </c>
      <c r="B172" s="150">
        <v>43104</v>
      </c>
      <c r="C172" s="10">
        <v>4600</v>
      </c>
      <c r="D172" s="233">
        <v>15.8</v>
      </c>
      <c r="E172" s="39">
        <v>18.12</v>
      </c>
      <c r="F172" s="39">
        <f t="shared" si="20"/>
        <v>10672.000000000002</v>
      </c>
      <c r="G172" s="39">
        <f t="shared" si="21"/>
        <v>72680</v>
      </c>
      <c r="H172" s="222">
        <f t="shared" si="22"/>
        <v>0.14683544303797469</v>
      </c>
      <c r="I172" s="39"/>
      <c r="J172" s="39"/>
      <c r="K172" s="39">
        <v>25283</v>
      </c>
      <c r="L172" s="39"/>
      <c r="V172" s="786"/>
    </row>
    <row r="173" spans="1:22" x14ac:dyDescent="0.25">
      <c r="A173">
        <v>4600</v>
      </c>
      <c r="B173" s="150">
        <v>43105</v>
      </c>
      <c r="C173" s="10">
        <v>4600</v>
      </c>
      <c r="D173" s="233">
        <v>15.8</v>
      </c>
      <c r="E173" s="39">
        <v>17.89</v>
      </c>
      <c r="F173" s="39">
        <f t="shared" si="20"/>
        <v>9614</v>
      </c>
      <c r="G173" s="39">
        <f t="shared" si="21"/>
        <v>72680</v>
      </c>
      <c r="H173" s="222">
        <f t="shared" si="22"/>
        <v>0.13227848101265821</v>
      </c>
      <c r="I173" s="39"/>
      <c r="J173" s="39">
        <v>59.81</v>
      </c>
      <c r="K173" s="39">
        <v>24225</v>
      </c>
      <c r="L173" s="39"/>
      <c r="V173" s="786"/>
    </row>
    <row r="174" spans="1:22" x14ac:dyDescent="0.25">
      <c r="A174">
        <v>4600</v>
      </c>
      <c r="B174" s="150">
        <v>43109</v>
      </c>
      <c r="C174" s="10">
        <v>4600</v>
      </c>
      <c r="D174" s="233">
        <v>15.8</v>
      </c>
      <c r="E174" s="39">
        <v>18.05</v>
      </c>
      <c r="F174" s="39">
        <f t="shared" ref="F174:F181" si="23">C174*(E174-D174)</f>
        <v>10350</v>
      </c>
      <c r="G174" s="39">
        <f t="shared" ref="G174:G181" si="24">D174*C174</f>
        <v>72680</v>
      </c>
      <c r="H174" s="222">
        <f t="shared" ref="H174:H181" si="25">(E174-D174)/D174</f>
        <v>0.14240506329113922</v>
      </c>
      <c r="I174" s="39"/>
      <c r="J174" s="39">
        <v>73.349999999999994</v>
      </c>
      <c r="K174" s="39">
        <v>24961</v>
      </c>
      <c r="L174" s="39"/>
      <c r="V174" s="786"/>
    </row>
    <row r="175" spans="1:22" x14ac:dyDescent="0.25">
      <c r="A175">
        <v>4233</v>
      </c>
      <c r="B175" s="150">
        <v>43111</v>
      </c>
      <c r="C175" s="10">
        <v>4233</v>
      </c>
      <c r="D175" s="233">
        <v>15.564</v>
      </c>
      <c r="E175" s="39">
        <v>18.600000000000001</v>
      </c>
      <c r="F175" s="39">
        <f t="shared" si="23"/>
        <v>12851.388000000006</v>
      </c>
      <c r="G175" s="39">
        <f t="shared" si="24"/>
        <v>65882.411999999997</v>
      </c>
      <c r="H175" s="222">
        <f t="shared" si="25"/>
        <v>0.19506553585196615</v>
      </c>
      <c r="I175" s="39"/>
      <c r="J175" s="39"/>
      <c r="K175" s="39">
        <v>27465</v>
      </c>
      <c r="L175" s="39"/>
    </row>
    <row r="176" spans="1:22" x14ac:dyDescent="0.25">
      <c r="A176">
        <v>4100</v>
      </c>
      <c r="B176" s="150">
        <v>43112</v>
      </c>
      <c r="C176" s="10">
        <v>4100</v>
      </c>
      <c r="D176" s="233">
        <v>15.455299999999999</v>
      </c>
      <c r="E176" s="39">
        <v>18.82</v>
      </c>
      <c r="F176" s="39">
        <f t="shared" si="23"/>
        <v>13795.270000000004</v>
      </c>
      <c r="G176" s="39">
        <f t="shared" si="24"/>
        <v>63366.729999999996</v>
      </c>
      <c r="H176" s="222">
        <f t="shared" si="25"/>
        <v>0.21770525321410786</v>
      </c>
      <c r="I176" s="39"/>
      <c r="J176" s="39">
        <v>76.94</v>
      </c>
      <c r="K176" s="39">
        <v>28411</v>
      </c>
      <c r="L176" s="39"/>
    </row>
    <row r="177" spans="1:22" x14ac:dyDescent="0.25">
      <c r="A177">
        <v>4100</v>
      </c>
      <c r="B177" s="150">
        <v>43116</v>
      </c>
      <c r="C177" s="10">
        <v>4300</v>
      </c>
      <c r="D177" s="233">
        <v>15.59</v>
      </c>
      <c r="E177" s="39">
        <v>18.239999999999998</v>
      </c>
      <c r="F177" s="39">
        <f t="shared" si="23"/>
        <v>11394.999999999995</v>
      </c>
      <c r="G177" s="39">
        <f t="shared" si="24"/>
        <v>67037</v>
      </c>
      <c r="H177" s="222">
        <f t="shared" si="25"/>
        <v>0.1699807568954457</v>
      </c>
      <c r="I177" s="39"/>
      <c r="J177" s="39"/>
      <c r="K177" s="39">
        <v>26011</v>
      </c>
      <c r="L177" s="39"/>
      <c r="V177" s="789"/>
    </row>
    <row r="178" spans="1:22" x14ac:dyDescent="0.25">
      <c r="A178">
        <v>4100</v>
      </c>
      <c r="B178" s="150">
        <v>43116</v>
      </c>
      <c r="C178" s="10">
        <v>4500</v>
      </c>
      <c r="D178" s="233">
        <v>15.708</v>
      </c>
      <c r="E178" s="39">
        <v>18.239999999999998</v>
      </c>
      <c r="F178" s="39">
        <f t="shared" si="23"/>
        <v>11393.999999999993</v>
      </c>
      <c r="G178" s="39">
        <f t="shared" si="24"/>
        <v>70686</v>
      </c>
      <c r="H178" s="222">
        <f t="shared" si="25"/>
        <v>0.16119174942704342</v>
      </c>
      <c r="I178" s="39"/>
      <c r="J178" s="39"/>
      <c r="K178" s="39">
        <v>26011</v>
      </c>
      <c r="L178" s="39"/>
      <c r="V178" s="789"/>
    </row>
    <row r="179" spans="1:22" x14ac:dyDescent="0.25">
      <c r="B179" s="150">
        <v>43117</v>
      </c>
      <c r="C179" s="10">
        <v>4100</v>
      </c>
      <c r="D179" s="233">
        <v>15.41</v>
      </c>
      <c r="E179" s="39">
        <v>18.600000000000001</v>
      </c>
      <c r="F179" s="39">
        <f t="shared" si="23"/>
        <v>13079.000000000005</v>
      </c>
      <c r="G179" s="39">
        <f t="shared" si="24"/>
        <v>63181</v>
      </c>
      <c r="H179" s="222">
        <f t="shared" si="25"/>
        <v>0.20700843608046732</v>
      </c>
      <c r="I179" s="39"/>
      <c r="J179" s="39"/>
      <c r="K179" s="39">
        <v>27692</v>
      </c>
      <c r="L179" s="39"/>
      <c r="V179" s="798"/>
    </row>
    <row r="180" spans="1:22" x14ac:dyDescent="0.25">
      <c r="A180">
        <v>3500</v>
      </c>
      <c r="B180" s="150">
        <v>43117</v>
      </c>
      <c r="C180" s="10">
        <v>4000</v>
      </c>
      <c r="D180" s="233">
        <v>15.321</v>
      </c>
      <c r="E180" s="39">
        <v>18.989999999999998</v>
      </c>
      <c r="F180" s="39">
        <f t="shared" si="23"/>
        <v>14675.999999999995</v>
      </c>
      <c r="G180" s="39">
        <f t="shared" si="24"/>
        <v>61284</v>
      </c>
      <c r="H180" s="222">
        <f t="shared" si="25"/>
        <v>0.2394752300763657</v>
      </c>
      <c r="I180" s="39"/>
      <c r="J180" s="39">
        <v>66.36</v>
      </c>
      <c r="K180" s="39">
        <v>29291</v>
      </c>
      <c r="L180" s="39"/>
      <c r="V180" s="798"/>
    </row>
    <row r="181" spans="1:22" x14ac:dyDescent="0.25">
      <c r="A181">
        <v>3300</v>
      </c>
      <c r="B181" s="150">
        <v>43123</v>
      </c>
      <c r="C181" s="7">
        <v>4000</v>
      </c>
      <c r="D181" s="422">
        <v>15.303000000000001</v>
      </c>
      <c r="E181" s="39">
        <v>19.22</v>
      </c>
      <c r="F181" s="39">
        <f t="shared" si="23"/>
        <v>15667.999999999993</v>
      </c>
      <c r="G181" s="39">
        <f t="shared" si="24"/>
        <v>61212</v>
      </c>
      <c r="H181" s="222">
        <f t="shared" si="25"/>
        <v>0.25596288309481785</v>
      </c>
      <c r="I181" s="39"/>
      <c r="J181" s="39">
        <v>70.61</v>
      </c>
      <c r="K181" s="39">
        <v>30285</v>
      </c>
      <c r="L181" s="39"/>
      <c r="V181" s="800"/>
    </row>
    <row r="182" spans="1:22" x14ac:dyDescent="0.25">
      <c r="A182">
        <v>3300</v>
      </c>
      <c r="B182" s="150">
        <v>43125</v>
      </c>
      <c r="C182" s="10">
        <v>4100</v>
      </c>
      <c r="D182" s="233">
        <v>15.39</v>
      </c>
      <c r="E182" s="39">
        <v>18.68</v>
      </c>
      <c r="F182" s="39">
        <f>C182*(E182-D182)</f>
        <v>13488.999999999996</v>
      </c>
      <c r="G182" s="39">
        <f>D182*C182</f>
        <v>63099</v>
      </c>
      <c r="H182" s="222">
        <f>(E182-D182)/D182</f>
        <v>0.21377517868745932</v>
      </c>
      <c r="I182" s="39"/>
      <c r="J182" s="39"/>
      <c r="K182" s="39">
        <v>28105</v>
      </c>
      <c r="L182" s="39"/>
      <c r="V182" s="800"/>
    </row>
    <row r="183" spans="1:22" x14ac:dyDescent="0.25">
      <c r="A183">
        <v>3300</v>
      </c>
      <c r="B183" s="150">
        <v>43126</v>
      </c>
      <c r="C183" s="10">
        <v>4100</v>
      </c>
      <c r="D183" s="233">
        <v>15.39</v>
      </c>
      <c r="E183" s="39">
        <v>18.84</v>
      </c>
      <c r="F183" s="39">
        <f t="shared" ref="F183:F196" si="26">C183*(E183-D183)</f>
        <v>14144.999999999996</v>
      </c>
      <c r="G183" s="39">
        <f t="shared" ref="G183:G196" si="27">D183*C183</f>
        <v>63099</v>
      </c>
      <c r="H183" s="222">
        <f t="shared" ref="H183:H196" si="28">(E183-D183)/D183</f>
        <v>0.22417153996101358</v>
      </c>
      <c r="I183" s="39"/>
      <c r="J183" s="39">
        <v>62.61</v>
      </c>
      <c r="K183" s="39">
        <v>28106</v>
      </c>
      <c r="L183" s="39"/>
      <c r="O183" s="2"/>
      <c r="V183" s="800"/>
    </row>
    <row r="184" spans="1:22" x14ac:dyDescent="0.25">
      <c r="A184">
        <v>3300</v>
      </c>
      <c r="B184" s="150">
        <v>43130</v>
      </c>
      <c r="C184" s="10">
        <v>4800</v>
      </c>
      <c r="D184" s="233">
        <v>15.803000000000001</v>
      </c>
      <c r="E184" s="39">
        <v>18.059999999999999</v>
      </c>
      <c r="F184" s="39">
        <f t="shared" si="26"/>
        <v>10833.599999999989</v>
      </c>
      <c r="G184" s="39">
        <f t="shared" si="27"/>
        <v>75854.400000000009</v>
      </c>
      <c r="H184" s="222">
        <f t="shared" si="28"/>
        <v>0.14282098335759019</v>
      </c>
      <c r="I184" s="39"/>
      <c r="J184" s="39"/>
      <c r="K184" s="39">
        <v>25451</v>
      </c>
      <c r="L184" s="39"/>
      <c r="V184" s="789"/>
    </row>
    <row r="185" spans="1:22" x14ac:dyDescent="0.25">
      <c r="A185">
        <v>3300</v>
      </c>
      <c r="B185" s="150">
        <v>43133</v>
      </c>
      <c r="C185" s="10">
        <v>5000</v>
      </c>
      <c r="D185" s="233">
        <v>15.874000000000001</v>
      </c>
      <c r="E185" s="39">
        <v>17.52</v>
      </c>
      <c r="F185" s="39">
        <f t="shared" si="26"/>
        <v>8229.9999999999945</v>
      </c>
      <c r="G185" s="39">
        <f t="shared" si="27"/>
        <v>79370</v>
      </c>
      <c r="H185" s="222">
        <f t="shared" si="28"/>
        <v>0.10369157112259034</v>
      </c>
      <c r="I185" s="39"/>
      <c r="J185" s="39"/>
      <c r="K185" s="39">
        <v>22847</v>
      </c>
      <c r="L185" s="39"/>
    </row>
    <row r="186" spans="1:22" x14ac:dyDescent="0.25">
      <c r="A186">
        <v>3300</v>
      </c>
      <c r="B186" s="150">
        <v>43139</v>
      </c>
      <c r="C186" s="10">
        <v>5500</v>
      </c>
      <c r="D186" s="233">
        <v>15.87</v>
      </c>
      <c r="E186" s="39">
        <v>15.68</v>
      </c>
      <c r="F186" s="39">
        <f t="shared" si="26"/>
        <v>-1044.9999999999973</v>
      </c>
      <c r="G186" s="39">
        <f t="shared" si="27"/>
        <v>87285</v>
      </c>
      <c r="H186" s="222">
        <f t="shared" si="28"/>
        <v>-1.1972274732199088E-2</v>
      </c>
      <c r="I186" s="39"/>
      <c r="J186" s="39">
        <v>32.950000000000003</v>
      </c>
      <c r="K186" s="39">
        <v>13547</v>
      </c>
      <c r="L186" s="39">
        <v>60.44</v>
      </c>
    </row>
    <row r="187" spans="1:22" x14ac:dyDescent="0.25">
      <c r="B187" s="150">
        <v>43140</v>
      </c>
      <c r="C187" s="10">
        <v>6000</v>
      </c>
      <c r="D187" s="233">
        <v>15.8246</v>
      </c>
      <c r="E187" s="39">
        <v>15.51</v>
      </c>
      <c r="F187" s="39">
        <f t="shared" si="26"/>
        <v>-1887.6000000000026</v>
      </c>
      <c r="G187" s="39">
        <f t="shared" si="27"/>
        <v>94947.6</v>
      </c>
      <c r="H187" s="222">
        <f t="shared" si="28"/>
        <v>-1.9880439316001697E-2</v>
      </c>
      <c r="I187" s="39"/>
      <c r="J187" s="39"/>
      <c r="K187" s="39"/>
      <c r="L187" s="39"/>
    </row>
    <row r="188" spans="1:22" x14ac:dyDescent="0.25">
      <c r="B188" s="150">
        <v>43140</v>
      </c>
      <c r="C188" s="10">
        <v>5500</v>
      </c>
      <c r="D188" s="233">
        <v>15.85</v>
      </c>
      <c r="E188" s="39">
        <v>15.51</v>
      </c>
      <c r="F188" s="39">
        <f t="shared" si="26"/>
        <v>-1869.9999999999993</v>
      </c>
      <c r="G188" s="39">
        <f t="shared" si="27"/>
        <v>87175</v>
      </c>
      <c r="H188" s="222">
        <f t="shared" si="28"/>
        <v>-2.1451104100946364E-2</v>
      </c>
      <c r="I188" s="39"/>
      <c r="J188" s="39"/>
      <c r="K188" s="39"/>
      <c r="L188" s="39"/>
    </row>
    <row r="189" spans="1:22" x14ac:dyDescent="0.25">
      <c r="B189" s="150">
        <v>43140</v>
      </c>
      <c r="C189" s="425">
        <v>6000</v>
      </c>
      <c r="D189" s="642">
        <v>15.795999999999999</v>
      </c>
      <c r="E189" s="39">
        <v>15.51</v>
      </c>
      <c r="F189" s="39">
        <f t="shared" si="26"/>
        <v>-1715.9999999999975</v>
      </c>
      <c r="G189" s="39">
        <f t="shared" si="27"/>
        <v>94776</v>
      </c>
      <c r="H189" s="222">
        <f t="shared" si="28"/>
        <v>-1.8105849582172675E-2</v>
      </c>
      <c r="I189" s="39">
        <v>15.75</v>
      </c>
      <c r="J189" s="39"/>
      <c r="K189" s="39"/>
      <c r="L189" s="39"/>
    </row>
    <row r="190" spans="1:22" x14ac:dyDescent="0.25">
      <c r="A190">
        <v>2300</v>
      </c>
      <c r="B190" s="150">
        <v>43140</v>
      </c>
      <c r="C190" s="10">
        <v>5500</v>
      </c>
      <c r="D190" s="233">
        <v>15.824999999999999</v>
      </c>
      <c r="E190" s="39">
        <v>15.51</v>
      </c>
      <c r="F190" s="39">
        <f t="shared" si="26"/>
        <v>-1732.4999999999973</v>
      </c>
      <c r="G190" s="39">
        <f t="shared" si="27"/>
        <v>87037.5</v>
      </c>
      <c r="H190" s="222">
        <f t="shared" si="28"/>
        <v>-1.990521327014215E-2</v>
      </c>
      <c r="I190" s="39"/>
      <c r="J190" s="39"/>
      <c r="K190" s="39">
        <v>12882</v>
      </c>
      <c r="L190" s="39">
        <v>59.18</v>
      </c>
    </row>
    <row r="191" spans="1:22" x14ac:dyDescent="0.25">
      <c r="A191">
        <v>1800</v>
      </c>
      <c r="B191" s="150">
        <v>43143</v>
      </c>
      <c r="C191" s="10">
        <v>5000</v>
      </c>
      <c r="D191" s="233">
        <v>15.77</v>
      </c>
      <c r="E191" s="39">
        <v>16.27</v>
      </c>
      <c r="F191" s="39">
        <f t="shared" si="26"/>
        <v>2500</v>
      </c>
      <c r="G191" s="39">
        <f t="shared" si="27"/>
        <v>78850</v>
      </c>
      <c r="H191" s="222">
        <f t="shared" si="28"/>
        <v>3.1705770450221944E-2</v>
      </c>
      <c r="I191" s="39"/>
      <c r="J191" s="39"/>
      <c r="K191" s="39">
        <v>17117</v>
      </c>
      <c r="L191" s="39"/>
    </row>
    <row r="192" spans="1:22" x14ac:dyDescent="0.25">
      <c r="A192">
        <v>800</v>
      </c>
      <c r="B192" s="150">
        <v>43146</v>
      </c>
      <c r="C192" s="10">
        <v>5000</v>
      </c>
      <c r="D192" s="233">
        <v>15.682</v>
      </c>
      <c r="E192" s="39">
        <v>16.32</v>
      </c>
      <c r="F192" s="39">
        <f t="shared" si="26"/>
        <v>3189.9999999999995</v>
      </c>
      <c r="G192" s="39">
        <f t="shared" si="27"/>
        <v>78410</v>
      </c>
      <c r="H192" s="222">
        <f t="shared" si="28"/>
        <v>4.0683586277260549E-2</v>
      </c>
      <c r="I192" s="39"/>
      <c r="J192" s="39"/>
      <c r="K192" s="39">
        <v>17807</v>
      </c>
      <c r="L192" s="39"/>
    </row>
    <row r="193" spans="1:12" x14ac:dyDescent="0.25">
      <c r="A193">
        <v>1200</v>
      </c>
      <c r="B193" s="150">
        <v>43147</v>
      </c>
      <c r="C193" s="10">
        <v>5500</v>
      </c>
      <c r="D193" s="233">
        <v>15.688000000000001</v>
      </c>
      <c r="E193" s="39">
        <v>15.69</v>
      </c>
      <c r="F193" s="39">
        <f t="shared" si="26"/>
        <v>10.999999999993904</v>
      </c>
      <c r="G193" s="39">
        <f t="shared" si="27"/>
        <v>86284</v>
      </c>
      <c r="H193" s="222">
        <f t="shared" si="28"/>
        <v>1.2748597654250966E-4</v>
      </c>
      <c r="I193" s="39"/>
      <c r="J193" s="39"/>
      <c r="K193" s="39">
        <v>14407</v>
      </c>
      <c r="L193" s="39"/>
    </row>
    <row r="194" spans="1:12" x14ac:dyDescent="0.25">
      <c r="A194">
        <v>800</v>
      </c>
      <c r="B194" s="150">
        <v>43151</v>
      </c>
      <c r="C194" s="10">
        <v>5000</v>
      </c>
      <c r="D194" s="233">
        <v>15.6388</v>
      </c>
      <c r="E194" s="39">
        <v>16.18</v>
      </c>
      <c r="F194" s="39">
        <f t="shared" si="26"/>
        <v>2705.9999999999995</v>
      </c>
      <c r="G194" s="39">
        <f t="shared" si="27"/>
        <v>78194</v>
      </c>
      <c r="H194" s="222">
        <f t="shared" si="28"/>
        <v>3.4606235772565663E-2</v>
      </c>
      <c r="I194" s="39"/>
      <c r="J194" s="39"/>
      <c r="K194" s="39">
        <v>17321</v>
      </c>
      <c r="L194" s="39"/>
    </row>
    <row r="195" spans="1:12" x14ac:dyDescent="0.25">
      <c r="A195">
        <v>800</v>
      </c>
      <c r="B195" s="150">
        <v>43151</v>
      </c>
      <c r="C195" s="10">
        <v>5500</v>
      </c>
      <c r="D195" s="233">
        <v>15.654999999999999</v>
      </c>
      <c r="E195" s="39">
        <v>15.8</v>
      </c>
      <c r="F195" s="39">
        <f t="shared" si="26"/>
        <v>797.50000000000739</v>
      </c>
      <c r="G195" s="39">
        <f t="shared" si="27"/>
        <v>86102.5</v>
      </c>
      <c r="H195" s="222">
        <f t="shared" si="28"/>
        <v>9.2622165442351554E-3</v>
      </c>
      <c r="I195" s="39"/>
      <c r="J195" s="39"/>
      <c r="K195" s="39">
        <v>15521</v>
      </c>
      <c r="L195" s="39"/>
    </row>
    <row r="196" spans="1:12" x14ac:dyDescent="0.25">
      <c r="A196">
        <v>800</v>
      </c>
      <c r="B196" s="150">
        <v>43152</v>
      </c>
      <c r="C196" s="425">
        <v>6000</v>
      </c>
      <c r="D196" s="642">
        <v>15.637</v>
      </c>
      <c r="E196" s="39">
        <v>15.3</v>
      </c>
      <c r="F196" s="39">
        <f t="shared" si="26"/>
        <v>-2021.9999999999984</v>
      </c>
      <c r="G196" s="39">
        <f t="shared" si="27"/>
        <v>93822</v>
      </c>
      <c r="H196" s="222">
        <f t="shared" si="28"/>
        <v>-2.1551448487561537E-2</v>
      </c>
      <c r="I196" s="193" t="s">
        <v>921</v>
      </c>
      <c r="J196" s="39"/>
      <c r="K196" s="39">
        <v>12591</v>
      </c>
      <c r="L196" s="39"/>
    </row>
    <row r="197" spans="1:12" ht="15" customHeight="1" x14ac:dyDescent="0.25">
      <c r="A197">
        <v>1100</v>
      </c>
      <c r="B197" s="150">
        <v>43156</v>
      </c>
      <c r="C197" s="10">
        <v>6000</v>
      </c>
      <c r="D197" s="233">
        <v>15.637</v>
      </c>
      <c r="E197" s="39">
        <v>15.54</v>
      </c>
      <c r="F197" s="39">
        <f>C197*(E197-D197)</f>
        <v>-582.00000000000784</v>
      </c>
      <c r="G197" s="39">
        <f>D197*C197</f>
        <v>93822</v>
      </c>
      <c r="H197" s="222">
        <f>(E197-D197)/D197</f>
        <v>-6.2032359148175035E-3</v>
      </c>
      <c r="I197" s="193"/>
      <c r="J197" s="39"/>
      <c r="K197" s="39">
        <v>14031</v>
      </c>
      <c r="L197" s="39">
        <v>63.55</v>
      </c>
    </row>
    <row r="198" spans="1:12" x14ac:dyDescent="0.25">
      <c r="A198">
        <v>1100</v>
      </c>
      <c r="B198" s="150">
        <v>43159</v>
      </c>
      <c r="C198" s="10">
        <v>6400</v>
      </c>
      <c r="D198" s="233">
        <v>15.582000000000001</v>
      </c>
      <c r="E198" s="39">
        <v>14.52</v>
      </c>
      <c r="F198" s="39">
        <f>C198*(E198-D198)</f>
        <v>-6796.8000000000075</v>
      </c>
      <c r="G198" s="39">
        <f>D198*C198</f>
        <v>99724.800000000003</v>
      </c>
      <c r="H198" s="222">
        <f>(E198-D198)/D198</f>
        <v>-6.8155564112437506E-2</v>
      </c>
      <c r="I198" s="39">
        <v>15.5</v>
      </c>
      <c r="J198" s="39"/>
      <c r="K198" s="39">
        <v>7819</v>
      </c>
      <c r="L198" s="39"/>
    </row>
    <row r="199" spans="1:12" x14ac:dyDescent="0.25">
      <c r="A199">
        <v>2000</v>
      </c>
      <c r="B199" s="150">
        <v>43165</v>
      </c>
      <c r="C199" s="10">
        <v>6400</v>
      </c>
      <c r="D199" s="233">
        <v>15.582000000000001</v>
      </c>
      <c r="E199" s="39">
        <v>15.03</v>
      </c>
      <c r="F199" s="39">
        <f>C199*(E199-D199)</f>
        <v>-3532.8000000000088</v>
      </c>
      <c r="G199" s="39">
        <f>D199*C199</f>
        <v>99724.800000000003</v>
      </c>
      <c r="H199" s="222">
        <f>(E199-D199)/D199</f>
        <v>-3.542549095109751E-2</v>
      </c>
      <c r="I199" s="39"/>
      <c r="J199" s="39"/>
      <c r="K199" s="39">
        <v>11083</v>
      </c>
      <c r="L199" s="39"/>
    </row>
    <row r="200" spans="1:12" x14ac:dyDescent="0.25">
      <c r="A200">
        <v>2000</v>
      </c>
      <c r="B200" s="150">
        <v>43168</v>
      </c>
      <c r="C200" s="10">
        <v>6400</v>
      </c>
      <c r="D200" s="233">
        <v>15.582000000000001</v>
      </c>
      <c r="E200" s="39">
        <v>15.22</v>
      </c>
      <c r="F200" s="39">
        <f t="shared" ref="F200:F206" si="29">C200*(E200-D200)</f>
        <v>-2316.8000000000006</v>
      </c>
      <c r="G200" s="39">
        <f t="shared" ref="G200:G206" si="30">D200*C200</f>
        <v>99724.800000000003</v>
      </c>
      <c r="H200" s="222">
        <f t="shared" ref="H200:H206" si="31">(E200-D200)/D200</f>
        <v>-2.3231934283147227E-2</v>
      </c>
      <c r="I200" s="39"/>
      <c r="J200" s="39"/>
      <c r="K200" s="39">
        <v>12299</v>
      </c>
      <c r="L200" s="39"/>
    </row>
    <row r="201" spans="1:12" x14ac:dyDescent="0.25">
      <c r="A201">
        <v>3500</v>
      </c>
      <c r="B201" s="150">
        <v>43172</v>
      </c>
      <c r="C201" s="10">
        <v>6400</v>
      </c>
      <c r="D201" s="233">
        <v>15.54</v>
      </c>
      <c r="E201" s="39">
        <v>14.82</v>
      </c>
      <c r="F201" s="39">
        <f t="shared" si="29"/>
        <v>-4607.9999999999927</v>
      </c>
      <c r="G201" s="39">
        <f t="shared" si="30"/>
        <v>99456</v>
      </c>
      <c r="H201" s="222">
        <f t="shared" si="31"/>
        <v>-4.633204633204626E-2</v>
      </c>
      <c r="I201" s="39"/>
      <c r="J201" s="39"/>
      <c r="K201" s="39">
        <v>10013</v>
      </c>
      <c r="L201" s="39" t="s">
        <v>185</v>
      </c>
    </row>
    <row r="202" spans="1:12" x14ac:dyDescent="0.25">
      <c r="A202">
        <v>3600</v>
      </c>
      <c r="B202" s="150">
        <v>43180</v>
      </c>
      <c r="C202" s="810">
        <v>5000</v>
      </c>
      <c r="D202" s="811">
        <v>15.416</v>
      </c>
      <c r="E202" s="39">
        <v>15.98</v>
      </c>
      <c r="F202" s="39">
        <f t="shared" si="29"/>
        <v>2820.0000000000005</v>
      </c>
      <c r="G202" s="39">
        <f t="shared" si="30"/>
        <v>77080</v>
      </c>
      <c r="H202" s="222">
        <f t="shared" si="31"/>
        <v>3.6585365853658541E-2</v>
      </c>
      <c r="I202" s="39"/>
      <c r="J202" s="39"/>
      <c r="K202" s="39">
        <v>17438</v>
      </c>
      <c r="L202" s="39"/>
    </row>
    <row r="203" spans="1:12" x14ac:dyDescent="0.25">
      <c r="A203">
        <v>3400</v>
      </c>
      <c r="B203" s="150">
        <v>43180</v>
      </c>
      <c r="C203" s="10">
        <v>4800</v>
      </c>
      <c r="D203" s="233">
        <v>15.375</v>
      </c>
      <c r="E203" s="39">
        <v>16.38</v>
      </c>
      <c r="F203" s="39">
        <f t="shared" si="29"/>
        <v>4823.9999999999955</v>
      </c>
      <c r="G203" s="39">
        <f t="shared" si="30"/>
        <v>73800</v>
      </c>
      <c r="H203" s="222">
        <f t="shared" si="31"/>
        <v>6.5365853658536519E-2</v>
      </c>
      <c r="I203" s="39"/>
      <c r="J203" s="39"/>
      <c r="K203" s="39">
        <v>19438</v>
      </c>
      <c r="L203" s="39"/>
    </row>
    <row r="204" spans="1:12" x14ac:dyDescent="0.25">
      <c r="B204" s="150">
        <v>43181</v>
      </c>
      <c r="C204" s="10">
        <v>5200</v>
      </c>
      <c r="D204" s="233">
        <v>15.416</v>
      </c>
      <c r="E204" s="39">
        <v>15.9</v>
      </c>
      <c r="F204" s="39">
        <f t="shared" si="29"/>
        <v>2516.7999999999997</v>
      </c>
      <c r="G204" s="39">
        <f t="shared" si="30"/>
        <v>80163.199999999997</v>
      </c>
      <c r="H204" s="222">
        <f t="shared" si="31"/>
        <v>3.1395952257394916E-2</v>
      </c>
      <c r="I204" s="39"/>
      <c r="J204" s="39"/>
      <c r="K204" s="39"/>
      <c r="L204" s="39"/>
    </row>
    <row r="205" spans="1:12" x14ac:dyDescent="0.25">
      <c r="A205">
        <v>3000</v>
      </c>
      <c r="B205" s="150">
        <v>43181</v>
      </c>
      <c r="C205" s="10">
        <v>4800</v>
      </c>
      <c r="D205" s="233">
        <v>15.3645</v>
      </c>
      <c r="E205" s="39">
        <v>16.02</v>
      </c>
      <c r="F205" s="39">
        <f t="shared" si="29"/>
        <v>3146.3999999999996</v>
      </c>
      <c r="G205" s="39">
        <f t="shared" si="30"/>
        <v>73749.599999999991</v>
      </c>
      <c r="H205" s="222">
        <f t="shared" si="31"/>
        <v>4.2663282241530799E-2</v>
      </c>
      <c r="I205" s="39"/>
      <c r="J205" s="39"/>
      <c r="K205" s="39"/>
      <c r="L205" s="39"/>
    </row>
    <row r="206" spans="1:12" x14ac:dyDescent="0.25">
      <c r="A206">
        <v>3500</v>
      </c>
      <c r="B206" s="150">
        <v>43182</v>
      </c>
      <c r="C206" s="10">
        <v>5000</v>
      </c>
      <c r="D206" s="233">
        <v>15.378</v>
      </c>
      <c r="E206" s="39">
        <v>15.76</v>
      </c>
      <c r="F206" s="39">
        <f t="shared" si="29"/>
        <v>1909.9999999999984</v>
      </c>
      <c r="G206" s="39">
        <f t="shared" si="30"/>
        <v>76890</v>
      </c>
      <c r="H206" s="222">
        <f t="shared" si="31"/>
        <v>2.4840681493041986E-2</v>
      </c>
      <c r="I206" s="39"/>
      <c r="J206" s="39"/>
      <c r="K206" s="39">
        <v>16525</v>
      </c>
      <c r="L206" s="39"/>
    </row>
    <row r="207" spans="1:12" x14ac:dyDescent="0.25">
      <c r="A207">
        <v>4000</v>
      </c>
      <c r="B207" s="150">
        <v>43185</v>
      </c>
      <c r="C207" s="10">
        <v>5000</v>
      </c>
      <c r="D207" s="233">
        <v>15.378</v>
      </c>
      <c r="E207" s="39">
        <v>16.27</v>
      </c>
      <c r="F207" s="39">
        <f>C207*(E207-D207)</f>
        <v>4459.9999999999973</v>
      </c>
      <c r="G207" s="39">
        <f>D207*C207</f>
        <v>76890</v>
      </c>
      <c r="H207" s="222">
        <f>(E207-D207)/D207</f>
        <v>5.8004942125113763E-2</v>
      </c>
      <c r="I207" s="39"/>
      <c r="J207" s="39"/>
      <c r="K207" s="39">
        <v>19075</v>
      </c>
      <c r="L207" s="39"/>
    </row>
    <row r="208" spans="1:12" x14ac:dyDescent="0.25">
      <c r="A208">
        <v>4000</v>
      </c>
      <c r="B208" s="150">
        <v>43186</v>
      </c>
      <c r="C208" s="810">
        <v>5000</v>
      </c>
      <c r="D208" s="811">
        <v>15.378</v>
      </c>
      <c r="E208" s="39">
        <v>15.82</v>
      </c>
      <c r="F208" s="39">
        <f>C208*(E208-D208)</f>
        <v>2210.0000000000009</v>
      </c>
      <c r="G208" s="39">
        <f>D208*C208</f>
        <v>76890</v>
      </c>
      <c r="H208" s="222">
        <f>(E208-D208)/D208</f>
        <v>2.8742359214462231E-2</v>
      </c>
      <c r="I208" s="39"/>
      <c r="J208" s="39"/>
      <c r="K208" s="39">
        <v>16825</v>
      </c>
      <c r="L208" s="39"/>
    </row>
    <row r="209" spans="1:16" x14ac:dyDescent="0.25">
      <c r="A209">
        <v>4000</v>
      </c>
      <c r="B209" s="150">
        <v>43187</v>
      </c>
      <c r="C209" s="10">
        <v>5200</v>
      </c>
      <c r="D209" s="233">
        <v>15.38</v>
      </c>
      <c r="E209" s="39">
        <v>15.32</v>
      </c>
      <c r="F209" s="39">
        <f>C209*(E209-D209)</f>
        <v>-312.00000000000261</v>
      </c>
      <c r="G209" s="39">
        <f>D209*C209</f>
        <v>79976</v>
      </c>
      <c r="H209" s="222">
        <f>(E209-D209)/D209</f>
        <v>-3.9011703511053638E-3</v>
      </c>
      <c r="I209" s="39"/>
      <c r="J209" s="39"/>
      <c r="K209" s="39">
        <v>14299</v>
      </c>
      <c r="L209" s="39"/>
    </row>
    <row r="210" spans="1:16" x14ac:dyDescent="0.25">
      <c r="A210">
        <v>3800</v>
      </c>
      <c r="B210" s="150">
        <v>43188</v>
      </c>
      <c r="C210" s="10">
        <v>5000</v>
      </c>
      <c r="D210" s="233">
        <v>15.358000000000001</v>
      </c>
      <c r="E210" s="39">
        <v>16.13</v>
      </c>
      <c r="F210" s="39">
        <f t="shared" ref="F210:F215" si="32">C210*(E210-D210)</f>
        <v>3859.9999999999923</v>
      </c>
      <c r="G210" s="39">
        <f t="shared" ref="G210:G215" si="33">D210*C210</f>
        <v>76790</v>
      </c>
      <c r="H210" s="222">
        <f t="shared" ref="H210:H215" si="34">(E210-D210)/D210</f>
        <v>5.0266961843990002E-2</v>
      </c>
      <c r="I210" s="39"/>
      <c r="J210" s="39"/>
      <c r="K210" s="39">
        <v>18478</v>
      </c>
      <c r="L210" s="39"/>
    </row>
    <row r="211" spans="1:16" x14ac:dyDescent="0.25">
      <c r="A211">
        <v>3600</v>
      </c>
      <c r="B211" s="150">
        <v>43188</v>
      </c>
      <c r="C211" s="10">
        <v>4800</v>
      </c>
      <c r="D211" s="233">
        <v>15.324999999999999</v>
      </c>
      <c r="E211" s="39">
        <v>16.13</v>
      </c>
      <c r="F211" s="39">
        <f t="shared" si="32"/>
        <v>3863.9999999999986</v>
      </c>
      <c r="G211" s="39">
        <f t="shared" si="33"/>
        <v>73560</v>
      </c>
      <c r="H211" s="222">
        <f t="shared" si="34"/>
        <v>5.2528548123980411E-2</v>
      </c>
      <c r="I211" s="39"/>
      <c r="J211" s="39"/>
      <c r="K211" s="39">
        <v>18477</v>
      </c>
      <c r="L211" s="39"/>
    </row>
    <row r="212" spans="1:16" x14ac:dyDescent="0.25">
      <c r="B212" s="150">
        <v>43192</v>
      </c>
      <c r="C212" s="810">
        <v>5000</v>
      </c>
      <c r="D212" s="811">
        <v>15.34</v>
      </c>
      <c r="E212" s="39">
        <v>15.57</v>
      </c>
      <c r="F212" s="39">
        <f t="shared" si="32"/>
        <v>1150.000000000002</v>
      </c>
      <c r="G212" s="39">
        <f t="shared" si="33"/>
        <v>76700</v>
      </c>
      <c r="H212" s="222">
        <f t="shared" si="34"/>
        <v>1.4993481095176038E-2</v>
      </c>
      <c r="I212" s="39"/>
      <c r="J212" s="39"/>
      <c r="K212" s="39">
        <v>15767</v>
      </c>
      <c r="L212" s="39"/>
    </row>
    <row r="213" spans="1:16" x14ac:dyDescent="0.25">
      <c r="A213">
        <v>4000</v>
      </c>
      <c r="B213" s="150">
        <v>43192</v>
      </c>
      <c r="C213" s="10">
        <v>5200</v>
      </c>
      <c r="D213" s="233">
        <v>15.336</v>
      </c>
      <c r="E213" s="39">
        <v>15.57</v>
      </c>
      <c r="F213" s="39">
        <f t="shared" si="32"/>
        <v>1216.8</v>
      </c>
      <c r="G213" s="39">
        <f t="shared" si="33"/>
        <v>79747.199999999997</v>
      </c>
      <c r="H213" s="222">
        <f t="shared" si="34"/>
        <v>1.5258215962441313E-2</v>
      </c>
      <c r="I213" s="39"/>
      <c r="J213" s="39"/>
      <c r="K213" s="39">
        <v>15831</v>
      </c>
      <c r="L213" s="39"/>
      <c r="N213" s="70"/>
    </row>
    <row r="214" spans="1:16" x14ac:dyDescent="0.25">
      <c r="A214">
        <v>3600</v>
      </c>
      <c r="B214" s="150">
        <v>43193</v>
      </c>
      <c r="C214" s="10">
        <v>4800</v>
      </c>
      <c r="D214" s="233">
        <v>15.29</v>
      </c>
      <c r="E214" s="39">
        <v>16</v>
      </c>
      <c r="F214" s="39">
        <f t="shared" si="32"/>
        <v>3408.0000000000041</v>
      </c>
      <c r="G214" s="39">
        <f t="shared" si="33"/>
        <v>73392</v>
      </c>
      <c r="H214" s="222">
        <f t="shared" si="34"/>
        <v>4.6435578809679585E-2</v>
      </c>
      <c r="I214" s="39"/>
      <c r="J214" s="39"/>
      <c r="K214" s="39">
        <v>18019</v>
      </c>
      <c r="L214" s="39"/>
    </row>
    <row r="215" spans="1:16" x14ac:dyDescent="0.25">
      <c r="A215">
        <v>2800</v>
      </c>
      <c r="B215" s="150">
        <v>43195</v>
      </c>
      <c r="C215" s="7">
        <v>4000</v>
      </c>
      <c r="D215" s="422">
        <v>14.989000000000001</v>
      </c>
      <c r="E215" s="39">
        <v>16.8</v>
      </c>
      <c r="F215" s="39">
        <f t="shared" si="32"/>
        <v>7244</v>
      </c>
      <c r="G215" s="39">
        <f t="shared" si="33"/>
        <v>59956</v>
      </c>
      <c r="H215" s="222">
        <f t="shared" si="34"/>
        <v>0.1208219360864634</v>
      </c>
      <c r="I215" s="39">
        <v>14.5</v>
      </c>
      <c r="J215" s="39"/>
      <c r="K215" s="39">
        <v>21859</v>
      </c>
      <c r="L215" s="39"/>
    </row>
    <row r="216" spans="1:16" x14ac:dyDescent="0.25">
      <c r="A216">
        <v>2800</v>
      </c>
      <c r="B216" s="150">
        <v>43196</v>
      </c>
      <c r="C216" s="10">
        <v>4400</v>
      </c>
      <c r="D216" s="233">
        <v>15.12</v>
      </c>
      <c r="E216" s="39">
        <v>16.420000000000002</v>
      </c>
      <c r="F216" s="39">
        <f t="shared" ref="F216:F246" si="35">C216*(E216-D216)</f>
        <v>5720.0000000000109</v>
      </c>
      <c r="G216" s="39">
        <f t="shared" ref="G216:G246" si="36">D216*C216</f>
        <v>66528</v>
      </c>
      <c r="H216" s="222">
        <f t="shared" ref="H216:H246" si="37">(E216-D216)/D216</f>
        <v>8.5978835978836154E-2</v>
      </c>
      <c r="I216" s="39"/>
      <c r="J216" s="39"/>
      <c r="K216" s="39">
        <v>20339</v>
      </c>
      <c r="L216" s="39"/>
    </row>
    <row r="217" spans="1:16" x14ac:dyDescent="0.25">
      <c r="A217">
        <v>2800</v>
      </c>
      <c r="B217" s="150">
        <v>43196</v>
      </c>
      <c r="C217" s="10">
        <v>4800</v>
      </c>
      <c r="D217" s="233">
        <v>15.2</v>
      </c>
      <c r="E217" s="39">
        <v>16.100000000000001</v>
      </c>
      <c r="F217" s="39">
        <f t="shared" si="35"/>
        <v>4320.00000000001</v>
      </c>
      <c r="G217" s="39">
        <f t="shared" si="36"/>
        <v>72960</v>
      </c>
      <c r="H217" s="222">
        <f t="shared" si="37"/>
        <v>5.9210526315789616E-2</v>
      </c>
      <c r="I217" s="39"/>
      <c r="J217" s="39">
        <v>54</v>
      </c>
      <c r="K217" s="39">
        <v>18931</v>
      </c>
      <c r="L217" s="39"/>
      <c r="P217" s="70"/>
    </row>
    <row r="218" spans="1:16" ht="15" customHeight="1" x14ac:dyDescent="0.25">
      <c r="A218">
        <v>2000</v>
      </c>
      <c r="B218" s="150">
        <v>43200</v>
      </c>
      <c r="C218" s="7">
        <v>4000</v>
      </c>
      <c r="D218" s="422">
        <v>14.845000000000001</v>
      </c>
      <c r="E218" s="39">
        <v>17.059999999999999</v>
      </c>
      <c r="F218" s="39">
        <f t="shared" si="35"/>
        <v>8859.9999999999927</v>
      </c>
      <c r="G218" s="39">
        <f t="shared" si="36"/>
        <v>59380</v>
      </c>
      <c r="H218" s="222">
        <f t="shared" si="37"/>
        <v>0.14920848770629827</v>
      </c>
      <c r="I218" s="39"/>
      <c r="J218" s="39"/>
      <c r="K218" s="39">
        <v>23474</v>
      </c>
      <c r="L218" s="39"/>
      <c r="P218" s="70"/>
    </row>
    <row r="219" spans="1:16" x14ac:dyDescent="0.25">
      <c r="A219">
        <v>2000</v>
      </c>
      <c r="B219" s="150">
        <v>43208</v>
      </c>
      <c r="C219" s="10">
        <v>4000</v>
      </c>
      <c r="D219" s="233">
        <v>14.845000000000001</v>
      </c>
      <c r="E219" s="39">
        <v>18.23</v>
      </c>
      <c r="F219" s="39">
        <f t="shared" si="35"/>
        <v>13540</v>
      </c>
      <c r="G219" s="39">
        <f t="shared" si="36"/>
        <v>59380</v>
      </c>
      <c r="H219" s="222">
        <f t="shared" si="37"/>
        <v>0.22802290333445602</v>
      </c>
      <c r="I219" s="39"/>
      <c r="J219" s="39"/>
      <c r="K219" s="39">
        <v>28154</v>
      </c>
      <c r="L219" s="39"/>
    </row>
    <row r="220" spans="1:16" x14ac:dyDescent="0.25">
      <c r="A220">
        <v>2600</v>
      </c>
      <c r="B220" s="150">
        <v>43216</v>
      </c>
      <c r="C220" s="10">
        <v>4000</v>
      </c>
      <c r="D220" s="233">
        <v>14.845000000000001</v>
      </c>
      <c r="E220" s="39">
        <v>18.46</v>
      </c>
      <c r="F220" s="39">
        <f t="shared" si="35"/>
        <v>14460</v>
      </c>
      <c r="G220" s="39">
        <f t="shared" si="36"/>
        <v>59380</v>
      </c>
      <c r="H220" s="222">
        <f t="shared" si="37"/>
        <v>0.24351633546648704</v>
      </c>
      <c r="I220" s="39"/>
      <c r="J220" s="39"/>
      <c r="K220" s="39">
        <v>29075</v>
      </c>
      <c r="L220" s="39"/>
    </row>
    <row r="221" spans="1:16" x14ac:dyDescent="0.25">
      <c r="A221">
        <v>2600</v>
      </c>
      <c r="B221" s="150">
        <v>43217</v>
      </c>
      <c r="C221" s="10">
        <v>4300</v>
      </c>
      <c r="D221" s="233">
        <v>15.0785</v>
      </c>
      <c r="E221" s="39">
        <v>18.11</v>
      </c>
      <c r="F221" s="39">
        <f t="shared" si="35"/>
        <v>13035.449999999997</v>
      </c>
      <c r="G221" s="39">
        <f t="shared" si="36"/>
        <v>64837.55</v>
      </c>
      <c r="H221" s="222">
        <f t="shared" si="37"/>
        <v>0.20104784958716049</v>
      </c>
      <c r="I221" s="39"/>
      <c r="J221" s="39"/>
      <c r="K221" s="39">
        <v>27651</v>
      </c>
      <c r="L221" s="39"/>
    </row>
    <row r="222" spans="1:16" x14ac:dyDescent="0.25">
      <c r="A222">
        <v>2500</v>
      </c>
      <c r="B222" s="150">
        <v>43220</v>
      </c>
      <c r="C222" s="7">
        <v>4000</v>
      </c>
      <c r="D222" s="422">
        <v>14.829000000000001</v>
      </c>
      <c r="E222" s="39">
        <v>18.25</v>
      </c>
      <c r="F222" s="39">
        <f t="shared" si="35"/>
        <v>13683.999999999998</v>
      </c>
      <c r="G222" s="39">
        <f t="shared" si="36"/>
        <v>59316</v>
      </c>
      <c r="H222" s="222">
        <f t="shared" si="37"/>
        <v>0.230696607997842</v>
      </c>
      <c r="I222" s="39"/>
      <c r="J222" s="39"/>
      <c r="K222" s="39">
        <v>28301</v>
      </c>
      <c r="L222" s="39"/>
    </row>
    <row r="223" spans="1:16" x14ac:dyDescent="0.25">
      <c r="A223">
        <v>2400</v>
      </c>
      <c r="B223" s="150">
        <v>43223</v>
      </c>
      <c r="C223" s="10">
        <v>3500</v>
      </c>
      <c r="D223" s="233">
        <v>14.14</v>
      </c>
      <c r="E223" s="39">
        <v>19.440000000000001</v>
      </c>
      <c r="F223" s="39">
        <f t="shared" si="35"/>
        <v>18550.000000000004</v>
      </c>
      <c r="G223" s="39">
        <f t="shared" si="36"/>
        <v>49490</v>
      </c>
      <c r="H223" s="222">
        <f t="shared" si="37"/>
        <v>0.37482319660537483</v>
      </c>
      <c r="I223" s="39"/>
      <c r="J223" s="39"/>
      <c r="K223" s="39">
        <v>32986</v>
      </c>
      <c r="L223" s="39"/>
    </row>
    <row r="224" spans="1:16" x14ac:dyDescent="0.25">
      <c r="A224">
        <v>1900</v>
      </c>
      <c r="B224" s="150">
        <v>43224</v>
      </c>
      <c r="C224" s="10">
        <v>3000</v>
      </c>
      <c r="D224" s="233">
        <v>13.243</v>
      </c>
      <c r="E224" s="39">
        <v>19.72</v>
      </c>
      <c r="F224" s="39">
        <f t="shared" si="35"/>
        <v>19430.999999999996</v>
      </c>
      <c r="G224" s="39">
        <f t="shared" si="36"/>
        <v>39729</v>
      </c>
      <c r="H224" s="222">
        <f t="shared" si="37"/>
        <v>0.48908857509627718</v>
      </c>
      <c r="I224" s="39"/>
      <c r="J224" s="39"/>
      <c r="K224" s="39">
        <v>34045</v>
      </c>
      <c r="L224" s="39"/>
    </row>
    <row r="225" spans="1:17" x14ac:dyDescent="0.25">
      <c r="A225">
        <v>2400</v>
      </c>
      <c r="B225" s="150">
        <v>43227</v>
      </c>
      <c r="C225" s="228">
        <v>3000</v>
      </c>
      <c r="D225" s="827">
        <v>13.17</v>
      </c>
      <c r="E225" s="39">
        <v>19.77</v>
      </c>
      <c r="F225" s="39">
        <f t="shared" si="35"/>
        <v>19800</v>
      </c>
      <c r="G225" s="39">
        <f t="shared" si="36"/>
        <v>39510</v>
      </c>
      <c r="H225" s="222">
        <f t="shared" si="37"/>
        <v>0.50113895216400905</v>
      </c>
      <c r="I225" s="39"/>
      <c r="J225" s="39"/>
      <c r="K225" s="39">
        <v>34414</v>
      </c>
      <c r="L225" s="39"/>
    </row>
    <row r="226" spans="1:17" x14ac:dyDescent="0.25">
      <c r="A226">
        <v>2100</v>
      </c>
      <c r="B226" s="150">
        <v>43229</v>
      </c>
      <c r="C226" s="10">
        <v>2700</v>
      </c>
      <c r="D226" s="233">
        <v>12.3</v>
      </c>
      <c r="E226" s="39">
        <v>21.26</v>
      </c>
      <c r="F226" s="39">
        <f t="shared" si="35"/>
        <v>24192.000000000004</v>
      </c>
      <c r="G226" s="39">
        <f t="shared" si="36"/>
        <v>33210</v>
      </c>
      <c r="H226" s="222">
        <f t="shared" si="37"/>
        <v>0.72845528455284558</v>
      </c>
      <c r="I226" s="39"/>
      <c r="J226" s="39"/>
      <c r="K226" s="39">
        <v>38800</v>
      </c>
      <c r="L226" s="39"/>
    </row>
    <row r="227" spans="1:17" ht="15" customHeight="1" x14ac:dyDescent="0.25">
      <c r="A227">
        <v>1400</v>
      </c>
      <c r="B227" s="150">
        <v>43234</v>
      </c>
      <c r="C227" s="420">
        <v>2000</v>
      </c>
      <c r="D227" s="846">
        <v>9.0908999999999995</v>
      </c>
      <c r="E227" s="39">
        <v>21.42</v>
      </c>
      <c r="F227" s="39">
        <f t="shared" si="35"/>
        <v>24658.200000000004</v>
      </c>
      <c r="G227" s="39">
        <f t="shared" si="36"/>
        <v>18181.8</v>
      </c>
      <c r="H227" s="222">
        <f t="shared" si="37"/>
        <v>1.3562023562023564</v>
      </c>
      <c r="I227" s="39"/>
      <c r="J227" s="39"/>
      <c r="K227" s="39">
        <v>39274</v>
      </c>
      <c r="L227" s="39"/>
    </row>
    <row r="228" spans="1:17" ht="15" customHeight="1" x14ac:dyDescent="0.25">
      <c r="A228">
        <v>400</v>
      </c>
      <c r="B228" s="150">
        <v>43241</v>
      </c>
      <c r="C228" s="10">
        <v>1000</v>
      </c>
      <c r="D228" s="233">
        <v>-3.7</v>
      </c>
      <c r="E228" s="39">
        <v>21.9</v>
      </c>
      <c r="F228" s="39">
        <f t="shared" si="35"/>
        <v>25599.999999999996</v>
      </c>
      <c r="G228" s="39">
        <f t="shared" si="36"/>
        <v>-3700</v>
      </c>
      <c r="H228" s="222">
        <f t="shared" si="37"/>
        <v>-6.9189189189189184</v>
      </c>
      <c r="I228" s="39"/>
      <c r="J228" s="39"/>
      <c r="K228" s="39">
        <v>40213</v>
      </c>
      <c r="L228" s="39"/>
    </row>
    <row r="229" spans="1:17" x14ac:dyDescent="0.25">
      <c r="A229">
        <v>400</v>
      </c>
      <c r="B229" s="150">
        <v>43245</v>
      </c>
      <c r="C229" s="10">
        <v>2000</v>
      </c>
      <c r="D229" s="233">
        <v>8.4410000000000007</v>
      </c>
      <c r="E229" s="39">
        <v>20.329999999999998</v>
      </c>
      <c r="F229" s="39">
        <f t="shared" si="35"/>
        <v>23777.999999999996</v>
      </c>
      <c r="G229" s="39">
        <f t="shared" si="36"/>
        <v>16882</v>
      </c>
      <c r="H229" s="222">
        <f t="shared" si="37"/>
        <v>1.4084824072977131</v>
      </c>
      <c r="I229" s="39"/>
      <c r="J229" s="39"/>
      <c r="K229" s="39">
        <v>38393</v>
      </c>
      <c r="L229" s="39"/>
      <c r="P229" s="1"/>
    </row>
    <row r="230" spans="1:17" x14ac:dyDescent="0.25">
      <c r="A230">
        <v>700</v>
      </c>
      <c r="B230" s="150">
        <v>43250</v>
      </c>
      <c r="C230" s="10">
        <v>2000</v>
      </c>
      <c r="D230" s="233">
        <v>8.4410000000000007</v>
      </c>
      <c r="E230" s="39">
        <v>21.53</v>
      </c>
      <c r="F230" s="39">
        <f t="shared" si="35"/>
        <v>26178</v>
      </c>
      <c r="G230" s="39">
        <f t="shared" si="36"/>
        <v>16882</v>
      </c>
      <c r="H230" s="222">
        <f t="shared" si="37"/>
        <v>1.5506456580973818</v>
      </c>
      <c r="I230" s="39"/>
      <c r="J230" s="39"/>
      <c r="K230" s="39">
        <v>40793</v>
      </c>
      <c r="L230" s="39"/>
      <c r="Q230" s="70"/>
    </row>
    <row r="231" spans="1:17" x14ac:dyDescent="0.25">
      <c r="A231">
        <v>700</v>
      </c>
      <c r="B231" s="150">
        <v>43262</v>
      </c>
      <c r="C231" s="10">
        <v>1700</v>
      </c>
      <c r="D231" s="233">
        <v>6.1519000000000004</v>
      </c>
      <c r="E231" s="39">
        <v>21.47</v>
      </c>
      <c r="F231" s="39">
        <f t="shared" si="35"/>
        <v>26040.769999999997</v>
      </c>
      <c r="G231" s="39">
        <f t="shared" si="36"/>
        <v>10458.230000000001</v>
      </c>
      <c r="H231" s="222">
        <f t="shared" si="37"/>
        <v>2.4899787057656977</v>
      </c>
      <c r="I231" s="39"/>
      <c r="J231" s="39"/>
      <c r="K231" s="39">
        <v>40656</v>
      </c>
      <c r="L231" s="39"/>
      <c r="P231" s="1"/>
    </row>
    <row r="232" spans="1:17" x14ac:dyDescent="0.25">
      <c r="A232">
        <v>700</v>
      </c>
      <c r="B232" s="150">
        <v>43266</v>
      </c>
      <c r="C232" s="423">
        <v>2000</v>
      </c>
      <c r="D232" s="847">
        <v>8.3116000000000003</v>
      </c>
      <c r="E232" s="39">
        <v>19.989999999999998</v>
      </c>
      <c r="F232" s="39">
        <f t="shared" si="35"/>
        <v>23356.799999999996</v>
      </c>
      <c r="G232" s="39">
        <f t="shared" si="36"/>
        <v>16623.2</v>
      </c>
      <c r="H232" s="222">
        <f t="shared" si="37"/>
        <v>1.4050724288945566</v>
      </c>
      <c r="I232" s="39"/>
      <c r="J232" s="39"/>
      <c r="K232" s="39">
        <v>37972</v>
      </c>
      <c r="L232" s="39">
        <v>64.3</v>
      </c>
      <c r="P232" s="1"/>
      <c r="Q232" s="70"/>
    </row>
    <row r="233" spans="1:17" x14ac:dyDescent="0.25">
      <c r="A233">
        <v>700</v>
      </c>
      <c r="B233" s="150">
        <v>43266</v>
      </c>
      <c r="C233" s="10">
        <v>2500</v>
      </c>
      <c r="D233" s="233">
        <v>10.645</v>
      </c>
      <c r="E233" s="39">
        <v>19.989999999999998</v>
      </c>
      <c r="F233" s="39">
        <f t="shared" si="35"/>
        <v>23362.499999999996</v>
      </c>
      <c r="G233" s="39">
        <f t="shared" si="36"/>
        <v>26612.5</v>
      </c>
      <c r="H233" s="222">
        <f t="shared" si="37"/>
        <v>0.87787693752935647</v>
      </c>
      <c r="I233" s="39"/>
      <c r="J233" s="39"/>
      <c r="K233" s="39">
        <v>37978</v>
      </c>
      <c r="L233" s="39"/>
      <c r="P233" s="1"/>
    </row>
    <row r="234" spans="1:17" x14ac:dyDescent="0.25">
      <c r="A234">
        <v>200</v>
      </c>
      <c r="B234" s="150">
        <v>43269</v>
      </c>
      <c r="C234" s="10">
        <v>2000</v>
      </c>
      <c r="D234" s="233">
        <v>8.1714000000000002</v>
      </c>
      <c r="E234" s="39">
        <v>20.32</v>
      </c>
      <c r="F234" s="39">
        <f t="shared" si="35"/>
        <v>24297.200000000001</v>
      </c>
      <c r="G234" s="39">
        <f t="shared" si="36"/>
        <v>16342.800000000001</v>
      </c>
      <c r="H234" s="222">
        <f t="shared" si="37"/>
        <v>1.48672198154539</v>
      </c>
      <c r="I234" s="39"/>
      <c r="J234" s="39"/>
      <c r="K234" s="39">
        <v>38913</v>
      </c>
      <c r="L234" s="39">
        <v>65.62</v>
      </c>
      <c r="P234" s="1"/>
      <c r="Q234" s="70"/>
    </row>
    <row r="235" spans="1:17" x14ac:dyDescent="0.25">
      <c r="A235">
        <v>0</v>
      </c>
      <c r="B235" s="150">
        <v>43271</v>
      </c>
      <c r="C235" s="10">
        <v>1800</v>
      </c>
      <c r="D235" s="233">
        <v>6.7594000000000003</v>
      </c>
      <c r="E235" s="39">
        <v>21.06</v>
      </c>
      <c r="F235" s="39">
        <f t="shared" si="35"/>
        <v>25741.079999999998</v>
      </c>
      <c r="G235" s="39">
        <f t="shared" si="36"/>
        <v>12166.92</v>
      </c>
      <c r="H235" s="222">
        <f t="shared" si="37"/>
        <v>2.1156611533568066</v>
      </c>
      <c r="I235" s="39"/>
      <c r="J235" s="39"/>
      <c r="K235" s="39">
        <v>40357</v>
      </c>
      <c r="L235" s="39">
        <v>65.91</v>
      </c>
      <c r="Q235" s="70"/>
    </row>
    <row r="236" spans="1:17" x14ac:dyDescent="0.25">
      <c r="A236">
        <v>0</v>
      </c>
      <c r="B236" s="150">
        <v>43272</v>
      </c>
      <c r="C236" s="10">
        <v>2000</v>
      </c>
      <c r="D236" s="233">
        <v>8.0879999999999992</v>
      </c>
      <c r="E236" s="39">
        <v>19.920000000000002</v>
      </c>
      <c r="F236" s="39">
        <f t="shared" si="35"/>
        <v>23664.000000000004</v>
      </c>
      <c r="G236" s="39">
        <f t="shared" si="36"/>
        <v>16175.999999999998</v>
      </c>
      <c r="H236" s="222">
        <f t="shared" si="37"/>
        <v>1.4629080118694366</v>
      </c>
      <c r="I236" s="39"/>
      <c r="J236" s="39"/>
      <c r="K236" s="39">
        <v>38279</v>
      </c>
      <c r="L236" s="39">
        <v>69.28</v>
      </c>
      <c r="P236" s="1"/>
    </row>
    <row r="237" spans="1:17" x14ac:dyDescent="0.25">
      <c r="A237">
        <v>1000</v>
      </c>
      <c r="B237" s="150">
        <v>43276</v>
      </c>
      <c r="C237" s="10">
        <v>2200</v>
      </c>
      <c r="D237" s="233">
        <v>9.2149999999999999</v>
      </c>
      <c r="E237" s="39">
        <v>20.3</v>
      </c>
      <c r="F237" s="39">
        <f t="shared" si="35"/>
        <v>24387.000000000004</v>
      </c>
      <c r="G237" s="39">
        <f t="shared" si="36"/>
        <v>20273</v>
      </c>
      <c r="H237" s="222">
        <f t="shared" si="37"/>
        <v>1.202930005425936</v>
      </c>
      <c r="I237" s="39"/>
      <c r="J237" s="39"/>
      <c r="K237" s="39">
        <v>39003</v>
      </c>
      <c r="L237" s="39">
        <v>70.53</v>
      </c>
    </row>
    <row r="238" spans="1:17" x14ac:dyDescent="0.25">
      <c r="A238">
        <v>1000</v>
      </c>
      <c r="B238" s="150">
        <v>43278</v>
      </c>
      <c r="C238" s="10">
        <v>2200</v>
      </c>
      <c r="D238" s="233">
        <v>9.2149999999999999</v>
      </c>
      <c r="E238" s="39">
        <v>21.22</v>
      </c>
      <c r="F238" s="39">
        <f t="shared" si="35"/>
        <v>26410.999999999996</v>
      </c>
      <c r="G238" s="39">
        <f t="shared" si="36"/>
        <v>20273</v>
      </c>
      <c r="H238" s="222">
        <f t="shared" si="37"/>
        <v>1.3027672273467172</v>
      </c>
      <c r="I238" s="39"/>
      <c r="J238" s="39"/>
      <c r="K238" s="39">
        <v>41027</v>
      </c>
      <c r="L238" s="39"/>
    </row>
    <row r="239" spans="1:17" x14ac:dyDescent="0.25">
      <c r="A239">
        <v>1000</v>
      </c>
      <c r="B239" s="150">
        <v>43283</v>
      </c>
      <c r="C239" s="10">
        <v>2200</v>
      </c>
      <c r="D239" s="233">
        <v>9.2149999999999999</v>
      </c>
      <c r="E239" s="39">
        <v>20.66</v>
      </c>
      <c r="F239" s="39">
        <f t="shared" si="35"/>
        <v>25179</v>
      </c>
      <c r="G239" s="39">
        <f t="shared" si="36"/>
        <v>20273</v>
      </c>
      <c r="H239" s="222">
        <f t="shared" si="37"/>
        <v>1.2419967444384157</v>
      </c>
      <c r="I239" s="39"/>
      <c r="J239" s="39"/>
      <c r="K239" s="39">
        <v>39795</v>
      </c>
      <c r="L239" s="39"/>
    </row>
    <row r="240" spans="1:17" x14ac:dyDescent="0.25">
      <c r="A240">
        <v>800</v>
      </c>
      <c r="B240" s="150">
        <v>43284</v>
      </c>
      <c r="C240" s="423">
        <v>2000</v>
      </c>
      <c r="D240" s="847">
        <v>7.9779999999999998</v>
      </c>
      <c r="E240" s="39">
        <v>21</v>
      </c>
      <c r="F240" s="39">
        <f t="shared" si="35"/>
        <v>26044</v>
      </c>
      <c r="G240" s="39">
        <f t="shared" si="36"/>
        <v>15956</v>
      </c>
      <c r="H240" s="222">
        <f t="shared" si="37"/>
        <v>1.6322386563048383</v>
      </c>
      <c r="I240" s="39"/>
      <c r="J240" s="39"/>
      <c r="K240" s="39">
        <v>40659</v>
      </c>
      <c r="L240" s="39"/>
    </row>
    <row r="241" spans="1:12" x14ac:dyDescent="0.25">
      <c r="B241" s="150">
        <v>43286</v>
      </c>
      <c r="C241" s="10">
        <v>2200</v>
      </c>
      <c r="D241" s="233">
        <v>9.1513000000000009</v>
      </c>
      <c r="E241" s="39">
        <v>20.88</v>
      </c>
      <c r="F241" s="39">
        <f t="shared" si="35"/>
        <v>25803.139999999996</v>
      </c>
      <c r="G241" s="39">
        <f t="shared" si="36"/>
        <v>20132.86</v>
      </c>
      <c r="H241" s="222">
        <f t="shared" si="37"/>
        <v>1.2816430452504013</v>
      </c>
      <c r="I241" s="39"/>
      <c r="J241" s="39"/>
      <c r="K241" s="39">
        <v>40419</v>
      </c>
      <c r="L241" s="39"/>
    </row>
    <row r="242" spans="1:12" ht="15" customHeight="1" x14ac:dyDescent="0.25">
      <c r="A242">
        <v>800</v>
      </c>
      <c r="B242" s="150">
        <v>43286</v>
      </c>
      <c r="C242" s="10">
        <v>2500</v>
      </c>
      <c r="D242" s="233">
        <v>10.535</v>
      </c>
      <c r="E242" s="39">
        <v>20.7</v>
      </c>
      <c r="F242" s="39">
        <f t="shared" si="35"/>
        <v>25412.499999999996</v>
      </c>
      <c r="G242" s="39">
        <f t="shared" si="36"/>
        <v>26337.5</v>
      </c>
      <c r="H242" s="222">
        <f t="shared" si="37"/>
        <v>0.96487897484575214</v>
      </c>
      <c r="I242" s="39"/>
      <c r="J242" s="39"/>
      <c r="K242" s="39">
        <v>40028</v>
      </c>
      <c r="L242" s="39"/>
    </row>
    <row r="243" spans="1:12" ht="18.75" customHeight="1" x14ac:dyDescent="0.25">
      <c r="A243">
        <v>300</v>
      </c>
      <c r="B243" s="150">
        <v>43287</v>
      </c>
      <c r="C243" s="423">
        <v>2000</v>
      </c>
      <c r="D243" s="847">
        <v>7.9015000000000004</v>
      </c>
      <c r="E243" s="39">
        <v>21.07</v>
      </c>
      <c r="F243" s="39">
        <f t="shared" si="35"/>
        <v>26337</v>
      </c>
      <c r="G243" s="39">
        <f t="shared" si="36"/>
        <v>15803</v>
      </c>
      <c r="H243" s="222">
        <f t="shared" si="37"/>
        <v>1.666582294501044</v>
      </c>
      <c r="I243" s="39"/>
      <c r="J243" s="39"/>
      <c r="K243" s="39">
        <v>40952</v>
      </c>
      <c r="L243" s="39"/>
    </row>
    <row r="244" spans="1:12" x14ac:dyDescent="0.25">
      <c r="A244">
        <v>0</v>
      </c>
      <c r="B244" s="150">
        <v>43290</v>
      </c>
      <c r="C244" s="10">
        <v>1700</v>
      </c>
      <c r="D244" s="233">
        <v>5.4859999999999998</v>
      </c>
      <c r="E244" s="39">
        <v>21.75</v>
      </c>
      <c r="F244" s="39">
        <f t="shared" si="35"/>
        <v>27648.799999999999</v>
      </c>
      <c r="G244" s="39">
        <f t="shared" si="36"/>
        <v>9326.1999999999989</v>
      </c>
      <c r="H244" s="222">
        <f t="shared" si="37"/>
        <v>2.9646372584761211</v>
      </c>
      <c r="I244" s="39"/>
      <c r="J244" s="39"/>
      <c r="K244" s="39">
        <v>42264</v>
      </c>
      <c r="L244" s="39"/>
    </row>
    <row r="245" spans="1:12" x14ac:dyDescent="0.25">
      <c r="A245">
        <v>0</v>
      </c>
      <c r="B245" s="150">
        <v>43292</v>
      </c>
      <c r="C245" s="423">
        <v>2000</v>
      </c>
      <c r="D245" s="847">
        <v>7.8579999999999997</v>
      </c>
      <c r="E245" s="39">
        <v>21.2</v>
      </c>
      <c r="F245" s="39">
        <f t="shared" si="35"/>
        <v>26683.999999999996</v>
      </c>
      <c r="G245" s="39">
        <f t="shared" si="36"/>
        <v>15716</v>
      </c>
      <c r="H245" s="222">
        <f t="shared" si="37"/>
        <v>1.6978875031814711</v>
      </c>
      <c r="I245" s="39"/>
      <c r="J245" s="39"/>
      <c r="K245" s="39">
        <v>41299</v>
      </c>
      <c r="L245" s="39"/>
    </row>
    <row r="246" spans="1:12" x14ac:dyDescent="0.25">
      <c r="B246" s="150">
        <v>43297</v>
      </c>
      <c r="C246" s="10">
        <v>2500</v>
      </c>
      <c r="D246" s="233">
        <v>10.362</v>
      </c>
      <c r="E246" s="39">
        <v>19.850000000000001</v>
      </c>
      <c r="F246" s="39">
        <f t="shared" si="35"/>
        <v>23720.000000000004</v>
      </c>
      <c r="G246" s="39">
        <f t="shared" si="36"/>
        <v>25905</v>
      </c>
      <c r="H246" s="222">
        <f t="shared" si="37"/>
        <v>0.91565334877436799</v>
      </c>
      <c r="I246" s="39"/>
      <c r="J246" s="39"/>
      <c r="K246" s="39">
        <v>38334</v>
      </c>
      <c r="L246" s="39"/>
    </row>
    <row r="247" spans="1:12" x14ac:dyDescent="0.25">
      <c r="A247">
        <v>800</v>
      </c>
      <c r="B247" s="150">
        <v>43297</v>
      </c>
      <c r="C247" s="228">
        <v>3000</v>
      </c>
      <c r="D247" s="827">
        <v>11.96</v>
      </c>
      <c r="E247" s="39">
        <v>19.850000000000001</v>
      </c>
      <c r="F247" s="39">
        <f t="shared" ref="F247:F250" si="38">C247*(E247-D247)</f>
        <v>23670</v>
      </c>
      <c r="G247" s="39">
        <f t="shared" ref="G247:G250" si="39">D247*C247</f>
        <v>35880</v>
      </c>
      <c r="H247" s="222">
        <f t="shared" ref="H247:H250" si="40">(E247-D247)/D247</f>
        <v>0.65969899665551834</v>
      </c>
      <c r="I247" s="39"/>
      <c r="J247" s="39"/>
      <c r="K247" s="39">
        <v>38284</v>
      </c>
      <c r="L247" s="39"/>
    </row>
    <row r="248" spans="1:12" x14ac:dyDescent="0.25">
      <c r="A248">
        <v>300</v>
      </c>
      <c r="B248" s="150">
        <v>43299</v>
      </c>
      <c r="C248" s="10">
        <v>2500</v>
      </c>
      <c r="D248" s="233">
        <v>10.27</v>
      </c>
      <c r="E248" s="39">
        <v>20.420000000000002</v>
      </c>
      <c r="F248" s="39">
        <f t="shared" si="38"/>
        <v>25375.000000000004</v>
      </c>
      <c r="G248" s="39">
        <f t="shared" si="39"/>
        <v>25675</v>
      </c>
      <c r="H248" s="222">
        <f t="shared" si="40"/>
        <v>0.98831548198636832</v>
      </c>
      <c r="I248" s="39"/>
      <c r="J248" s="39"/>
      <c r="K248" s="39">
        <v>39994</v>
      </c>
      <c r="L248" s="39">
        <v>68.81</v>
      </c>
    </row>
    <row r="249" spans="1:12" x14ac:dyDescent="0.25">
      <c r="A249">
        <v>0</v>
      </c>
      <c r="B249" s="150">
        <v>43300</v>
      </c>
      <c r="C249" s="10">
        <v>2200</v>
      </c>
      <c r="D249" s="233">
        <v>8.8620000000000001</v>
      </c>
      <c r="E249" s="39">
        <v>20.54</v>
      </c>
      <c r="F249" s="39">
        <f t="shared" si="38"/>
        <v>25691.599999999999</v>
      </c>
      <c r="G249" s="39">
        <f t="shared" si="39"/>
        <v>19496.400000000001</v>
      </c>
      <c r="H249" s="222">
        <f t="shared" si="40"/>
        <v>1.3177612277138342</v>
      </c>
      <c r="I249" s="39"/>
      <c r="J249" s="39"/>
      <c r="K249" s="39">
        <v>40306</v>
      </c>
      <c r="L249" s="39">
        <v>69.405000000000001</v>
      </c>
    </row>
    <row r="250" spans="1:12" x14ac:dyDescent="0.25">
      <c r="A250">
        <v>0</v>
      </c>
      <c r="B250" s="150">
        <v>43305</v>
      </c>
      <c r="C250" s="423">
        <v>2000</v>
      </c>
      <c r="D250" s="847">
        <v>7.6566000000000001</v>
      </c>
      <c r="E250" s="39">
        <v>20.92</v>
      </c>
      <c r="F250" s="39">
        <f t="shared" si="38"/>
        <v>26526.800000000003</v>
      </c>
      <c r="G250" s="39">
        <f t="shared" si="39"/>
        <v>15313.2</v>
      </c>
      <c r="H250" s="222">
        <f t="shared" si="40"/>
        <v>1.732283258887757</v>
      </c>
      <c r="I250" s="39"/>
      <c r="J250" s="39"/>
      <c r="K250" s="39">
        <v>41142</v>
      </c>
      <c r="L250" s="39">
        <v>68.83</v>
      </c>
    </row>
    <row r="251" spans="1:12" x14ac:dyDescent="0.25">
      <c r="A251">
        <v>200</v>
      </c>
      <c r="B251" s="150">
        <v>43307</v>
      </c>
      <c r="C251" s="10">
        <v>2000</v>
      </c>
      <c r="D251" s="233">
        <v>7.657</v>
      </c>
      <c r="E251" s="39">
        <v>21.24</v>
      </c>
      <c r="F251" s="39">
        <f t="shared" ref="F251" si="41">C251*(E251-D251)</f>
        <v>27165.999999999996</v>
      </c>
      <c r="G251" s="39">
        <f t="shared" ref="G251" si="42">D251*C251</f>
        <v>15314</v>
      </c>
      <c r="H251" s="222">
        <f t="shared" ref="H251" si="43">(E251-D251)/D251</f>
        <v>1.7739323494841319</v>
      </c>
      <c r="I251" s="39"/>
      <c r="J251" s="39"/>
      <c r="K251" s="39">
        <v>41782</v>
      </c>
      <c r="L251" s="39">
        <v>69.52</v>
      </c>
    </row>
    <row r="252" spans="1:12" x14ac:dyDescent="0.25">
      <c r="A252">
        <v>200</v>
      </c>
      <c r="B252" s="150">
        <v>43308</v>
      </c>
      <c r="C252" s="10">
        <v>2000</v>
      </c>
      <c r="D252" s="233">
        <v>7.657</v>
      </c>
      <c r="E252" s="39">
        <v>20.83</v>
      </c>
      <c r="F252" s="39">
        <f t="shared" ref="F252:F255" si="44">C252*(E252-D252)</f>
        <v>26345.999999999996</v>
      </c>
      <c r="G252" s="39">
        <f t="shared" ref="G252:G255" si="45">D252*C252</f>
        <v>15314</v>
      </c>
      <c r="H252" s="222">
        <f t="shared" ref="H252:H255" si="46">(E252-D252)/D252</f>
        <v>1.7203865743763873</v>
      </c>
      <c r="I252" s="39"/>
      <c r="J252" s="39"/>
      <c r="K252" s="39">
        <v>40962</v>
      </c>
      <c r="L252" s="39">
        <v>68.849999999999994</v>
      </c>
    </row>
    <row r="253" spans="1:12" x14ac:dyDescent="0.25">
      <c r="A253">
        <v>0</v>
      </c>
      <c r="B253" s="150">
        <v>43311</v>
      </c>
      <c r="C253" s="10">
        <v>1800</v>
      </c>
      <c r="D253" s="233">
        <v>6.1390000000000002</v>
      </c>
      <c r="E253" s="39">
        <v>21.11</v>
      </c>
      <c r="F253" s="39">
        <f t="shared" si="44"/>
        <v>26947.8</v>
      </c>
      <c r="G253" s="39">
        <f t="shared" si="45"/>
        <v>11050.2</v>
      </c>
      <c r="H253" s="222">
        <f t="shared" si="46"/>
        <v>2.438670793288809</v>
      </c>
      <c r="I253" s="39"/>
      <c r="J253" s="39"/>
      <c r="K253" s="39">
        <v>41564</v>
      </c>
      <c r="L253" s="39">
        <v>69.900000000000006</v>
      </c>
    </row>
    <row r="254" spans="1:12" x14ac:dyDescent="0.25">
      <c r="A254">
        <v>0</v>
      </c>
      <c r="B254" s="150">
        <v>43312</v>
      </c>
      <c r="C254" s="423">
        <v>2000</v>
      </c>
      <c r="D254" s="847">
        <v>7.5896999999999997</v>
      </c>
      <c r="E254" s="39">
        <v>21.12</v>
      </c>
      <c r="F254" s="39">
        <f t="shared" si="44"/>
        <v>27060.600000000002</v>
      </c>
      <c r="G254" s="39">
        <f t="shared" si="45"/>
        <v>15179.4</v>
      </c>
      <c r="H254" s="222">
        <f t="shared" si="46"/>
        <v>1.7827186845329857</v>
      </c>
      <c r="I254" s="39"/>
      <c r="J254" s="39"/>
      <c r="K254" s="39">
        <v>41676</v>
      </c>
      <c r="L254" s="39">
        <v>68.41</v>
      </c>
    </row>
    <row r="255" spans="1:12" x14ac:dyDescent="0.25">
      <c r="B255" s="150">
        <v>43314</v>
      </c>
      <c r="C255" s="10">
        <v>2200</v>
      </c>
      <c r="D255" s="233">
        <v>8.2899999999999991</v>
      </c>
      <c r="E255" s="39">
        <v>20.63</v>
      </c>
      <c r="F255" s="39">
        <f t="shared" si="44"/>
        <v>27148</v>
      </c>
      <c r="G255" s="39">
        <f t="shared" si="45"/>
        <v>18237.999999999996</v>
      </c>
      <c r="H255" s="222">
        <f t="shared" si="46"/>
        <v>1.4885404101326902</v>
      </c>
      <c r="I255" s="39"/>
      <c r="J255" s="39"/>
      <c r="K255" s="39">
        <v>40882</v>
      </c>
      <c r="L255" s="39">
        <v>68.16</v>
      </c>
    </row>
    <row r="256" spans="1:12" x14ac:dyDescent="0.25">
      <c r="A256">
        <v>0</v>
      </c>
      <c r="B256" s="150">
        <v>43314</v>
      </c>
      <c r="C256" s="423">
        <v>2000</v>
      </c>
      <c r="D256" s="847">
        <v>7.4726999999999997</v>
      </c>
      <c r="E256" s="39">
        <v>20.88</v>
      </c>
      <c r="F256" s="39">
        <f t="shared" ref="F256" si="47">C256*(E256-D256)</f>
        <v>26814.6</v>
      </c>
      <c r="G256" s="39">
        <f t="shared" ref="G256" si="48">D256*C256</f>
        <v>14945.4</v>
      </c>
      <c r="H256" s="222">
        <f t="shared" ref="H256" si="49">(E256-D256)/D256</f>
        <v>1.7941707816451884</v>
      </c>
      <c r="I256" s="39"/>
      <c r="J256" s="39"/>
      <c r="K256" s="39">
        <v>41430</v>
      </c>
      <c r="L256" s="39">
        <v>69.11</v>
      </c>
    </row>
    <row r="257" spans="1:12" x14ac:dyDescent="0.25">
      <c r="A257">
        <v>300</v>
      </c>
      <c r="B257" s="150">
        <v>43320</v>
      </c>
      <c r="C257" s="10">
        <v>2300</v>
      </c>
      <c r="D257" s="233">
        <v>9.1080000000000005</v>
      </c>
      <c r="E257" s="39">
        <v>20.14</v>
      </c>
      <c r="F257" s="39">
        <f t="shared" ref="F257" si="50">C257*(E257-D257)</f>
        <v>25373.599999999999</v>
      </c>
      <c r="G257" s="39">
        <f t="shared" ref="G257" si="51">D257*C257</f>
        <v>20948.400000000001</v>
      </c>
      <c r="H257" s="222">
        <f t="shared" ref="H257" si="52">(E257-D257)/D257</f>
        <v>1.2112428634167764</v>
      </c>
      <c r="I257" s="39"/>
      <c r="J257" s="39"/>
      <c r="K257" s="39">
        <v>39989</v>
      </c>
      <c r="L257" s="39">
        <v>66.84</v>
      </c>
    </row>
    <row r="258" spans="1:12" x14ac:dyDescent="0.25">
      <c r="A258">
        <v>300</v>
      </c>
      <c r="B258" s="150">
        <v>43322</v>
      </c>
      <c r="C258" s="10">
        <v>2300</v>
      </c>
      <c r="D258" s="233">
        <v>9.1080000000000005</v>
      </c>
      <c r="E258" s="39">
        <v>20.38</v>
      </c>
      <c r="F258" s="39">
        <f t="shared" ref="F258" si="53">C258*(E258-D258)</f>
        <v>25925.599999999995</v>
      </c>
      <c r="G258" s="39">
        <f t="shared" ref="G258" si="54">D258*C258</f>
        <v>20948.400000000001</v>
      </c>
      <c r="H258" s="222">
        <f t="shared" ref="H258" si="55">(E258-D258)/D258</f>
        <v>1.2375933245498461</v>
      </c>
      <c r="I258" s="39"/>
      <c r="J258" s="39"/>
      <c r="K258" s="39">
        <v>40541</v>
      </c>
      <c r="L258" s="39">
        <v>67.760000000000005</v>
      </c>
    </row>
    <row r="259" spans="1:12" x14ac:dyDescent="0.25">
      <c r="B259" s="150"/>
      <c r="C259" s="10"/>
      <c r="D259" s="233"/>
      <c r="E259" s="39"/>
      <c r="F259" s="39"/>
      <c r="G259" s="39"/>
      <c r="H259" s="222"/>
      <c r="I259" s="39"/>
      <c r="J259" s="39"/>
      <c r="K259" s="39"/>
      <c r="L259" s="39"/>
    </row>
    <row r="260" spans="1:12" x14ac:dyDescent="0.25">
      <c r="B260" s="150"/>
      <c r="C260" s="10"/>
      <c r="D260" s="233"/>
      <c r="E260" s="39"/>
      <c r="F260" s="39"/>
      <c r="G260" s="39"/>
      <c r="H260" s="222"/>
      <c r="I260" s="39"/>
      <c r="J260" s="39"/>
      <c r="K260" s="39"/>
      <c r="L260" s="39"/>
    </row>
    <row r="261" spans="1:12" x14ac:dyDescent="0.25">
      <c r="B261" s="150"/>
      <c r="C261" s="10"/>
      <c r="D261" s="233"/>
      <c r="E261" s="39"/>
      <c r="F261" s="39"/>
      <c r="G261" s="39"/>
      <c r="H261" s="222"/>
      <c r="I261" s="39"/>
      <c r="J261" s="39"/>
      <c r="K261" s="39"/>
      <c r="L261" s="39"/>
    </row>
    <row r="262" spans="1:12" x14ac:dyDescent="0.25">
      <c r="B262" s="150"/>
      <c r="C262" s="10"/>
      <c r="D262" s="233"/>
      <c r="E262" s="39"/>
      <c r="F262" s="39"/>
      <c r="G262" s="39"/>
      <c r="H262" s="222"/>
      <c r="I262" s="39"/>
      <c r="J262" s="39"/>
      <c r="K262" s="39"/>
      <c r="L262" s="39"/>
    </row>
    <row r="263" spans="1:12" x14ac:dyDescent="0.25">
      <c r="B263" s="150"/>
      <c r="C263" s="10"/>
      <c r="D263" s="233"/>
      <c r="E263" s="39"/>
      <c r="F263" s="39"/>
      <c r="G263" s="39"/>
      <c r="H263" s="222"/>
      <c r="I263" s="39"/>
      <c r="J263" s="39"/>
      <c r="K263" s="39"/>
      <c r="L263" s="39"/>
    </row>
    <row r="264" spans="1:12" x14ac:dyDescent="0.25">
      <c r="B264" s="150"/>
      <c r="C264" s="10"/>
      <c r="D264" s="233"/>
      <c r="E264" s="39"/>
      <c r="F264" s="39"/>
      <c r="G264" s="39"/>
      <c r="H264" s="222"/>
      <c r="I264" s="39"/>
      <c r="J264" s="39"/>
      <c r="K264" s="39"/>
      <c r="L264" s="39"/>
    </row>
    <row r="266" spans="1:12" x14ac:dyDescent="0.25">
      <c r="B266" s="618" t="s">
        <v>113</v>
      </c>
      <c r="C266" s="484" t="s">
        <v>146</v>
      </c>
      <c r="D266" s="619" t="s">
        <v>145</v>
      </c>
      <c r="E266" s="486" t="s">
        <v>147</v>
      </c>
      <c r="F266" s="487" t="s">
        <v>65</v>
      </c>
      <c r="G266" s="488" t="s">
        <v>151</v>
      </c>
      <c r="H266" s="487" t="s">
        <v>88</v>
      </c>
      <c r="I266" s="488" t="s">
        <v>154</v>
      </c>
    </row>
    <row r="267" spans="1:12" x14ac:dyDescent="0.25">
      <c r="B267" s="620">
        <v>42305</v>
      </c>
      <c r="C267" s="362">
        <v>2000</v>
      </c>
      <c r="D267" s="621">
        <v>34.06</v>
      </c>
      <c r="E267" s="363">
        <v>17.68</v>
      </c>
      <c r="F267" s="363">
        <v>-32767.45</v>
      </c>
      <c r="G267" s="363">
        <f t="shared" ref="G267:G273" si="56">IF(C267=0, 0,D267*C267)</f>
        <v>68120</v>
      </c>
      <c r="H267" s="365">
        <f t="shared" ref="H267:H273" si="57">IF(C267=0, D267, (E267-D267)/D267)</f>
        <v>-0.48091603053435117</v>
      </c>
      <c r="I267" s="363"/>
    </row>
    <row r="268" spans="1:12" x14ac:dyDescent="0.25">
      <c r="B268" s="620">
        <v>42307</v>
      </c>
      <c r="C268" s="362">
        <v>0</v>
      </c>
      <c r="D268" s="621" t="s">
        <v>128</v>
      </c>
      <c r="E268" s="363">
        <v>17.55</v>
      </c>
      <c r="F268" s="363">
        <v>-30722.2</v>
      </c>
      <c r="G268" s="363">
        <f t="shared" si="56"/>
        <v>0</v>
      </c>
      <c r="H268" s="365" t="str">
        <f t="shared" si="57"/>
        <v>N/A</v>
      </c>
      <c r="I268" s="363"/>
    </row>
    <row r="269" spans="1:12" x14ac:dyDescent="0.25">
      <c r="B269" s="620">
        <v>42310</v>
      </c>
      <c r="C269" s="362">
        <v>0</v>
      </c>
      <c r="D269" s="621" t="s">
        <v>128</v>
      </c>
      <c r="E269" s="363">
        <v>19.010000000000002</v>
      </c>
      <c r="F269" s="363">
        <v>-30693.25</v>
      </c>
      <c r="G269" s="363">
        <f t="shared" si="56"/>
        <v>0</v>
      </c>
      <c r="H269" s="365" t="str">
        <f t="shared" si="57"/>
        <v>N/A</v>
      </c>
      <c r="I269" s="363"/>
    </row>
    <row r="270" spans="1:12" x14ac:dyDescent="0.25">
      <c r="B270" s="620">
        <v>42314</v>
      </c>
      <c r="C270" s="362">
        <v>2500</v>
      </c>
      <c r="D270" s="621">
        <v>30.24</v>
      </c>
      <c r="E270" s="363">
        <v>18.29</v>
      </c>
      <c r="F270" s="363">
        <v>-29878.25</v>
      </c>
      <c r="G270" s="363">
        <f t="shared" si="56"/>
        <v>75600</v>
      </c>
      <c r="H270" s="365">
        <f t="shared" si="57"/>
        <v>-0.39517195767195767</v>
      </c>
      <c r="I270" s="363"/>
    </row>
    <row r="271" spans="1:12" x14ac:dyDescent="0.25">
      <c r="B271" s="620">
        <v>42318</v>
      </c>
      <c r="C271" s="362">
        <v>0</v>
      </c>
      <c r="D271" s="621" t="s">
        <v>128</v>
      </c>
      <c r="E271" s="363">
        <v>18.78</v>
      </c>
      <c r="F271" s="363">
        <v>-28604.09</v>
      </c>
      <c r="G271" s="363">
        <f t="shared" si="56"/>
        <v>0</v>
      </c>
      <c r="H271" s="365" t="str">
        <f t="shared" si="57"/>
        <v>N/A</v>
      </c>
      <c r="I271" s="363"/>
    </row>
    <row r="272" spans="1:12" x14ac:dyDescent="0.25">
      <c r="B272" s="620">
        <v>42328</v>
      </c>
      <c r="C272" s="362">
        <v>3078</v>
      </c>
      <c r="D272" s="621">
        <v>26.76</v>
      </c>
      <c r="E272" s="363">
        <v>17.440000000000001</v>
      </c>
      <c r="F272" s="363">
        <v>-28696.448999999906</v>
      </c>
      <c r="G272" s="363">
        <f t="shared" si="56"/>
        <v>82367.28</v>
      </c>
      <c r="H272" s="365">
        <f t="shared" si="57"/>
        <v>-0.34828101644245141</v>
      </c>
      <c r="I272" s="363"/>
    </row>
    <row r="273" spans="2:9" x14ac:dyDescent="0.25">
      <c r="B273" s="620">
        <v>42331</v>
      </c>
      <c r="C273" s="362">
        <v>0</v>
      </c>
      <c r="D273" s="621" t="s">
        <v>128</v>
      </c>
      <c r="E273" s="363">
        <v>17.53</v>
      </c>
      <c r="F273" s="363">
        <v>-28051.068999999901</v>
      </c>
      <c r="G273" s="363">
        <f t="shared" si="56"/>
        <v>0</v>
      </c>
      <c r="H273" s="365" t="str">
        <f t="shared" si="57"/>
        <v>N/A</v>
      </c>
      <c r="I273" s="363"/>
    </row>
    <row r="274" spans="2:9" x14ac:dyDescent="0.25">
      <c r="B274" s="620">
        <v>42335</v>
      </c>
      <c r="C274" s="362">
        <v>3078</v>
      </c>
      <c r="D274" s="621">
        <v>26.85</v>
      </c>
      <c r="E274" s="363">
        <v>17.73</v>
      </c>
      <c r="F274" s="363">
        <f>C274*(E274-D274)</f>
        <v>-28071.360000000004</v>
      </c>
      <c r="G274" s="363">
        <f>D274*C274</f>
        <v>82644.3</v>
      </c>
      <c r="H274" s="364">
        <f>(E274-D274)/D274</f>
        <v>-0.33966480446927377</v>
      </c>
      <c r="I274" s="363"/>
    </row>
    <row r="275" spans="2:9" x14ac:dyDescent="0.25">
      <c r="B275" s="620">
        <v>42335</v>
      </c>
      <c r="C275" s="362">
        <v>3578</v>
      </c>
      <c r="D275" s="621">
        <v>25.55</v>
      </c>
      <c r="E275" s="363">
        <v>17.440000000000001</v>
      </c>
      <c r="F275" s="363">
        <f t="shared" ref="F275:F306" si="58">C275*(E275-D275)</f>
        <v>-29017.579999999998</v>
      </c>
      <c r="G275" s="363">
        <f t="shared" ref="G275:G304" si="59">D275*C275</f>
        <v>91417.900000000009</v>
      </c>
      <c r="H275" s="364">
        <f t="shared" ref="H275:H304" si="60">(E275-D275)/D275</f>
        <v>-0.31741682974559682</v>
      </c>
      <c r="I275" s="363"/>
    </row>
    <row r="276" spans="2:9" x14ac:dyDescent="0.25">
      <c r="B276" s="620">
        <v>42340</v>
      </c>
      <c r="C276" s="362">
        <v>4178</v>
      </c>
      <c r="D276" s="621">
        <v>24.29</v>
      </c>
      <c r="E276" s="363">
        <v>16.670000000000002</v>
      </c>
      <c r="F276" s="363">
        <f t="shared" si="58"/>
        <v>-31836.35999999999</v>
      </c>
      <c r="G276" s="363">
        <f t="shared" si="59"/>
        <v>101483.62</v>
      </c>
      <c r="H276" s="364">
        <f t="shared" si="60"/>
        <v>-0.31370934540963352</v>
      </c>
      <c r="I276" s="363"/>
    </row>
    <row r="277" spans="2:9" x14ac:dyDescent="0.25">
      <c r="B277" s="620">
        <v>42342</v>
      </c>
      <c r="C277" s="362">
        <v>4678</v>
      </c>
      <c r="D277" s="621">
        <v>23.39</v>
      </c>
      <c r="E277" s="363">
        <v>16.12</v>
      </c>
      <c r="F277" s="363">
        <f t="shared" si="58"/>
        <v>-34009.06</v>
      </c>
      <c r="G277" s="363">
        <f t="shared" si="59"/>
        <v>109418.42</v>
      </c>
      <c r="H277" s="364">
        <f t="shared" si="60"/>
        <v>-0.31081658828559211</v>
      </c>
      <c r="I277" s="363"/>
    </row>
    <row r="278" spans="2:9" x14ac:dyDescent="0.25">
      <c r="B278" s="620">
        <v>42342</v>
      </c>
      <c r="C278" s="362">
        <v>4178</v>
      </c>
      <c r="D278" s="621">
        <v>24.26</v>
      </c>
      <c r="E278" s="363">
        <v>16.12</v>
      </c>
      <c r="F278" s="363">
        <f t="shared" si="58"/>
        <v>-34008.920000000006</v>
      </c>
      <c r="G278" s="363">
        <f t="shared" si="59"/>
        <v>101358.28000000001</v>
      </c>
      <c r="H278" s="364">
        <f t="shared" si="60"/>
        <v>-0.33553173948887055</v>
      </c>
      <c r="I278" s="363"/>
    </row>
    <row r="279" spans="2:9" x14ac:dyDescent="0.25">
      <c r="B279" s="620">
        <v>42345</v>
      </c>
      <c r="C279" s="362">
        <v>4678</v>
      </c>
      <c r="D279" s="621">
        <v>23.24</v>
      </c>
      <c r="E279" s="363">
        <v>14.78</v>
      </c>
      <c r="F279" s="363">
        <f t="shared" si="58"/>
        <v>-39575.879999999997</v>
      </c>
      <c r="G279" s="363">
        <f t="shared" si="59"/>
        <v>108716.71999999999</v>
      </c>
      <c r="H279" s="364">
        <f t="shared" si="60"/>
        <v>-0.36402753872633387</v>
      </c>
      <c r="I279" s="363"/>
    </row>
    <row r="280" spans="2:9" x14ac:dyDescent="0.25">
      <c r="B280" s="620">
        <v>42347</v>
      </c>
      <c r="C280" s="362">
        <v>4778</v>
      </c>
      <c r="D280" s="621">
        <v>23.06</v>
      </c>
      <c r="E280" s="363">
        <v>14.92</v>
      </c>
      <c r="F280" s="363">
        <f t="shared" si="58"/>
        <v>-38892.919999999991</v>
      </c>
      <c r="G280" s="363">
        <f t="shared" si="59"/>
        <v>110180.68</v>
      </c>
      <c r="H280" s="364">
        <f t="shared" si="60"/>
        <v>-0.3529921942758022</v>
      </c>
      <c r="I280" s="363"/>
    </row>
    <row r="281" spans="2:9" x14ac:dyDescent="0.25">
      <c r="B281" s="620">
        <v>42348</v>
      </c>
      <c r="C281" s="362">
        <v>4178</v>
      </c>
      <c r="D281" s="621">
        <v>24.23</v>
      </c>
      <c r="E281" s="363">
        <v>14.74</v>
      </c>
      <c r="F281" s="363">
        <f t="shared" si="58"/>
        <v>-39649.22</v>
      </c>
      <c r="G281" s="363">
        <f t="shared" si="59"/>
        <v>101232.94</v>
      </c>
      <c r="H281" s="364">
        <f t="shared" si="60"/>
        <v>-0.39166322740404458</v>
      </c>
      <c r="I281" s="363"/>
    </row>
    <row r="282" spans="2:9" x14ac:dyDescent="0.25">
      <c r="B282" s="620">
        <v>42349</v>
      </c>
      <c r="C282" s="362">
        <v>3678</v>
      </c>
      <c r="D282" s="621">
        <v>25.57</v>
      </c>
      <c r="E282" s="363">
        <v>14.34</v>
      </c>
      <c r="F282" s="363">
        <f t="shared" si="58"/>
        <v>-41303.94</v>
      </c>
      <c r="G282" s="363">
        <f t="shared" si="59"/>
        <v>94046.46</v>
      </c>
      <c r="H282" s="364">
        <f t="shared" si="60"/>
        <v>-0.43918654673445445</v>
      </c>
      <c r="I282" s="363"/>
    </row>
    <row r="283" spans="2:9" x14ac:dyDescent="0.25">
      <c r="B283" s="620">
        <v>42352</v>
      </c>
      <c r="C283" s="362">
        <v>4178</v>
      </c>
      <c r="D283" s="621">
        <v>24.18</v>
      </c>
      <c r="E283" s="363">
        <v>13.96</v>
      </c>
      <c r="F283" s="363">
        <f t="shared" si="58"/>
        <v>-42699.159999999996</v>
      </c>
      <c r="G283" s="363">
        <f t="shared" si="59"/>
        <v>101024.04</v>
      </c>
      <c r="H283" s="364">
        <f t="shared" si="60"/>
        <v>-0.42266335814722905</v>
      </c>
      <c r="I283" s="363"/>
    </row>
    <row r="284" spans="2:9" x14ac:dyDescent="0.25">
      <c r="B284" s="620">
        <v>42355</v>
      </c>
      <c r="C284" s="362">
        <v>4678</v>
      </c>
      <c r="D284" s="621">
        <v>22.98</v>
      </c>
      <c r="E284" s="363">
        <v>12.78</v>
      </c>
      <c r="F284" s="363">
        <f t="shared" si="58"/>
        <v>-47715.600000000006</v>
      </c>
      <c r="G284" s="363">
        <f t="shared" si="59"/>
        <v>107500.44</v>
      </c>
      <c r="H284" s="364">
        <f t="shared" si="60"/>
        <v>-0.44386422976501311</v>
      </c>
      <c r="I284" s="363"/>
    </row>
    <row r="285" spans="2:9" x14ac:dyDescent="0.25">
      <c r="B285" s="620">
        <v>42356</v>
      </c>
      <c r="C285" s="362">
        <v>5178</v>
      </c>
      <c r="D285" s="621">
        <v>21.99</v>
      </c>
      <c r="E285" s="363">
        <v>12.95</v>
      </c>
      <c r="F285" s="363">
        <f t="shared" si="58"/>
        <v>-46809.119999999995</v>
      </c>
      <c r="G285" s="363">
        <f t="shared" si="59"/>
        <v>113864.21999999999</v>
      </c>
      <c r="H285" s="364">
        <f t="shared" si="60"/>
        <v>-0.41109595270577537</v>
      </c>
      <c r="I285" s="363"/>
    </row>
    <row r="286" spans="2:9" x14ac:dyDescent="0.25">
      <c r="B286" s="620">
        <v>42356</v>
      </c>
      <c r="C286" s="362">
        <v>6178</v>
      </c>
      <c r="D286" s="621">
        <v>20.48</v>
      </c>
      <c r="E286" s="363">
        <v>12.76</v>
      </c>
      <c r="F286" s="363">
        <f t="shared" si="58"/>
        <v>-47694.16</v>
      </c>
      <c r="G286" s="363">
        <f t="shared" si="59"/>
        <v>126525.44</v>
      </c>
      <c r="H286" s="364">
        <f t="shared" si="60"/>
        <v>-0.376953125</v>
      </c>
      <c r="I286" s="363"/>
    </row>
    <row r="287" spans="2:9" x14ac:dyDescent="0.25">
      <c r="B287" s="620">
        <v>42356</v>
      </c>
      <c r="C287" s="362">
        <v>6400</v>
      </c>
      <c r="D287" s="621">
        <v>20.2</v>
      </c>
      <c r="E287" s="363">
        <v>12.68</v>
      </c>
      <c r="F287" s="363">
        <f t="shared" si="58"/>
        <v>-48128</v>
      </c>
      <c r="G287" s="363">
        <f t="shared" si="59"/>
        <v>129280</v>
      </c>
      <c r="H287" s="364">
        <f t="shared" si="60"/>
        <v>-0.37227722772277227</v>
      </c>
      <c r="I287" s="363"/>
    </row>
    <row r="288" spans="2:9" x14ac:dyDescent="0.25">
      <c r="B288" s="620">
        <v>42359</v>
      </c>
      <c r="C288" s="362">
        <v>5178</v>
      </c>
      <c r="D288" s="621">
        <v>21.96</v>
      </c>
      <c r="E288" s="363">
        <v>12.66</v>
      </c>
      <c r="F288" s="363">
        <f t="shared" si="58"/>
        <v>-48155.4</v>
      </c>
      <c r="G288" s="363">
        <f t="shared" si="59"/>
        <v>113708.88</v>
      </c>
      <c r="H288" s="364">
        <f t="shared" si="60"/>
        <v>-0.42349726775956287</v>
      </c>
      <c r="I288" s="363"/>
    </row>
    <row r="289" spans="2:14" x14ac:dyDescent="0.25">
      <c r="B289" s="620">
        <v>42361</v>
      </c>
      <c r="C289" s="362">
        <v>4178</v>
      </c>
      <c r="D289" s="621">
        <v>24.07</v>
      </c>
      <c r="E289" s="363">
        <v>13.96</v>
      </c>
      <c r="F289" s="363">
        <f t="shared" si="58"/>
        <v>-42239.579999999994</v>
      </c>
      <c r="G289" s="363">
        <f t="shared" si="59"/>
        <v>100564.46</v>
      </c>
      <c r="H289" s="364">
        <f t="shared" si="60"/>
        <v>-0.42002492729538843</v>
      </c>
      <c r="I289" s="363"/>
    </row>
    <row r="290" spans="2:14" x14ac:dyDescent="0.25">
      <c r="B290" s="620">
        <v>42361</v>
      </c>
      <c r="C290" s="362">
        <v>4178</v>
      </c>
      <c r="D290" s="621">
        <v>24.03</v>
      </c>
      <c r="E290" s="363">
        <v>13.96</v>
      </c>
      <c r="F290" s="363">
        <f t="shared" si="58"/>
        <v>-42072.46</v>
      </c>
      <c r="G290" s="363">
        <f t="shared" si="59"/>
        <v>100397.34000000001</v>
      </c>
      <c r="H290" s="364">
        <f t="shared" si="60"/>
        <v>-0.41905950894714938</v>
      </c>
      <c r="I290" s="363"/>
      <c r="N290" s="70"/>
    </row>
    <row r="291" spans="2:14" x14ac:dyDescent="0.25">
      <c r="B291" s="620">
        <v>42366</v>
      </c>
      <c r="C291" s="383">
        <v>6678</v>
      </c>
      <c r="D291" s="622">
        <v>19.91</v>
      </c>
      <c r="E291" s="363">
        <v>13.09</v>
      </c>
      <c r="F291" s="363">
        <f t="shared" si="58"/>
        <v>-45543.96</v>
      </c>
      <c r="G291" s="363">
        <f t="shared" si="59"/>
        <v>132958.98000000001</v>
      </c>
      <c r="H291" s="364">
        <f t="shared" si="60"/>
        <v>-0.34254143646408841</v>
      </c>
      <c r="I291" s="363"/>
    </row>
    <row r="292" spans="2:14" x14ac:dyDescent="0.25">
      <c r="B292" s="620">
        <v>42367</v>
      </c>
      <c r="C292" s="383">
        <v>8678</v>
      </c>
      <c r="D292" s="622">
        <v>18.32</v>
      </c>
      <c r="E292" s="363">
        <v>13.03</v>
      </c>
      <c r="F292" s="363">
        <f t="shared" si="58"/>
        <v>-45906.62000000001</v>
      </c>
      <c r="G292" s="363">
        <f t="shared" si="59"/>
        <v>158980.96</v>
      </c>
      <c r="H292" s="364">
        <f t="shared" si="60"/>
        <v>-0.28875545851528389</v>
      </c>
      <c r="I292" s="363"/>
    </row>
    <row r="293" spans="2:14" x14ac:dyDescent="0.25">
      <c r="B293" s="620">
        <v>42368</v>
      </c>
      <c r="C293" s="362">
        <v>9678</v>
      </c>
      <c r="D293" s="621">
        <v>17.73</v>
      </c>
      <c r="E293" s="363">
        <v>12.38</v>
      </c>
      <c r="F293" s="363">
        <f t="shared" si="58"/>
        <v>-51777.299999999996</v>
      </c>
      <c r="G293" s="363">
        <f t="shared" si="59"/>
        <v>171590.94</v>
      </c>
      <c r="H293" s="365">
        <f t="shared" si="60"/>
        <v>-0.30174844895657077</v>
      </c>
      <c r="I293" s="363"/>
    </row>
    <row r="294" spans="2:14" x14ac:dyDescent="0.25">
      <c r="B294" s="620">
        <v>42369</v>
      </c>
      <c r="C294" s="362">
        <v>8678</v>
      </c>
      <c r="D294" s="621">
        <v>18.312999999999999</v>
      </c>
      <c r="E294" s="363">
        <v>12.59</v>
      </c>
      <c r="F294" s="363">
        <f t="shared" si="58"/>
        <v>-49664.193999999989</v>
      </c>
      <c r="G294" s="363">
        <f t="shared" si="59"/>
        <v>158920.21399999998</v>
      </c>
      <c r="H294" s="365">
        <f t="shared" si="60"/>
        <v>-0.3125102386282968</v>
      </c>
      <c r="I294" s="363"/>
    </row>
    <row r="295" spans="2:14" x14ac:dyDescent="0.25">
      <c r="B295" s="620">
        <v>42374</v>
      </c>
      <c r="C295" s="362">
        <v>7678</v>
      </c>
      <c r="D295" s="621">
        <v>19.010000000000002</v>
      </c>
      <c r="E295" s="363">
        <v>12.76</v>
      </c>
      <c r="F295" s="363">
        <f t="shared" si="58"/>
        <v>-47987.500000000015</v>
      </c>
      <c r="G295" s="363">
        <f t="shared" si="59"/>
        <v>145958.78</v>
      </c>
      <c r="H295" s="365">
        <f t="shared" si="60"/>
        <v>-0.32877432930036832</v>
      </c>
      <c r="I295" s="363"/>
    </row>
    <row r="296" spans="2:14" x14ac:dyDescent="0.25">
      <c r="B296" s="620">
        <v>42375</v>
      </c>
      <c r="C296" s="362">
        <v>8678</v>
      </c>
      <c r="D296" s="621">
        <v>18.257000000000001</v>
      </c>
      <c r="E296" s="363">
        <v>12.76</v>
      </c>
      <c r="F296" s="363">
        <f t="shared" si="58"/>
        <v>-47702.966000000015</v>
      </c>
      <c r="G296" s="363">
        <f t="shared" si="59"/>
        <v>158434.24600000001</v>
      </c>
      <c r="H296" s="365">
        <f t="shared" si="60"/>
        <v>-0.30108999287944355</v>
      </c>
      <c r="I296" s="363"/>
    </row>
    <row r="297" spans="2:14" x14ac:dyDescent="0.25">
      <c r="B297" s="620">
        <v>42375</v>
      </c>
      <c r="C297" s="362">
        <v>9678</v>
      </c>
      <c r="D297" s="621">
        <v>17.579999999999998</v>
      </c>
      <c r="E297" s="363">
        <v>11.28</v>
      </c>
      <c r="F297" s="363">
        <f t="shared" si="58"/>
        <v>-60971.399999999987</v>
      </c>
      <c r="G297" s="363">
        <f t="shared" si="59"/>
        <v>170139.24</v>
      </c>
      <c r="H297" s="365">
        <f t="shared" si="60"/>
        <v>-0.35836177474402725</v>
      </c>
      <c r="I297" s="363"/>
    </row>
    <row r="298" spans="2:14" x14ac:dyDescent="0.25">
      <c r="B298" s="620">
        <v>42398</v>
      </c>
      <c r="C298" s="362">
        <v>9278</v>
      </c>
      <c r="D298" s="621">
        <v>17.93</v>
      </c>
      <c r="E298" s="363">
        <v>9.56</v>
      </c>
      <c r="F298" s="363">
        <f t="shared" si="58"/>
        <v>-77656.859999999986</v>
      </c>
      <c r="G298" s="363">
        <f t="shared" si="59"/>
        <v>166354.54</v>
      </c>
      <c r="H298" s="365">
        <f t="shared" si="60"/>
        <v>-0.46681539319576126</v>
      </c>
      <c r="I298" s="363"/>
    </row>
    <row r="299" spans="2:14" x14ac:dyDescent="0.25">
      <c r="B299" s="620">
        <v>42402</v>
      </c>
      <c r="C299" s="362">
        <v>9678</v>
      </c>
      <c r="D299" s="621">
        <v>17.559999999999999</v>
      </c>
      <c r="E299" s="363">
        <v>8.74</v>
      </c>
      <c r="F299" s="363">
        <f t="shared" si="58"/>
        <v>-85359.959999999992</v>
      </c>
      <c r="G299" s="363">
        <f t="shared" si="59"/>
        <v>169945.68</v>
      </c>
      <c r="H299" s="365">
        <f t="shared" si="60"/>
        <v>-0.50227790432801822</v>
      </c>
      <c r="I299" s="363"/>
    </row>
    <row r="300" spans="2:14" x14ac:dyDescent="0.25">
      <c r="B300" s="620">
        <v>42411</v>
      </c>
      <c r="C300" s="362">
        <v>9678</v>
      </c>
      <c r="D300" s="621">
        <v>17.553999999999998</v>
      </c>
      <c r="E300" s="363">
        <v>7.13</v>
      </c>
      <c r="F300" s="363">
        <f t="shared" si="58"/>
        <v>-100883.47199999999</v>
      </c>
      <c r="G300" s="363">
        <f t="shared" si="59"/>
        <v>169887.61199999999</v>
      </c>
      <c r="H300" s="364">
        <f t="shared" si="60"/>
        <v>-0.59382476928335426</v>
      </c>
      <c r="I300" s="363"/>
    </row>
    <row r="301" spans="2:14" x14ac:dyDescent="0.25">
      <c r="B301" s="620">
        <v>42412</v>
      </c>
      <c r="C301" s="362">
        <v>9678</v>
      </c>
      <c r="D301" s="621">
        <v>17.55</v>
      </c>
      <c r="E301" s="363">
        <v>7.46</v>
      </c>
      <c r="F301" s="363">
        <f t="shared" si="58"/>
        <v>-97651.02</v>
      </c>
      <c r="G301" s="363">
        <f t="shared" si="59"/>
        <v>169848.9</v>
      </c>
      <c r="H301" s="364">
        <f t="shared" si="60"/>
        <v>-0.57492877492877492</v>
      </c>
      <c r="I301" s="363"/>
    </row>
    <row r="302" spans="2:14" x14ac:dyDescent="0.25">
      <c r="B302" s="620">
        <v>42416</v>
      </c>
      <c r="C302" s="362">
        <v>9178</v>
      </c>
      <c r="D302" s="621">
        <v>18.084</v>
      </c>
      <c r="E302" s="363">
        <v>7.49</v>
      </c>
      <c r="F302" s="363">
        <f t="shared" si="58"/>
        <v>-97231.731999999989</v>
      </c>
      <c r="G302" s="363">
        <f t="shared" si="59"/>
        <v>165974.95199999999</v>
      </c>
      <c r="H302" s="364">
        <f t="shared" si="60"/>
        <v>-0.58582172085821715</v>
      </c>
      <c r="I302" s="363"/>
    </row>
    <row r="303" spans="2:14" x14ac:dyDescent="0.25">
      <c r="B303" s="620">
        <v>42416</v>
      </c>
      <c r="C303" s="362">
        <v>9678</v>
      </c>
      <c r="D303" s="621">
        <v>17.536999999999999</v>
      </c>
      <c r="E303" s="363">
        <v>7.49</v>
      </c>
      <c r="F303" s="363">
        <f t="shared" si="58"/>
        <v>-97234.865999999995</v>
      </c>
      <c r="G303" s="363">
        <f t="shared" si="59"/>
        <v>169723.08599999998</v>
      </c>
      <c r="H303" s="364">
        <f t="shared" si="60"/>
        <v>-0.57290300507498426</v>
      </c>
      <c r="I303" s="363"/>
    </row>
    <row r="304" spans="2:14" x14ac:dyDescent="0.25">
      <c r="B304" s="620">
        <v>42418</v>
      </c>
      <c r="C304" s="362">
        <v>13478</v>
      </c>
      <c r="D304" s="621">
        <v>14.673999999999999</v>
      </c>
      <c r="E304" s="363">
        <v>6.93</v>
      </c>
      <c r="F304" s="363">
        <f t="shared" si="58"/>
        <v>-104373.632</v>
      </c>
      <c r="G304" s="363">
        <f t="shared" si="59"/>
        <v>197776.17199999999</v>
      </c>
      <c r="H304" s="364">
        <f t="shared" si="60"/>
        <v>-0.52773613193403301</v>
      </c>
      <c r="I304" s="363"/>
    </row>
    <row r="305" spans="2:14" x14ac:dyDescent="0.25">
      <c r="B305" s="620">
        <v>42422</v>
      </c>
      <c r="C305" s="362">
        <v>10978</v>
      </c>
      <c r="D305" s="621">
        <v>16.314</v>
      </c>
      <c r="E305" s="363">
        <v>7.49</v>
      </c>
      <c r="F305" s="363">
        <f t="shared" si="58"/>
        <v>-96869.872000000003</v>
      </c>
      <c r="G305" s="363">
        <f>IF(C305=0, 0,D305*C305)</f>
        <v>179095.092</v>
      </c>
      <c r="H305" s="364">
        <f>IF(C305=0, D305, (E305-D305)/D305)</f>
        <v>-0.54088512933676591</v>
      </c>
      <c r="I305" s="363"/>
    </row>
    <row r="306" spans="2:14" x14ac:dyDescent="0.25">
      <c r="B306" s="620">
        <v>42422</v>
      </c>
      <c r="C306" s="362">
        <v>9978</v>
      </c>
      <c r="D306" s="621">
        <v>17.199000000000002</v>
      </c>
      <c r="E306" s="363">
        <v>7.49</v>
      </c>
      <c r="F306" s="363">
        <f t="shared" si="58"/>
        <v>-96876.402000000016</v>
      </c>
      <c r="G306" s="363">
        <f>IF(C306=0, 0,D306*C306)</f>
        <v>171611.622</v>
      </c>
      <c r="H306" s="364">
        <f>IF(C306=0, D306, (E306-D306)/D306)</f>
        <v>-0.56450956450956458</v>
      </c>
      <c r="I306" s="363"/>
    </row>
    <row r="307" spans="2:14" x14ac:dyDescent="0.25">
      <c r="B307" s="620">
        <v>42426</v>
      </c>
      <c r="C307" s="362">
        <v>9678</v>
      </c>
      <c r="D307" s="621">
        <v>17.489000000000001</v>
      </c>
      <c r="E307" s="363">
        <v>7.49</v>
      </c>
      <c r="F307" s="363">
        <f t="shared" ref="F307:F315" si="61">C307*(E307-D307)</f>
        <v>-96770.322</v>
      </c>
      <c r="G307" s="363">
        <f>IF(C307=0, 0,D307*C307)</f>
        <v>169258.54200000002</v>
      </c>
      <c r="H307" s="364">
        <f>IF(C307=0, D307, (E307-D307)/D307)</f>
        <v>-0.57173080221853734</v>
      </c>
      <c r="I307" s="363"/>
    </row>
    <row r="308" spans="2:14" x14ac:dyDescent="0.25">
      <c r="B308" s="620">
        <v>42426</v>
      </c>
      <c r="C308" s="362">
        <v>9178</v>
      </c>
      <c r="D308" s="621">
        <v>18.02</v>
      </c>
      <c r="E308" s="363">
        <v>7.76</v>
      </c>
      <c r="F308" s="363">
        <f t="shared" si="61"/>
        <v>-94166.28</v>
      </c>
      <c r="G308" s="363">
        <f t="shared" ref="G308:G315" si="62">IF(C308=0, 0,D308*C308)</f>
        <v>165387.56</v>
      </c>
      <c r="H308" s="364">
        <f t="shared" ref="H308:H315" si="63">IF(C308=0, D308, (E308-D308)/D308)</f>
        <v>-0.5693673695893452</v>
      </c>
      <c r="I308" s="363"/>
    </row>
    <row r="309" spans="2:14" x14ac:dyDescent="0.25">
      <c r="B309" s="620">
        <v>42426</v>
      </c>
      <c r="C309" s="362">
        <v>8178</v>
      </c>
      <c r="D309" s="621">
        <v>19.245999999999999</v>
      </c>
      <c r="E309" s="363">
        <v>8</v>
      </c>
      <c r="F309" s="363">
        <f t="shared" si="61"/>
        <v>-91969.787999999986</v>
      </c>
      <c r="G309" s="363">
        <f t="shared" si="62"/>
        <v>157393.788</v>
      </c>
      <c r="H309" s="364">
        <f t="shared" si="63"/>
        <v>-0.58432921126467829</v>
      </c>
      <c r="I309" s="363"/>
    </row>
    <row r="310" spans="2:14" x14ac:dyDescent="0.25">
      <c r="B310" s="620">
        <v>42426</v>
      </c>
      <c r="C310" s="362">
        <v>6678</v>
      </c>
      <c r="D310" s="621">
        <v>21.75</v>
      </c>
      <c r="E310" s="363">
        <v>8.1</v>
      </c>
      <c r="F310" s="363">
        <f t="shared" si="61"/>
        <v>-91154.7</v>
      </c>
      <c r="G310" s="363">
        <f t="shared" si="62"/>
        <v>145246.5</v>
      </c>
      <c r="H310" s="364">
        <f t="shared" si="63"/>
        <v>-0.62758620689655176</v>
      </c>
      <c r="I310" s="363"/>
    </row>
    <row r="311" spans="2:14" x14ac:dyDescent="0.25">
      <c r="B311" s="620">
        <v>42426</v>
      </c>
      <c r="C311" s="362">
        <v>8678</v>
      </c>
      <c r="D311" s="621">
        <v>18.568999999999999</v>
      </c>
      <c r="E311" s="363">
        <v>7.94</v>
      </c>
      <c r="F311" s="363">
        <f t="shared" si="61"/>
        <v>-92238.461999999985</v>
      </c>
      <c r="G311" s="363">
        <f t="shared" si="62"/>
        <v>161141.78199999998</v>
      </c>
      <c r="H311" s="364">
        <f t="shared" si="63"/>
        <v>-0.57240562227368186</v>
      </c>
      <c r="I311" s="363"/>
    </row>
    <row r="312" spans="2:14" x14ac:dyDescent="0.25">
      <c r="B312" s="620">
        <v>42429</v>
      </c>
      <c r="C312" s="362">
        <v>7678</v>
      </c>
      <c r="D312" s="621">
        <v>19.876000000000001</v>
      </c>
      <c r="E312" s="363">
        <v>8.2100000000000009</v>
      </c>
      <c r="F312" s="363">
        <f t="shared" si="61"/>
        <v>-89571.54800000001</v>
      </c>
      <c r="G312" s="363">
        <f t="shared" si="62"/>
        <v>152607.92800000001</v>
      </c>
      <c r="H312" s="364">
        <f t="shared" si="63"/>
        <v>-0.58693902193600322</v>
      </c>
      <c r="I312" s="363"/>
    </row>
    <row r="313" spans="2:14" x14ac:dyDescent="0.25">
      <c r="B313" s="620">
        <v>42429</v>
      </c>
      <c r="C313" s="362">
        <v>9678</v>
      </c>
      <c r="D313" s="621">
        <v>17.463000000000001</v>
      </c>
      <c r="E313" s="363">
        <v>8.2100000000000009</v>
      </c>
      <c r="F313" s="363">
        <f t="shared" si="61"/>
        <v>-89550.534</v>
      </c>
      <c r="G313" s="363">
        <f t="shared" si="62"/>
        <v>169006.91400000002</v>
      </c>
      <c r="H313" s="364">
        <f t="shared" si="63"/>
        <v>-0.5298631392086125</v>
      </c>
      <c r="I313" s="363"/>
    </row>
    <row r="314" spans="2:14" x14ac:dyDescent="0.25">
      <c r="B314" s="620">
        <v>42429</v>
      </c>
      <c r="C314" s="362">
        <v>9178</v>
      </c>
      <c r="D314" s="621">
        <v>17.981000000000002</v>
      </c>
      <c r="E314" s="363">
        <v>8.2100000000000009</v>
      </c>
      <c r="F314" s="363">
        <f t="shared" si="61"/>
        <v>-89678.238000000012</v>
      </c>
      <c r="G314" s="363">
        <f t="shared" si="62"/>
        <v>165029.61800000002</v>
      </c>
      <c r="H314" s="364">
        <f t="shared" si="63"/>
        <v>-0.5434069295367332</v>
      </c>
      <c r="I314" s="363"/>
    </row>
    <row r="315" spans="2:14" x14ac:dyDescent="0.25">
      <c r="B315" s="620">
        <v>42429</v>
      </c>
      <c r="C315" s="362">
        <v>9678</v>
      </c>
      <c r="D315" s="621">
        <v>17.459</v>
      </c>
      <c r="E315" s="363">
        <v>8.2100000000000009</v>
      </c>
      <c r="F315" s="363">
        <f t="shared" si="61"/>
        <v>-89511.821999999986</v>
      </c>
      <c r="G315" s="363">
        <f t="shared" si="62"/>
        <v>168968.20199999999</v>
      </c>
      <c r="H315" s="364">
        <f t="shared" si="63"/>
        <v>-0.5297554270004009</v>
      </c>
      <c r="I315" s="363"/>
    </row>
    <row r="316" spans="2:14" x14ac:dyDescent="0.25">
      <c r="B316" s="620">
        <v>42429</v>
      </c>
      <c r="C316" s="362">
        <v>9178</v>
      </c>
      <c r="D316" s="621">
        <v>17.975999999999999</v>
      </c>
      <c r="E316" s="363">
        <v>8.2100000000000009</v>
      </c>
      <c r="F316" s="363">
        <f t="shared" ref="F316:F327" si="64">C316*(E316-D316)</f>
        <v>-89632.347999999984</v>
      </c>
      <c r="G316" s="363">
        <f t="shared" ref="G316:G327" si="65">IF(C316=0, 0,D316*C316)</f>
        <v>164983.728</v>
      </c>
      <c r="H316" s="364">
        <f t="shared" ref="H316:H367" si="66">IF(C316=0, D316, (E316-D316)/D316)</f>
        <v>-0.54327992879394738</v>
      </c>
      <c r="I316" s="363" t="s">
        <v>186</v>
      </c>
    </row>
    <row r="317" spans="2:14" x14ac:dyDescent="0.25">
      <c r="B317" s="620">
        <v>42430</v>
      </c>
      <c r="C317" s="383">
        <v>10178</v>
      </c>
      <c r="D317" s="622">
        <v>16.974</v>
      </c>
      <c r="E317" s="363">
        <v>7.8</v>
      </c>
      <c r="F317" s="363">
        <f t="shared" si="64"/>
        <v>-93372.971999999994</v>
      </c>
      <c r="G317" s="363">
        <f t="shared" si="65"/>
        <v>172761.372</v>
      </c>
      <c r="H317" s="364">
        <f t="shared" si="66"/>
        <v>-0.54047366560622123</v>
      </c>
      <c r="I317" s="363"/>
      <c r="N317" s="70"/>
    </row>
    <row r="318" spans="2:14" x14ac:dyDescent="0.25">
      <c r="B318" s="620">
        <v>42430</v>
      </c>
      <c r="C318" s="383">
        <v>9678</v>
      </c>
      <c r="D318" s="622">
        <v>17.440000000000001</v>
      </c>
      <c r="E318" s="363">
        <v>7.96</v>
      </c>
      <c r="F318" s="363">
        <f t="shared" si="64"/>
        <v>-91747.44</v>
      </c>
      <c r="G318" s="363">
        <f t="shared" si="65"/>
        <v>168784.32</v>
      </c>
      <c r="H318" s="364">
        <f t="shared" si="66"/>
        <v>-0.54357798165137616</v>
      </c>
      <c r="I318" s="363"/>
    </row>
    <row r="319" spans="2:14" x14ac:dyDescent="0.25">
      <c r="B319" s="620">
        <v>42431</v>
      </c>
      <c r="C319" s="362">
        <v>8678</v>
      </c>
      <c r="D319" s="621">
        <v>18.405999999999999</v>
      </c>
      <c r="E319" s="363">
        <v>9.1</v>
      </c>
      <c r="F319" s="363">
        <f t="shared" si="64"/>
        <v>-80757.467999999993</v>
      </c>
      <c r="G319" s="363">
        <f t="shared" si="65"/>
        <v>159727.26799999998</v>
      </c>
      <c r="H319" s="365">
        <f t="shared" si="66"/>
        <v>-0.50559600130392257</v>
      </c>
      <c r="I319" s="363"/>
    </row>
    <row r="320" spans="2:14" x14ac:dyDescent="0.25">
      <c r="B320" s="620">
        <v>42432</v>
      </c>
      <c r="C320" s="362">
        <v>9278</v>
      </c>
      <c r="D320" s="621">
        <v>17.771999999999998</v>
      </c>
      <c r="E320" s="363">
        <v>9.9700000000000006</v>
      </c>
      <c r="F320" s="363">
        <f t="shared" si="64"/>
        <v>-72386.955999999976</v>
      </c>
      <c r="G320" s="363">
        <f t="shared" si="65"/>
        <v>164888.61599999998</v>
      </c>
      <c r="H320" s="365">
        <f t="shared" si="66"/>
        <v>-0.43900517668242173</v>
      </c>
      <c r="I320" s="363"/>
    </row>
    <row r="321" spans="2:14" ht="15" customHeight="1" x14ac:dyDescent="0.25">
      <c r="B321" s="620">
        <v>42433</v>
      </c>
      <c r="C321" s="362">
        <v>9278</v>
      </c>
      <c r="D321" s="621">
        <v>17.771999999999998</v>
      </c>
      <c r="E321" s="363">
        <v>11</v>
      </c>
      <c r="F321" s="363">
        <f t="shared" si="64"/>
        <v>-62830.615999999987</v>
      </c>
      <c r="G321" s="363">
        <f t="shared" si="65"/>
        <v>164888.61599999998</v>
      </c>
      <c r="H321" s="365">
        <f t="shared" si="66"/>
        <v>-0.38104884087328378</v>
      </c>
      <c r="I321" s="363"/>
    </row>
    <row r="322" spans="2:14" x14ac:dyDescent="0.25">
      <c r="B322" s="620">
        <v>42439</v>
      </c>
      <c r="C322" s="362">
        <v>9278</v>
      </c>
      <c r="D322" s="621">
        <v>17.718</v>
      </c>
      <c r="E322" s="363">
        <v>10.59</v>
      </c>
      <c r="F322" s="363">
        <f t="shared" si="64"/>
        <v>-66133.584000000003</v>
      </c>
      <c r="G322" s="363">
        <f t="shared" si="65"/>
        <v>164387.60399999999</v>
      </c>
      <c r="H322" s="365">
        <f t="shared" si="66"/>
        <v>-0.40230274297324753</v>
      </c>
      <c r="I322" s="363" t="s">
        <v>185</v>
      </c>
    </row>
    <row r="323" spans="2:14" x14ac:dyDescent="0.25">
      <c r="B323" s="620">
        <v>42440</v>
      </c>
      <c r="C323" s="362">
        <v>9278</v>
      </c>
      <c r="D323" s="621">
        <v>17.712</v>
      </c>
      <c r="E323" s="363">
        <v>11.12</v>
      </c>
      <c r="F323" s="363">
        <f t="shared" si="64"/>
        <v>-61160.576000000008</v>
      </c>
      <c r="G323" s="363">
        <f t="shared" si="65"/>
        <v>164331.93599999999</v>
      </c>
      <c r="H323" s="365">
        <f t="shared" si="66"/>
        <v>-0.37217705510388438</v>
      </c>
      <c r="I323" s="363"/>
    </row>
    <row r="324" spans="2:14" x14ac:dyDescent="0.25">
      <c r="B324" s="620">
        <v>42446</v>
      </c>
      <c r="C324" s="362">
        <v>9278</v>
      </c>
      <c r="D324" s="621">
        <v>17.704999999999998</v>
      </c>
      <c r="E324" s="363">
        <v>11.45</v>
      </c>
      <c r="F324" s="363">
        <f t="shared" si="64"/>
        <v>-58033.889999999992</v>
      </c>
      <c r="G324" s="363">
        <f t="shared" si="65"/>
        <v>164266.99</v>
      </c>
      <c r="H324" s="365">
        <f t="shared" si="66"/>
        <v>-0.353290031064671</v>
      </c>
      <c r="I324" s="363"/>
    </row>
    <row r="325" spans="2:14" x14ac:dyDescent="0.25">
      <c r="B325" s="620">
        <v>42447</v>
      </c>
      <c r="C325" s="362">
        <v>7928</v>
      </c>
      <c r="D325" s="621">
        <v>18.734999999999999</v>
      </c>
      <c r="E325" s="363">
        <v>11.63</v>
      </c>
      <c r="F325" s="363">
        <f t="shared" si="64"/>
        <v>-56328.439999999988</v>
      </c>
      <c r="G325" s="363">
        <f t="shared" si="65"/>
        <v>148531.07999999999</v>
      </c>
      <c r="H325" s="365">
        <f t="shared" si="66"/>
        <v>-0.37923672271150249</v>
      </c>
      <c r="I325" s="363"/>
    </row>
    <row r="326" spans="2:14" x14ac:dyDescent="0.25">
      <c r="B326" s="620">
        <v>42450</v>
      </c>
      <c r="C326" s="362">
        <v>9278</v>
      </c>
      <c r="D326" s="621">
        <v>17.670000000000002</v>
      </c>
      <c r="E326" s="363">
        <v>11.43</v>
      </c>
      <c r="F326" s="363">
        <f t="shared" si="64"/>
        <v>-57894.720000000016</v>
      </c>
      <c r="G326" s="363">
        <f t="shared" si="65"/>
        <v>163942.26</v>
      </c>
      <c r="H326" s="364">
        <f t="shared" si="66"/>
        <v>-0.35314091680814946</v>
      </c>
      <c r="I326" s="363"/>
    </row>
    <row r="327" spans="2:14" x14ac:dyDescent="0.25">
      <c r="B327" s="620">
        <v>42451</v>
      </c>
      <c r="C327" s="362">
        <v>9628</v>
      </c>
      <c r="D327" s="621">
        <v>17.428000000000001</v>
      </c>
      <c r="E327" s="363">
        <v>11.31</v>
      </c>
      <c r="F327" s="363">
        <f t="shared" si="64"/>
        <v>-58904.104000000007</v>
      </c>
      <c r="G327" s="363">
        <f t="shared" si="65"/>
        <v>167796.78400000001</v>
      </c>
      <c r="H327" s="364">
        <f t="shared" si="66"/>
        <v>-0.35104429653431263</v>
      </c>
      <c r="I327" s="363"/>
    </row>
    <row r="328" spans="2:14" x14ac:dyDescent="0.25">
      <c r="B328" s="620">
        <v>42453</v>
      </c>
      <c r="C328" s="362">
        <v>13278</v>
      </c>
      <c r="D328" s="621">
        <v>15.5565</v>
      </c>
      <c r="E328" s="363">
        <v>10.29</v>
      </c>
      <c r="F328" s="363">
        <f t="shared" ref="F328:F367" si="67">C328*(E328-D328)</f>
        <v>-69928.587000000014</v>
      </c>
      <c r="G328" s="363">
        <f t="shared" ref="G328:G367" si="68">IF(C328=0, 0,D328*C328)</f>
        <v>206559.20699999999</v>
      </c>
      <c r="H328" s="364">
        <f t="shared" si="66"/>
        <v>-0.33854016006171056</v>
      </c>
      <c r="I328" s="363"/>
    </row>
    <row r="329" spans="2:14" x14ac:dyDescent="0.25">
      <c r="B329" s="620">
        <v>42459</v>
      </c>
      <c r="C329" s="362">
        <v>11278</v>
      </c>
      <c r="D329" s="621">
        <v>16.408899999999999</v>
      </c>
      <c r="E329" s="363">
        <v>10.53</v>
      </c>
      <c r="F329" s="363">
        <f t="shared" si="67"/>
        <v>-66302.234199999992</v>
      </c>
      <c r="G329" s="363">
        <f t="shared" si="68"/>
        <v>185059.5742</v>
      </c>
      <c r="H329" s="364">
        <f t="shared" si="66"/>
        <v>-0.35827508242478168</v>
      </c>
      <c r="I329" s="363"/>
    </row>
    <row r="330" spans="2:14" x14ac:dyDescent="0.25">
      <c r="B330" s="620">
        <v>42460</v>
      </c>
      <c r="C330" s="362">
        <v>9678</v>
      </c>
      <c r="D330" s="621">
        <v>17.311699999999998</v>
      </c>
      <c r="E330" s="363">
        <v>11.14</v>
      </c>
      <c r="F330" s="363">
        <f t="shared" si="67"/>
        <v>-59729.712599999977</v>
      </c>
      <c r="G330" s="363">
        <f t="shared" si="68"/>
        <v>167542.63259999998</v>
      </c>
      <c r="H330" s="364">
        <f t="shared" si="66"/>
        <v>-0.35650456049954643</v>
      </c>
      <c r="I330" s="363"/>
    </row>
    <row r="331" spans="2:14" x14ac:dyDescent="0.25">
      <c r="B331" s="620">
        <v>42461</v>
      </c>
      <c r="C331" s="362">
        <v>11678</v>
      </c>
      <c r="D331" s="621">
        <v>16.116</v>
      </c>
      <c r="E331" s="363">
        <v>10.53</v>
      </c>
      <c r="F331" s="363">
        <f t="shared" si="67"/>
        <v>-65233.308000000005</v>
      </c>
      <c r="G331" s="363">
        <f t="shared" si="68"/>
        <v>188202.64799999999</v>
      </c>
      <c r="H331" s="364">
        <f t="shared" si="66"/>
        <v>-0.34661206254653765</v>
      </c>
      <c r="I331" s="363"/>
    </row>
    <row r="332" spans="2:14" x14ac:dyDescent="0.25">
      <c r="B332" s="620">
        <v>42461</v>
      </c>
      <c r="C332" s="362">
        <v>9678</v>
      </c>
      <c r="D332" s="621">
        <v>17.266200000000001</v>
      </c>
      <c r="E332" s="363">
        <v>10.56</v>
      </c>
      <c r="F332" s="363">
        <f t="shared" si="67"/>
        <v>-64902.603600000009</v>
      </c>
      <c r="G332" s="363">
        <f t="shared" si="68"/>
        <v>167102.28360000002</v>
      </c>
      <c r="H332" s="364">
        <f t="shared" si="66"/>
        <v>-0.388400458699656</v>
      </c>
      <c r="I332" s="363"/>
    </row>
    <row r="333" spans="2:14" x14ac:dyDescent="0.25">
      <c r="B333" s="620">
        <v>42464</v>
      </c>
      <c r="C333" s="362">
        <v>9778</v>
      </c>
      <c r="D333" s="621">
        <v>17.196100000000001</v>
      </c>
      <c r="E333" s="363">
        <v>10.4</v>
      </c>
      <c r="F333" s="363">
        <f t="shared" si="67"/>
        <v>-66452.265800000008</v>
      </c>
      <c r="G333" s="363">
        <f t="shared" si="68"/>
        <v>168143.46580000001</v>
      </c>
      <c r="H333" s="364">
        <f t="shared" si="66"/>
        <v>-0.3952117049796175</v>
      </c>
      <c r="I333" s="363"/>
    </row>
    <row r="334" spans="2:14" x14ac:dyDescent="0.25">
      <c r="B334" s="620">
        <v>42465</v>
      </c>
      <c r="C334" s="362">
        <v>9678</v>
      </c>
      <c r="D334" s="621">
        <v>17.262699999999999</v>
      </c>
      <c r="E334" s="363">
        <v>10.63</v>
      </c>
      <c r="F334" s="363">
        <f t="shared" si="67"/>
        <v>-64191.270599999982</v>
      </c>
      <c r="G334" s="363">
        <f t="shared" si="68"/>
        <v>167068.4106</v>
      </c>
      <c r="H334" s="364">
        <f t="shared" si="66"/>
        <v>-0.38422147172806098</v>
      </c>
      <c r="I334" s="363"/>
    </row>
    <row r="335" spans="2:14" x14ac:dyDescent="0.25">
      <c r="B335" s="620">
        <v>42469</v>
      </c>
      <c r="C335" s="362">
        <v>8678</v>
      </c>
      <c r="D335" s="621">
        <v>17.895700000000001</v>
      </c>
      <c r="E335" s="363">
        <v>11.78</v>
      </c>
      <c r="F335" s="363">
        <f t="shared" si="67"/>
        <v>-53072.044600000016</v>
      </c>
      <c r="G335" s="363">
        <f t="shared" si="68"/>
        <v>155298.88460000002</v>
      </c>
      <c r="H335" s="364">
        <f t="shared" si="66"/>
        <v>-0.34174131215878684</v>
      </c>
      <c r="I335" s="363"/>
      <c r="N335" s="70"/>
    </row>
    <row r="336" spans="2:14" x14ac:dyDescent="0.25">
      <c r="B336" s="620">
        <v>42471</v>
      </c>
      <c r="C336" s="362">
        <v>9678</v>
      </c>
      <c r="D336" s="621">
        <v>17.2514</v>
      </c>
      <c r="E336" s="363">
        <v>11.67</v>
      </c>
      <c r="F336" s="363">
        <f t="shared" si="67"/>
        <v>-54016.789200000007</v>
      </c>
      <c r="G336" s="363">
        <f t="shared" si="68"/>
        <v>166959.04920000001</v>
      </c>
      <c r="H336" s="364">
        <f t="shared" si="66"/>
        <v>-0.32353316252593994</v>
      </c>
      <c r="I336" s="363"/>
    </row>
    <row r="337" spans="2:9" x14ac:dyDescent="0.25">
      <c r="B337" s="620">
        <v>42472</v>
      </c>
      <c r="C337" s="362">
        <v>8288</v>
      </c>
      <c r="D337" s="621">
        <v>17.96</v>
      </c>
      <c r="E337" s="363">
        <v>13.05</v>
      </c>
      <c r="F337" s="363">
        <f t="shared" si="67"/>
        <v>-40694.080000000002</v>
      </c>
      <c r="G337" s="363">
        <f t="shared" si="68"/>
        <v>148852.48000000001</v>
      </c>
      <c r="H337" s="364">
        <f t="shared" si="66"/>
        <v>-0.27338530066815142</v>
      </c>
      <c r="I337" s="363"/>
    </row>
    <row r="338" spans="2:9" x14ac:dyDescent="0.25">
      <c r="B338" s="620">
        <v>42473</v>
      </c>
      <c r="C338" s="362">
        <v>9258</v>
      </c>
      <c r="D338" s="621">
        <v>17.415800000000001</v>
      </c>
      <c r="E338" s="363">
        <v>12.92</v>
      </c>
      <c r="F338" s="363">
        <f t="shared" si="67"/>
        <v>-41622.116400000006</v>
      </c>
      <c r="G338" s="363">
        <f t="shared" si="68"/>
        <v>161235.47640000001</v>
      </c>
      <c r="H338" s="364">
        <f t="shared" si="66"/>
        <v>-0.2581449029042594</v>
      </c>
      <c r="I338" s="363"/>
    </row>
    <row r="339" spans="2:9" x14ac:dyDescent="0.25">
      <c r="B339" s="620">
        <v>42474</v>
      </c>
      <c r="C339" s="362">
        <v>9678</v>
      </c>
      <c r="D339" s="621">
        <v>17.2135</v>
      </c>
      <c r="E339" s="363">
        <v>13.11</v>
      </c>
      <c r="F339" s="363">
        <f t="shared" si="67"/>
        <v>-39713.673000000003</v>
      </c>
      <c r="G339" s="363">
        <f t="shared" si="68"/>
        <v>166592.253</v>
      </c>
      <c r="H339" s="364">
        <f t="shared" si="66"/>
        <v>-0.23838847416272113</v>
      </c>
      <c r="I339" s="363"/>
    </row>
    <row r="340" spans="2:9" x14ac:dyDescent="0.25">
      <c r="B340" s="620">
        <v>42474</v>
      </c>
      <c r="C340" s="362">
        <v>9178</v>
      </c>
      <c r="D340" s="621">
        <v>17.433299999999999</v>
      </c>
      <c r="E340" s="363">
        <v>13.11</v>
      </c>
      <c r="F340" s="363">
        <f t="shared" si="67"/>
        <v>-39679.2474</v>
      </c>
      <c r="G340" s="363">
        <f t="shared" si="68"/>
        <v>160002.82739999998</v>
      </c>
      <c r="H340" s="364">
        <f t="shared" si="66"/>
        <v>-0.24799091394056202</v>
      </c>
      <c r="I340" s="363"/>
    </row>
    <row r="341" spans="2:9" x14ac:dyDescent="0.25">
      <c r="B341" s="620">
        <v>42475</v>
      </c>
      <c r="C341" s="362">
        <v>9678</v>
      </c>
      <c r="D341" s="621">
        <v>17.205100000000002</v>
      </c>
      <c r="E341" s="363">
        <v>13.01</v>
      </c>
      <c r="F341" s="363">
        <f t="shared" si="67"/>
        <v>-40600.177800000019</v>
      </c>
      <c r="G341" s="363">
        <f t="shared" si="68"/>
        <v>166510.9578</v>
      </c>
      <c r="H341" s="364">
        <f t="shared" si="66"/>
        <v>-0.24382886469709572</v>
      </c>
      <c r="I341" s="363"/>
    </row>
    <row r="342" spans="2:9" x14ac:dyDescent="0.25">
      <c r="B342" s="620">
        <v>42478</v>
      </c>
      <c r="C342" s="362">
        <v>9178</v>
      </c>
      <c r="D342" s="621">
        <v>17.412400000000002</v>
      </c>
      <c r="E342" s="363">
        <v>13.36</v>
      </c>
      <c r="F342" s="363">
        <f t="shared" si="67"/>
        <v>-37192.92720000002</v>
      </c>
      <c r="G342" s="363">
        <f t="shared" si="68"/>
        <v>159811.00720000002</v>
      </c>
      <c r="H342" s="364">
        <f t="shared" si="66"/>
        <v>-0.232730697663734</v>
      </c>
      <c r="I342" s="363"/>
    </row>
    <row r="343" spans="2:9" x14ac:dyDescent="0.25">
      <c r="B343" s="620">
        <v>42484</v>
      </c>
      <c r="C343" s="383">
        <v>9178</v>
      </c>
      <c r="D343" s="622">
        <v>17.412400000000002</v>
      </c>
      <c r="E343" s="363">
        <v>14.34</v>
      </c>
      <c r="F343" s="363">
        <f t="shared" si="67"/>
        <v>-28198.487200000018</v>
      </c>
      <c r="G343" s="363">
        <f t="shared" si="68"/>
        <v>159811.00720000002</v>
      </c>
      <c r="H343" s="364">
        <f t="shared" si="66"/>
        <v>-0.17644896740254082</v>
      </c>
      <c r="I343" s="363"/>
    </row>
    <row r="344" spans="2:9" x14ac:dyDescent="0.25">
      <c r="B344" s="620">
        <v>42485</v>
      </c>
      <c r="C344" s="383">
        <v>9678</v>
      </c>
      <c r="D344" s="622">
        <v>17.233499999999999</v>
      </c>
      <c r="E344" s="363">
        <v>13.83</v>
      </c>
      <c r="F344" s="363">
        <f t="shared" si="67"/>
        <v>-32939.072999999997</v>
      </c>
      <c r="G344" s="363">
        <f t="shared" si="68"/>
        <v>166785.81299999999</v>
      </c>
      <c r="H344" s="364">
        <f t="shared" si="66"/>
        <v>-0.19749325441726867</v>
      </c>
      <c r="I344" s="363"/>
    </row>
    <row r="345" spans="2:9" x14ac:dyDescent="0.25">
      <c r="B345" s="620">
        <v>42486</v>
      </c>
      <c r="C345" s="362">
        <v>9178</v>
      </c>
      <c r="D345" s="621">
        <v>17.390599999999999</v>
      </c>
      <c r="E345" s="363">
        <v>14.44</v>
      </c>
      <c r="F345" s="363">
        <f t="shared" si="67"/>
        <v>-27080.606799999998</v>
      </c>
      <c r="G345" s="363">
        <f t="shared" si="68"/>
        <v>159610.92679999999</v>
      </c>
      <c r="H345" s="365">
        <f t="shared" si="66"/>
        <v>-0.16966637148804525</v>
      </c>
      <c r="I345" s="363"/>
    </row>
    <row r="346" spans="2:9" x14ac:dyDescent="0.25">
      <c r="B346" s="620">
        <v>42487</v>
      </c>
      <c r="C346" s="362">
        <v>9178</v>
      </c>
      <c r="D346" s="621">
        <v>17.376300000000001</v>
      </c>
      <c r="E346" s="363">
        <v>14.84</v>
      </c>
      <c r="F346" s="363">
        <f t="shared" si="67"/>
        <v>-23278.161400000005</v>
      </c>
      <c r="G346" s="363">
        <f t="shared" si="68"/>
        <v>159479.6814</v>
      </c>
      <c r="H346" s="365">
        <f t="shared" si="66"/>
        <v>-0.14596317973331496</v>
      </c>
      <c r="I346" s="363"/>
    </row>
    <row r="347" spans="2:9" x14ac:dyDescent="0.25">
      <c r="B347" s="620">
        <v>42488</v>
      </c>
      <c r="C347" s="362">
        <v>9678</v>
      </c>
      <c r="D347" s="621">
        <v>17.2287</v>
      </c>
      <c r="E347" s="363">
        <v>14.35</v>
      </c>
      <c r="F347" s="363">
        <f t="shared" si="67"/>
        <v>-27860.058600000004</v>
      </c>
      <c r="G347" s="363">
        <f t="shared" si="68"/>
        <v>166739.35860000001</v>
      </c>
      <c r="H347" s="365">
        <f t="shared" si="66"/>
        <v>-0.16708747612994598</v>
      </c>
      <c r="I347" s="363"/>
    </row>
    <row r="348" spans="2:9" x14ac:dyDescent="0.25">
      <c r="B348" s="620">
        <v>42489</v>
      </c>
      <c r="C348" s="362">
        <v>9678</v>
      </c>
      <c r="D348" s="621">
        <v>17.179200000000002</v>
      </c>
      <c r="E348" s="363">
        <v>14.09</v>
      </c>
      <c r="F348" s="363">
        <f t="shared" si="67"/>
        <v>-29897.277600000016</v>
      </c>
      <c r="G348" s="363">
        <f t="shared" si="68"/>
        <v>166260.29760000002</v>
      </c>
      <c r="H348" s="365">
        <f t="shared" si="66"/>
        <v>-0.17982211045916</v>
      </c>
      <c r="I348" s="363"/>
    </row>
    <row r="349" spans="2:9" x14ac:dyDescent="0.25">
      <c r="B349" s="620">
        <v>42492</v>
      </c>
      <c r="C349" s="362">
        <v>9678</v>
      </c>
      <c r="D349" s="621">
        <v>17.136399999999998</v>
      </c>
      <c r="E349" s="363">
        <v>13.55</v>
      </c>
      <c r="F349" s="363">
        <f t="shared" si="67"/>
        <v>-34709.179199999977</v>
      </c>
      <c r="G349" s="363">
        <f t="shared" si="68"/>
        <v>165846.07919999998</v>
      </c>
      <c r="H349" s="365">
        <f t="shared" si="66"/>
        <v>-0.20928549753740563</v>
      </c>
      <c r="I349" s="363"/>
    </row>
    <row r="350" spans="2:9" x14ac:dyDescent="0.25">
      <c r="B350" s="620">
        <v>42493</v>
      </c>
      <c r="C350" s="362">
        <v>9678</v>
      </c>
      <c r="D350" s="621">
        <v>17.1221</v>
      </c>
      <c r="E350" s="363">
        <v>12.79</v>
      </c>
      <c r="F350" s="363">
        <f t="shared" si="67"/>
        <v>-41926.063800000004</v>
      </c>
      <c r="G350" s="363">
        <f t="shared" si="68"/>
        <v>165707.6838</v>
      </c>
      <c r="H350" s="365">
        <f t="shared" si="66"/>
        <v>-0.25301218892542388</v>
      </c>
      <c r="I350" s="363"/>
    </row>
    <row r="351" spans="2:9" x14ac:dyDescent="0.25">
      <c r="B351" s="620">
        <v>42494</v>
      </c>
      <c r="C351" s="362">
        <v>11678</v>
      </c>
      <c r="D351" s="621">
        <v>16.316800000000001</v>
      </c>
      <c r="E351" s="363">
        <v>12.17</v>
      </c>
      <c r="F351" s="363">
        <f t="shared" si="67"/>
        <v>-48426.330400000006</v>
      </c>
      <c r="G351" s="363">
        <f t="shared" si="68"/>
        <v>190547.59040000002</v>
      </c>
      <c r="H351" s="365">
        <f t="shared" si="66"/>
        <v>-0.25414296920964896</v>
      </c>
      <c r="I351" s="363"/>
    </row>
    <row r="352" spans="2:9" x14ac:dyDescent="0.25">
      <c r="B352" s="620">
        <v>42495</v>
      </c>
      <c r="C352" s="362">
        <v>9678</v>
      </c>
      <c r="D352" s="621">
        <v>17.0684</v>
      </c>
      <c r="E352" s="363">
        <v>12.07</v>
      </c>
      <c r="F352" s="363">
        <f t="shared" si="67"/>
        <v>-48374.515200000002</v>
      </c>
      <c r="G352" s="363">
        <f t="shared" si="68"/>
        <v>165187.97520000002</v>
      </c>
      <c r="H352" s="364">
        <f t="shared" si="66"/>
        <v>-0.29284525790349419</v>
      </c>
      <c r="I352" s="363"/>
    </row>
    <row r="353" spans="2:14" ht="15" customHeight="1" x14ac:dyDescent="0.25">
      <c r="B353" s="620">
        <v>42499</v>
      </c>
      <c r="C353" s="362">
        <v>10678</v>
      </c>
      <c r="D353" s="621">
        <v>16.537600000000001</v>
      </c>
      <c r="E353" s="363">
        <v>11.44</v>
      </c>
      <c r="F353" s="363">
        <f t="shared" si="67"/>
        <v>-54432.172800000015</v>
      </c>
      <c r="G353" s="363">
        <f t="shared" si="68"/>
        <v>176588.49280000001</v>
      </c>
      <c r="H353" s="364">
        <f t="shared" si="66"/>
        <v>-0.30824303405572762</v>
      </c>
      <c r="I353" s="363"/>
    </row>
    <row r="354" spans="2:14" x14ac:dyDescent="0.25">
      <c r="B354" s="620">
        <v>42500</v>
      </c>
      <c r="C354" s="362">
        <v>9678</v>
      </c>
      <c r="D354" s="621">
        <v>17.042100000000001</v>
      </c>
      <c r="E354" s="363">
        <v>11.94</v>
      </c>
      <c r="F354" s="363">
        <f t="shared" si="67"/>
        <v>-49378.123800000016</v>
      </c>
      <c r="G354" s="363">
        <f t="shared" si="68"/>
        <v>164933.44380000001</v>
      </c>
      <c r="H354" s="364">
        <f t="shared" si="66"/>
        <v>-0.2993821184009014</v>
      </c>
      <c r="I354" s="363"/>
    </row>
    <row r="355" spans="2:14" x14ac:dyDescent="0.25">
      <c r="B355" s="620">
        <v>42502</v>
      </c>
      <c r="C355" s="362">
        <v>10678</v>
      </c>
      <c r="D355" s="621">
        <v>16.601800000000001</v>
      </c>
      <c r="E355" s="363">
        <v>12.33</v>
      </c>
      <c r="F355" s="363">
        <f t="shared" si="67"/>
        <v>-45614.280400000011</v>
      </c>
      <c r="G355" s="363">
        <f t="shared" si="68"/>
        <v>177274.02040000001</v>
      </c>
      <c r="H355" s="364">
        <f t="shared" si="66"/>
        <v>-0.25730944837306802</v>
      </c>
      <c r="I355" s="363"/>
    </row>
    <row r="356" spans="2:14" x14ac:dyDescent="0.25">
      <c r="B356" s="620">
        <v>42502</v>
      </c>
      <c r="C356" s="362">
        <v>9678</v>
      </c>
      <c r="D356" s="621">
        <v>17.0334</v>
      </c>
      <c r="E356" s="363">
        <v>12.33</v>
      </c>
      <c r="F356" s="363">
        <f t="shared" si="67"/>
        <v>-45519.5052</v>
      </c>
      <c r="G356" s="363">
        <f t="shared" si="68"/>
        <v>164849.2452</v>
      </c>
      <c r="H356" s="364">
        <f t="shared" si="66"/>
        <v>-0.27612807777660364</v>
      </c>
      <c r="I356" s="363"/>
    </row>
    <row r="357" spans="2:14" x14ac:dyDescent="0.25">
      <c r="B357" s="620">
        <v>42503</v>
      </c>
      <c r="C357" s="362">
        <v>9678</v>
      </c>
      <c r="D357" s="621">
        <v>17.029299999999999</v>
      </c>
      <c r="E357" s="363">
        <v>12.3</v>
      </c>
      <c r="F357" s="363">
        <f t="shared" si="67"/>
        <v>-45770.165399999983</v>
      </c>
      <c r="G357" s="363">
        <f t="shared" si="68"/>
        <v>164809.56539999999</v>
      </c>
      <c r="H357" s="364">
        <f t="shared" si="66"/>
        <v>-0.27771546687180321</v>
      </c>
      <c r="I357" s="363"/>
    </row>
    <row r="358" spans="2:14" x14ac:dyDescent="0.25">
      <c r="B358" s="620">
        <v>42506</v>
      </c>
      <c r="C358" s="362">
        <v>9678</v>
      </c>
      <c r="D358" s="621">
        <v>17.027699999999999</v>
      </c>
      <c r="E358" s="363">
        <v>12.78</v>
      </c>
      <c r="F358" s="363">
        <f t="shared" si="67"/>
        <v>-41109.240599999997</v>
      </c>
      <c r="G358" s="363">
        <f t="shared" si="68"/>
        <v>164794.08059999999</v>
      </c>
      <c r="H358" s="364">
        <f t="shared" si="66"/>
        <v>-0.24945823569830336</v>
      </c>
      <c r="I358" s="363"/>
    </row>
    <row r="359" spans="2:14" x14ac:dyDescent="0.25">
      <c r="B359" s="620">
        <v>42513</v>
      </c>
      <c r="C359" s="362">
        <v>9178</v>
      </c>
      <c r="D359" s="621">
        <v>17.244399999999999</v>
      </c>
      <c r="E359" s="363">
        <v>13.19</v>
      </c>
      <c r="F359" s="363">
        <f t="shared" si="67"/>
        <v>-37211.283199999991</v>
      </c>
      <c r="G359" s="363">
        <f t="shared" si="68"/>
        <v>158269.10319999998</v>
      </c>
      <c r="H359" s="364">
        <f t="shared" si="66"/>
        <v>-0.23511400802579385</v>
      </c>
      <c r="I359" s="363"/>
    </row>
    <row r="360" spans="2:14" x14ac:dyDescent="0.25">
      <c r="B360" s="620">
        <v>42514</v>
      </c>
      <c r="C360" s="362">
        <v>9678</v>
      </c>
      <c r="D360" s="621">
        <v>17.026</v>
      </c>
      <c r="E360" s="363">
        <v>13.02</v>
      </c>
      <c r="F360" s="363">
        <f t="shared" si="67"/>
        <v>-38770.067999999999</v>
      </c>
      <c r="G360" s="363">
        <f t="shared" si="68"/>
        <v>164777.628</v>
      </c>
      <c r="H360" s="364">
        <f t="shared" si="66"/>
        <v>-0.23528720779983556</v>
      </c>
      <c r="I360" s="363"/>
    </row>
    <row r="361" spans="2:14" x14ac:dyDescent="0.25">
      <c r="B361" s="620">
        <v>42515</v>
      </c>
      <c r="C361" s="362">
        <v>9178</v>
      </c>
      <c r="D361" s="621">
        <v>17.206800000000001</v>
      </c>
      <c r="E361" s="363">
        <v>13.54</v>
      </c>
      <c r="F361" s="363">
        <f t="shared" si="67"/>
        <v>-33653.890400000018</v>
      </c>
      <c r="G361" s="363">
        <f t="shared" si="68"/>
        <v>157924.0104</v>
      </c>
      <c r="H361" s="364">
        <f t="shared" si="66"/>
        <v>-0.21310179696399109</v>
      </c>
      <c r="I361" s="363"/>
    </row>
    <row r="362" spans="2:14" x14ac:dyDescent="0.25">
      <c r="B362" s="620">
        <v>42516</v>
      </c>
      <c r="C362" s="362">
        <v>9678</v>
      </c>
      <c r="D362" s="621">
        <v>17.003799999999998</v>
      </c>
      <c r="E362" s="363">
        <v>13.17</v>
      </c>
      <c r="F362" s="363">
        <f t="shared" si="67"/>
        <v>-37103.516399999986</v>
      </c>
      <c r="G362" s="363">
        <f t="shared" si="68"/>
        <v>164562.77639999997</v>
      </c>
      <c r="H362" s="364">
        <f t="shared" si="66"/>
        <v>-0.22546724849739463</v>
      </c>
      <c r="I362" s="363"/>
    </row>
    <row r="363" spans="2:14" x14ac:dyDescent="0.25">
      <c r="B363" s="620">
        <v>42517</v>
      </c>
      <c r="C363" s="362">
        <v>9678</v>
      </c>
      <c r="D363" s="621">
        <v>16.999700000000001</v>
      </c>
      <c r="E363" s="363">
        <v>12.9</v>
      </c>
      <c r="F363" s="363">
        <f t="shared" si="67"/>
        <v>-39676.8966</v>
      </c>
      <c r="G363" s="363">
        <f t="shared" si="68"/>
        <v>164523.09660000002</v>
      </c>
      <c r="H363" s="364">
        <f t="shared" si="66"/>
        <v>-0.2411630793484591</v>
      </c>
      <c r="I363" s="363"/>
    </row>
    <row r="364" spans="2:14" ht="15" customHeight="1" x14ac:dyDescent="0.25">
      <c r="B364" s="620">
        <v>42525</v>
      </c>
      <c r="C364" s="362">
        <v>9678</v>
      </c>
      <c r="D364" s="621">
        <v>16.9956</v>
      </c>
      <c r="E364" s="363">
        <v>13.32</v>
      </c>
      <c r="F364" s="363">
        <f t="shared" si="67"/>
        <v>-35572.456799999993</v>
      </c>
      <c r="G364" s="363">
        <f t="shared" si="68"/>
        <v>164483.41680000001</v>
      </c>
      <c r="H364" s="364">
        <f t="shared" si="66"/>
        <v>-0.21626773988561743</v>
      </c>
      <c r="I364" s="363"/>
    </row>
    <row r="365" spans="2:14" x14ac:dyDescent="0.25">
      <c r="B365" s="620">
        <v>42527</v>
      </c>
      <c r="C365" s="362">
        <v>8178</v>
      </c>
      <c r="D365" s="621">
        <v>17.568999999999999</v>
      </c>
      <c r="E365" s="363">
        <v>13.96</v>
      </c>
      <c r="F365" s="363">
        <f t="shared" si="67"/>
        <v>-29514.401999999984</v>
      </c>
      <c r="G365" s="363">
        <f t="shared" si="68"/>
        <v>143679.28200000001</v>
      </c>
      <c r="H365" s="364">
        <f t="shared" si="66"/>
        <v>-0.20541863509590746</v>
      </c>
      <c r="I365" s="363"/>
    </row>
    <row r="366" spans="2:14" x14ac:dyDescent="0.25">
      <c r="B366" s="620">
        <v>42528</v>
      </c>
      <c r="C366" s="362">
        <v>7678</v>
      </c>
      <c r="D366" s="621">
        <v>17.759599999999999</v>
      </c>
      <c r="E366" s="363">
        <v>14.62</v>
      </c>
      <c r="F366" s="363">
        <f t="shared" si="67"/>
        <v>-24105.848799999996</v>
      </c>
      <c r="G366" s="363">
        <f t="shared" si="68"/>
        <v>136358.20879999999</v>
      </c>
      <c r="H366" s="364">
        <f t="shared" si="66"/>
        <v>-0.17678326088425414</v>
      </c>
      <c r="I366" s="363"/>
      <c r="N366" s="29"/>
    </row>
    <row r="367" spans="2:14" x14ac:dyDescent="0.25">
      <c r="B367" s="620">
        <v>42529</v>
      </c>
      <c r="C367" s="362">
        <v>8178</v>
      </c>
      <c r="D367" s="621">
        <v>17.5654</v>
      </c>
      <c r="E367" s="363">
        <v>14.53</v>
      </c>
      <c r="F367" s="363">
        <f t="shared" si="67"/>
        <v>-24823.50120000001</v>
      </c>
      <c r="G367" s="363">
        <f t="shared" si="68"/>
        <v>143649.8412</v>
      </c>
      <c r="H367" s="364">
        <f t="shared" si="66"/>
        <v>-0.17280562924840887</v>
      </c>
      <c r="I367" s="363"/>
    </row>
    <row r="368" spans="2:14" x14ac:dyDescent="0.25">
      <c r="B368" s="620">
        <v>42531</v>
      </c>
      <c r="C368" s="362">
        <v>8978</v>
      </c>
      <c r="D368" s="621">
        <v>17.1751</v>
      </c>
      <c r="E368" s="363">
        <v>13.42</v>
      </c>
      <c r="F368" s="363">
        <f t="shared" ref="F368:F376" si="69">C368*(E368-D368)</f>
        <v>-33713.287800000006</v>
      </c>
      <c r="G368" s="363">
        <f t="shared" ref="G368:G376" si="70">IF(C368=0, 0,D368*C368)</f>
        <v>154198.0478</v>
      </c>
      <c r="H368" s="364">
        <f t="shared" ref="H368:H376" si="71">IF(C368=0, D368, (E368-D368)/D368)</f>
        <v>-0.21863628159370255</v>
      </c>
      <c r="I368" s="363"/>
    </row>
    <row r="369" spans="2:9" x14ac:dyDescent="0.25">
      <c r="B369" s="620">
        <v>42531</v>
      </c>
      <c r="C369" s="383">
        <v>9278</v>
      </c>
      <c r="D369" s="622">
        <v>17.1052</v>
      </c>
      <c r="E369" s="363">
        <v>13.42</v>
      </c>
      <c r="F369" s="363">
        <f t="shared" si="69"/>
        <v>-34191.285600000003</v>
      </c>
      <c r="G369" s="363">
        <f t="shared" si="70"/>
        <v>158702.04560000001</v>
      </c>
      <c r="H369" s="364">
        <f t="shared" si="71"/>
        <v>-0.21544325702125669</v>
      </c>
      <c r="I369" s="363"/>
    </row>
    <row r="370" spans="2:9" x14ac:dyDescent="0.25">
      <c r="B370" s="620">
        <v>42532</v>
      </c>
      <c r="C370" s="362">
        <v>9278</v>
      </c>
      <c r="D370" s="621">
        <v>17.053000000000001</v>
      </c>
      <c r="E370" s="363">
        <v>13.42</v>
      </c>
      <c r="F370" s="363">
        <f t="shared" si="69"/>
        <v>-33706.974000000009</v>
      </c>
      <c r="G370" s="363">
        <f t="shared" si="70"/>
        <v>158217.734</v>
      </c>
      <c r="H370" s="364">
        <f t="shared" si="71"/>
        <v>-0.21304169354365804</v>
      </c>
      <c r="I370" s="363" t="s">
        <v>182</v>
      </c>
    </row>
    <row r="371" spans="2:9" x14ac:dyDescent="0.25">
      <c r="B371" s="620">
        <v>42535</v>
      </c>
      <c r="C371" s="362">
        <v>9678</v>
      </c>
      <c r="D371" s="621">
        <v>16.879300000000001</v>
      </c>
      <c r="E371" s="363">
        <v>13.23</v>
      </c>
      <c r="F371" s="363">
        <f t="shared" si="69"/>
        <v>-35317.9254</v>
      </c>
      <c r="G371" s="363">
        <f t="shared" si="70"/>
        <v>163357.86540000001</v>
      </c>
      <c r="H371" s="364">
        <f t="shared" si="71"/>
        <v>-0.21619972392220058</v>
      </c>
      <c r="I371" s="363" t="s">
        <v>215</v>
      </c>
    </row>
    <row r="372" spans="2:9" x14ac:dyDescent="0.25">
      <c r="B372" s="620">
        <v>42536</v>
      </c>
      <c r="C372" s="362">
        <v>9278</v>
      </c>
      <c r="D372" s="621">
        <v>17.027999999999999</v>
      </c>
      <c r="E372" s="363">
        <v>13.06</v>
      </c>
      <c r="F372" s="363">
        <f t="shared" si="69"/>
        <v>-36815.103999999985</v>
      </c>
      <c r="G372" s="363">
        <f t="shared" si="70"/>
        <v>157985.78399999999</v>
      </c>
      <c r="H372" s="364">
        <f t="shared" si="71"/>
        <v>-0.23302795395818643</v>
      </c>
      <c r="I372" s="363"/>
    </row>
    <row r="373" spans="2:9" x14ac:dyDescent="0.25">
      <c r="B373" s="620">
        <v>42537</v>
      </c>
      <c r="C373" s="383">
        <v>9278</v>
      </c>
      <c r="D373" s="622">
        <v>17.0168</v>
      </c>
      <c r="E373" s="363">
        <v>12.67</v>
      </c>
      <c r="F373" s="363">
        <f t="shared" si="69"/>
        <v>-40329.610399999998</v>
      </c>
      <c r="G373" s="363">
        <f t="shared" si="70"/>
        <v>157881.87039999999</v>
      </c>
      <c r="H373" s="364">
        <f t="shared" si="71"/>
        <v>-0.25544168116214566</v>
      </c>
      <c r="I373" s="363"/>
    </row>
    <row r="374" spans="2:9" x14ac:dyDescent="0.25">
      <c r="B374" s="620">
        <v>42538</v>
      </c>
      <c r="C374" s="383">
        <v>9278</v>
      </c>
      <c r="D374" s="622">
        <v>17.0061</v>
      </c>
      <c r="E374" s="363">
        <v>13.16</v>
      </c>
      <c r="F374" s="363">
        <f t="shared" si="69"/>
        <v>-35684.1158</v>
      </c>
      <c r="G374" s="363">
        <f t="shared" si="70"/>
        <v>157782.59580000001</v>
      </c>
      <c r="H374" s="364">
        <f t="shared" si="71"/>
        <v>-0.2261600249322302</v>
      </c>
      <c r="I374" s="363"/>
    </row>
    <row r="375" spans="2:9" x14ac:dyDescent="0.25">
      <c r="B375" s="620">
        <v>42541</v>
      </c>
      <c r="C375" s="362">
        <v>7678</v>
      </c>
      <c r="D375" s="621">
        <v>17.568000000000001</v>
      </c>
      <c r="E375" s="363">
        <v>14.48</v>
      </c>
      <c r="F375" s="363">
        <f t="shared" si="69"/>
        <v>-23709.664000000008</v>
      </c>
      <c r="G375" s="363">
        <f t="shared" si="70"/>
        <v>134887.10400000002</v>
      </c>
      <c r="H375" s="365">
        <f t="shared" si="71"/>
        <v>-0.17577413479052828</v>
      </c>
      <c r="I375" s="363"/>
    </row>
    <row r="376" spans="2:9" x14ac:dyDescent="0.25">
      <c r="B376" s="620">
        <v>42542</v>
      </c>
      <c r="C376" s="362">
        <v>6800</v>
      </c>
      <c r="D376" s="621">
        <v>17.892099999999999</v>
      </c>
      <c r="E376" s="363">
        <v>15.09</v>
      </c>
      <c r="F376" s="363">
        <f t="shared" si="69"/>
        <v>-19054.279999999995</v>
      </c>
      <c r="G376" s="363">
        <f t="shared" si="70"/>
        <v>121666.28</v>
      </c>
      <c r="H376" s="365">
        <f t="shared" si="71"/>
        <v>-0.15661101827063337</v>
      </c>
      <c r="I376" s="363"/>
    </row>
    <row r="377" spans="2:9" x14ac:dyDescent="0.25">
      <c r="B377" s="620">
        <v>42543</v>
      </c>
      <c r="C377" s="362">
        <v>7300</v>
      </c>
      <c r="D377" s="621">
        <v>17.6769</v>
      </c>
      <c r="E377" s="363">
        <v>14.75</v>
      </c>
      <c r="F377" s="363">
        <f t="shared" ref="F377:F385" si="72">C377*(E377-D377)</f>
        <v>-21366.37</v>
      </c>
      <c r="G377" s="363">
        <f t="shared" ref="G377:G385" si="73">IF(C377=0, 0,D377*C377)</f>
        <v>129041.37</v>
      </c>
      <c r="H377" s="365">
        <f t="shared" ref="H377:H385" si="74">IF(C377=0, D377, (E377-D377)/D377)</f>
        <v>-0.16557767481854849</v>
      </c>
      <c r="I377" s="363"/>
    </row>
    <row r="378" spans="2:9" x14ac:dyDescent="0.25">
      <c r="B378" s="620">
        <v>42544</v>
      </c>
      <c r="C378" s="362">
        <v>6800</v>
      </c>
      <c r="D378" s="621">
        <v>17.856100000000001</v>
      </c>
      <c r="E378" s="363">
        <v>15.27</v>
      </c>
      <c r="F378" s="363">
        <f t="shared" si="72"/>
        <v>-17585.480000000014</v>
      </c>
      <c r="G378" s="363">
        <f t="shared" si="73"/>
        <v>121421.48000000001</v>
      </c>
      <c r="H378" s="365">
        <f t="shared" si="74"/>
        <v>-0.1448300580753917</v>
      </c>
      <c r="I378" s="363"/>
    </row>
    <row r="379" spans="2:9" x14ac:dyDescent="0.25">
      <c r="B379" s="620">
        <v>42545</v>
      </c>
      <c r="C379" s="362">
        <v>7678</v>
      </c>
      <c r="D379" s="621">
        <v>17.462</v>
      </c>
      <c r="E379" s="363">
        <v>14.41</v>
      </c>
      <c r="F379" s="363">
        <f t="shared" si="72"/>
        <v>-23433.255999999998</v>
      </c>
      <c r="G379" s="363">
        <f t="shared" si="73"/>
        <v>134073.236</v>
      </c>
      <c r="H379" s="365">
        <f t="shared" si="74"/>
        <v>-0.17477952124613444</v>
      </c>
      <c r="I379" s="363"/>
    </row>
    <row r="380" spans="2:9" x14ac:dyDescent="0.25">
      <c r="B380" s="620">
        <v>42545</v>
      </c>
      <c r="C380" s="362">
        <v>8013</v>
      </c>
      <c r="D380" s="621">
        <v>17.32</v>
      </c>
      <c r="E380" s="363">
        <v>14.68</v>
      </c>
      <c r="F380" s="363">
        <f t="shared" si="72"/>
        <v>-21154.320000000003</v>
      </c>
      <c r="G380" s="363">
        <f t="shared" si="73"/>
        <v>138785.16</v>
      </c>
      <c r="H380" s="365">
        <f t="shared" si="74"/>
        <v>-0.15242494226327949</v>
      </c>
      <c r="I380" s="363"/>
    </row>
    <row r="381" spans="2:9" x14ac:dyDescent="0.25">
      <c r="B381" s="620">
        <v>42548</v>
      </c>
      <c r="C381" s="362">
        <v>8978</v>
      </c>
      <c r="D381" s="621">
        <v>16.943300000000001</v>
      </c>
      <c r="E381" s="363">
        <v>13.66</v>
      </c>
      <c r="F381" s="363">
        <f t="shared" si="72"/>
        <v>-29477.467400000005</v>
      </c>
      <c r="G381" s="363">
        <f t="shared" si="73"/>
        <v>152116.9474</v>
      </c>
      <c r="H381" s="365">
        <f t="shared" si="74"/>
        <v>-0.19378161279089673</v>
      </c>
      <c r="I381" s="363"/>
    </row>
    <row r="382" spans="2:9" x14ac:dyDescent="0.25">
      <c r="B382" s="620">
        <v>42548</v>
      </c>
      <c r="C382" s="362">
        <v>9278</v>
      </c>
      <c r="D382" s="621">
        <v>16.834599999999998</v>
      </c>
      <c r="E382" s="363">
        <v>13.66</v>
      </c>
      <c r="F382" s="363">
        <f t="shared" si="72"/>
        <v>-29453.938799999982</v>
      </c>
      <c r="G382" s="363">
        <f t="shared" si="73"/>
        <v>156191.41879999998</v>
      </c>
      <c r="H382" s="364">
        <f t="shared" si="74"/>
        <v>-0.18857590913951019</v>
      </c>
      <c r="I382" s="363"/>
    </row>
    <row r="383" spans="2:9" x14ac:dyDescent="0.25">
      <c r="B383" s="620">
        <v>42549</v>
      </c>
      <c r="C383" s="362">
        <v>8178</v>
      </c>
      <c r="D383" s="621">
        <v>17.124400000000001</v>
      </c>
      <c r="E383" s="363">
        <v>14.78</v>
      </c>
      <c r="F383" s="363">
        <f t="shared" si="72"/>
        <v>-19172.503200000017</v>
      </c>
      <c r="G383" s="363">
        <f t="shared" si="73"/>
        <v>140043.3432</v>
      </c>
      <c r="H383" s="364">
        <f t="shared" si="74"/>
        <v>-0.13690406671182651</v>
      </c>
      <c r="I383" s="363">
        <v>17</v>
      </c>
    </row>
    <row r="384" spans="2:9" x14ac:dyDescent="0.25">
      <c r="B384" s="620">
        <v>42552</v>
      </c>
      <c r="C384" s="362">
        <v>7678</v>
      </c>
      <c r="D384" s="621">
        <v>17.2315</v>
      </c>
      <c r="E384" s="363">
        <v>15.48</v>
      </c>
      <c r="F384" s="363">
        <f t="shared" si="72"/>
        <v>-13448.017</v>
      </c>
      <c r="G384" s="363">
        <f t="shared" si="73"/>
        <v>132303.45699999999</v>
      </c>
      <c r="H384" s="364">
        <f t="shared" si="74"/>
        <v>-0.1016452427240809</v>
      </c>
      <c r="I384" s="363">
        <v>17</v>
      </c>
    </row>
    <row r="385" spans="2:9" ht="15" customHeight="1" x14ac:dyDescent="0.25">
      <c r="B385" s="620">
        <v>42552</v>
      </c>
      <c r="C385" s="362">
        <v>7300</v>
      </c>
      <c r="D385" s="621">
        <v>17.313400000000001</v>
      </c>
      <c r="E385" s="363">
        <v>15.65</v>
      </c>
      <c r="F385" s="363">
        <f t="shared" si="72"/>
        <v>-12142.820000000009</v>
      </c>
      <c r="G385" s="363">
        <f t="shared" si="73"/>
        <v>126387.82</v>
      </c>
      <c r="H385" s="364">
        <f t="shared" si="74"/>
        <v>-9.6075871868032903E-2</v>
      </c>
      <c r="I385" s="363"/>
    </row>
    <row r="386" spans="2:9" x14ac:dyDescent="0.25">
      <c r="B386" s="620">
        <v>42552</v>
      </c>
      <c r="C386" s="362">
        <v>6800</v>
      </c>
      <c r="D386" s="621">
        <v>17.446100000000001</v>
      </c>
      <c r="E386" s="363">
        <v>15.7</v>
      </c>
      <c r="F386" s="363">
        <f t="shared" ref="F386:F407" si="75">C386*(E386-D386)</f>
        <v>-11873.480000000014</v>
      </c>
      <c r="G386" s="363">
        <f t="shared" ref="G386:G407" si="76">IF(C386=0, 0,D386*C386)</f>
        <v>118633.48000000001</v>
      </c>
      <c r="H386" s="364">
        <f t="shared" ref="H386:H407" si="77">IF(C386=0, D386, (E386-D386)/D386)</f>
        <v>-0.10008540590733757</v>
      </c>
      <c r="I386" s="363"/>
    </row>
    <row r="387" spans="2:9" x14ac:dyDescent="0.25">
      <c r="B387" s="620">
        <v>42552</v>
      </c>
      <c r="C387" s="362">
        <v>6000</v>
      </c>
      <c r="D387" s="621">
        <v>17.668199999999999</v>
      </c>
      <c r="E387" s="363">
        <v>15.68</v>
      </c>
      <c r="F387" s="363">
        <f t="shared" si="75"/>
        <v>-11929.199999999995</v>
      </c>
      <c r="G387" s="363">
        <f t="shared" si="76"/>
        <v>106009.2</v>
      </c>
      <c r="H387" s="364">
        <f t="shared" si="77"/>
        <v>-0.11252985589929926</v>
      </c>
      <c r="I387" s="363"/>
    </row>
    <row r="388" spans="2:9" x14ac:dyDescent="0.25">
      <c r="B388" s="620">
        <v>42556</v>
      </c>
      <c r="C388" s="362">
        <v>8178</v>
      </c>
      <c r="D388" s="621">
        <v>16.978899999999999</v>
      </c>
      <c r="E388" s="363">
        <v>14.72</v>
      </c>
      <c r="F388" s="363">
        <f t="shared" si="75"/>
        <v>-18473.284199999991</v>
      </c>
      <c r="G388" s="363">
        <f t="shared" si="76"/>
        <v>138853.4442</v>
      </c>
      <c r="H388" s="364">
        <f t="shared" si="77"/>
        <v>-0.13304159869013887</v>
      </c>
      <c r="I388" s="363">
        <v>16.75</v>
      </c>
    </row>
    <row r="389" spans="2:9" x14ac:dyDescent="0.25">
      <c r="B389" s="620">
        <v>42556</v>
      </c>
      <c r="C389" s="362">
        <v>8678</v>
      </c>
      <c r="D389" s="621">
        <v>16.843</v>
      </c>
      <c r="E389" s="363">
        <v>14.72</v>
      </c>
      <c r="F389" s="363">
        <f t="shared" si="75"/>
        <v>-18423.393999999993</v>
      </c>
      <c r="G389" s="363">
        <f t="shared" si="76"/>
        <v>146163.554</v>
      </c>
      <c r="H389" s="364">
        <f t="shared" si="77"/>
        <v>-0.12604642878347083</v>
      </c>
      <c r="I389" s="363"/>
    </row>
    <row r="390" spans="2:9" x14ac:dyDescent="0.25">
      <c r="B390" s="620">
        <v>42557</v>
      </c>
      <c r="C390" s="362">
        <v>8178</v>
      </c>
      <c r="D390" s="621">
        <v>16.960599999999999</v>
      </c>
      <c r="E390" s="363">
        <v>14.84</v>
      </c>
      <c r="F390" s="363">
        <f t="shared" si="75"/>
        <v>-17342.266799999998</v>
      </c>
      <c r="G390" s="363">
        <f t="shared" si="76"/>
        <v>138703.7868</v>
      </c>
      <c r="H390" s="364">
        <f t="shared" si="77"/>
        <v>-0.12503095409360515</v>
      </c>
      <c r="I390" s="363">
        <v>16.75</v>
      </c>
    </row>
    <row r="391" spans="2:9" x14ac:dyDescent="0.25">
      <c r="B391" s="620">
        <v>42557</v>
      </c>
      <c r="C391" s="362">
        <v>8678</v>
      </c>
      <c r="D391" s="621">
        <v>16.835000000000001</v>
      </c>
      <c r="E391" s="363">
        <v>14.84</v>
      </c>
      <c r="F391" s="363">
        <f t="shared" si="75"/>
        <v>-17312.610000000008</v>
      </c>
      <c r="G391" s="363">
        <f t="shared" si="76"/>
        <v>146094.13</v>
      </c>
      <c r="H391" s="364">
        <f t="shared" si="77"/>
        <v>-0.11850311850311855</v>
      </c>
      <c r="I391" s="363"/>
    </row>
    <row r="392" spans="2:9" x14ac:dyDescent="0.25">
      <c r="B392" s="620">
        <v>42559</v>
      </c>
      <c r="C392" s="362">
        <v>8678</v>
      </c>
      <c r="D392" s="621">
        <v>16.835000000000001</v>
      </c>
      <c r="E392" s="363">
        <v>14.92</v>
      </c>
      <c r="F392" s="363">
        <f t="shared" si="75"/>
        <v>-16618.370000000006</v>
      </c>
      <c r="G392" s="363">
        <f t="shared" si="76"/>
        <v>146094.13</v>
      </c>
      <c r="H392" s="364">
        <f t="shared" si="77"/>
        <v>-0.1137511137511138</v>
      </c>
      <c r="I392" s="363"/>
    </row>
    <row r="393" spans="2:9" x14ac:dyDescent="0.25">
      <c r="B393" s="620">
        <v>42562</v>
      </c>
      <c r="C393" s="362">
        <v>8678</v>
      </c>
      <c r="D393" s="621">
        <v>16.835000000000001</v>
      </c>
      <c r="E393" s="363">
        <v>14.69</v>
      </c>
      <c r="F393" s="363">
        <f t="shared" si="75"/>
        <v>-18614.310000000012</v>
      </c>
      <c r="G393" s="363">
        <f t="shared" si="76"/>
        <v>146094.13</v>
      </c>
      <c r="H393" s="364">
        <f t="shared" si="77"/>
        <v>-0.12741312741312749</v>
      </c>
      <c r="I393" s="363"/>
    </row>
    <row r="394" spans="2:9" x14ac:dyDescent="0.25">
      <c r="B394" s="620">
        <v>42563</v>
      </c>
      <c r="C394" s="362">
        <v>8678</v>
      </c>
      <c r="D394" s="621">
        <v>16.835000000000001</v>
      </c>
      <c r="E394" s="363">
        <v>15.6</v>
      </c>
      <c r="F394" s="363">
        <f t="shared" si="75"/>
        <v>-10717.330000000011</v>
      </c>
      <c r="G394" s="363">
        <f t="shared" si="76"/>
        <v>146094.13</v>
      </c>
      <c r="H394" s="364">
        <f t="shared" si="77"/>
        <v>-7.3359073359073421E-2</v>
      </c>
      <c r="I394" s="363"/>
    </row>
    <row r="395" spans="2:9" x14ac:dyDescent="0.25">
      <c r="B395" s="620">
        <v>42564</v>
      </c>
      <c r="C395" s="362">
        <v>8738</v>
      </c>
      <c r="D395" s="621">
        <v>16.816099999999999</v>
      </c>
      <c r="E395" s="363">
        <v>15.29</v>
      </c>
      <c r="F395" s="363">
        <f t="shared" si="75"/>
        <v>-13335.061799999996</v>
      </c>
      <c r="G395" s="363">
        <f t="shared" si="76"/>
        <v>146939.08179999999</v>
      </c>
      <c r="H395" s="364">
        <f t="shared" si="77"/>
        <v>-9.0752314745987453E-2</v>
      </c>
      <c r="I395" s="363"/>
    </row>
    <row r="396" spans="2:9" x14ac:dyDescent="0.25">
      <c r="B396" s="620">
        <v>42566</v>
      </c>
      <c r="C396" s="362">
        <v>8738</v>
      </c>
      <c r="D396" s="621">
        <v>16.816099999999999</v>
      </c>
      <c r="E396" s="363">
        <v>15.21</v>
      </c>
      <c r="F396" s="363">
        <f t="shared" si="75"/>
        <v>-14034.101799999982</v>
      </c>
      <c r="G396" s="363">
        <f t="shared" si="76"/>
        <v>146939.08179999999</v>
      </c>
      <c r="H396" s="364">
        <f t="shared" si="77"/>
        <v>-9.5509660384988079E-2</v>
      </c>
      <c r="I396" s="363"/>
    </row>
    <row r="397" spans="2:9" x14ac:dyDescent="0.25">
      <c r="B397" s="620">
        <v>42570</v>
      </c>
      <c r="C397" s="362">
        <v>9138</v>
      </c>
      <c r="D397" s="621">
        <v>16.733499999999999</v>
      </c>
      <c r="E397" s="363">
        <v>14.75</v>
      </c>
      <c r="F397" s="363">
        <f t="shared" si="75"/>
        <v>-18125.222999999994</v>
      </c>
      <c r="G397" s="363">
        <f t="shared" si="76"/>
        <v>152910.723</v>
      </c>
      <c r="H397" s="364">
        <f t="shared" si="77"/>
        <v>-0.1185346759494427</v>
      </c>
      <c r="I397" s="363"/>
    </row>
    <row r="398" spans="2:9" x14ac:dyDescent="0.25">
      <c r="B398" s="620">
        <v>42571</v>
      </c>
      <c r="C398" s="383">
        <v>9138</v>
      </c>
      <c r="D398" s="622">
        <v>16.7227</v>
      </c>
      <c r="E398" s="363">
        <v>14.84</v>
      </c>
      <c r="F398" s="363">
        <f t="shared" si="75"/>
        <v>-17204.112599999997</v>
      </c>
      <c r="G398" s="363">
        <f t="shared" si="76"/>
        <v>152812.03260000001</v>
      </c>
      <c r="H398" s="364">
        <f t="shared" si="77"/>
        <v>-0.11258349429218965</v>
      </c>
      <c r="I398" s="363"/>
    </row>
    <row r="399" spans="2:9" x14ac:dyDescent="0.25">
      <c r="B399" s="620">
        <v>42572</v>
      </c>
      <c r="C399" s="362">
        <v>9138</v>
      </c>
      <c r="D399" s="621">
        <v>16.718900000000001</v>
      </c>
      <c r="E399" s="363">
        <v>14.42</v>
      </c>
      <c r="F399" s="363">
        <f t="shared" si="75"/>
        <v>-21007.348200000015</v>
      </c>
      <c r="G399" s="363">
        <f t="shared" si="76"/>
        <v>152777.3082</v>
      </c>
      <c r="H399" s="364">
        <f t="shared" si="77"/>
        <v>-0.13750306539305823</v>
      </c>
      <c r="I399" s="363"/>
    </row>
    <row r="400" spans="2:9" x14ac:dyDescent="0.25">
      <c r="B400" s="620">
        <v>42573</v>
      </c>
      <c r="C400" s="362">
        <v>9278</v>
      </c>
      <c r="D400" s="621">
        <v>16.679099999999998</v>
      </c>
      <c r="E400" s="363">
        <v>14.11</v>
      </c>
      <c r="F400" s="363">
        <f t="shared" si="75"/>
        <v>-23836.109799999987</v>
      </c>
      <c r="G400" s="363">
        <f t="shared" si="76"/>
        <v>154748.68979999999</v>
      </c>
      <c r="H400" s="364">
        <f t="shared" si="77"/>
        <v>-0.15403109280476759</v>
      </c>
      <c r="I400" s="363"/>
    </row>
    <row r="401" spans="2:9" x14ac:dyDescent="0.25">
      <c r="B401" s="620">
        <v>42576</v>
      </c>
      <c r="C401" s="362">
        <v>9478</v>
      </c>
      <c r="D401" s="621">
        <v>16.613099999999999</v>
      </c>
      <c r="E401" s="363">
        <v>13.58</v>
      </c>
      <c r="F401" s="363">
        <f t="shared" si="75"/>
        <v>-28747.721799999992</v>
      </c>
      <c r="G401" s="363">
        <f t="shared" si="76"/>
        <v>157458.96179999999</v>
      </c>
      <c r="H401" s="364">
        <f t="shared" si="77"/>
        <v>-0.18257278894366491</v>
      </c>
      <c r="I401" s="363"/>
    </row>
    <row r="402" spans="2:9" x14ac:dyDescent="0.25">
      <c r="B402" s="620">
        <v>42577</v>
      </c>
      <c r="C402" s="383">
        <v>9278</v>
      </c>
      <c r="D402" s="622">
        <v>16.674199999999999</v>
      </c>
      <c r="E402" s="363">
        <v>13.78</v>
      </c>
      <c r="F402" s="363">
        <f t="shared" si="75"/>
        <v>-26852.387599999998</v>
      </c>
      <c r="G402" s="363">
        <f t="shared" si="76"/>
        <v>154703.22759999998</v>
      </c>
      <c r="H402" s="364">
        <f t="shared" si="77"/>
        <v>-0.17357354475776948</v>
      </c>
      <c r="I402" s="363">
        <v>16.53</v>
      </c>
    </row>
    <row r="403" spans="2:9" x14ac:dyDescent="0.25">
      <c r="B403" s="620">
        <v>42578</v>
      </c>
      <c r="C403" s="383">
        <v>9478</v>
      </c>
      <c r="D403" s="622">
        <v>16.6004</v>
      </c>
      <c r="E403" s="363">
        <v>13.13</v>
      </c>
      <c r="F403" s="363">
        <f t="shared" si="75"/>
        <v>-32892.451199999996</v>
      </c>
      <c r="G403" s="363">
        <f t="shared" si="76"/>
        <v>157338.5912</v>
      </c>
      <c r="H403" s="364">
        <f t="shared" si="77"/>
        <v>-0.20905520348907253</v>
      </c>
      <c r="I403" s="363"/>
    </row>
    <row r="404" spans="2:9" x14ac:dyDescent="0.25">
      <c r="B404" s="620">
        <v>42580</v>
      </c>
      <c r="C404" s="362">
        <v>9478</v>
      </c>
      <c r="D404" s="621">
        <v>16.599</v>
      </c>
      <c r="E404" s="363">
        <v>13.64</v>
      </c>
      <c r="F404" s="363">
        <f t="shared" si="75"/>
        <v>-28045.401999999998</v>
      </c>
      <c r="G404" s="363">
        <f t="shared" si="76"/>
        <v>157325.32200000001</v>
      </c>
      <c r="H404" s="365">
        <f t="shared" si="77"/>
        <v>-0.17826375082836313</v>
      </c>
      <c r="I404" s="363"/>
    </row>
    <row r="405" spans="2:9" x14ac:dyDescent="0.25">
      <c r="B405" s="620">
        <v>42580</v>
      </c>
      <c r="C405" s="362">
        <v>9278</v>
      </c>
      <c r="D405" s="621">
        <v>16.664000000000001</v>
      </c>
      <c r="E405" s="363">
        <v>13.64</v>
      </c>
      <c r="F405" s="363">
        <f t="shared" si="75"/>
        <v>-28056.67200000001</v>
      </c>
      <c r="G405" s="363">
        <f t="shared" si="76"/>
        <v>154608.592</v>
      </c>
      <c r="H405" s="365">
        <f t="shared" si="77"/>
        <v>-0.18146903504560732</v>
      </c>
      <c r="I405" s="363">
        <v>16.53</v>
      </c>
    </row>
    <row r="406" spans="2:9" x14ac:dyDescent="0.25">
      <c r="B406" s="620">
        <v>42583</v>
      </c>
      <c r="C406" s="362">
        <v>9478</v>
      </c>
      <c r="D406" s="621">
        <v>16.5871</v>
      </c>
      <c r="E406" s="363">
        <v>12.92</v>
      </c>
      <c r="F406" s="363">
        <f t="shared" si="75"/>
        <v>-34756.773799999995</v>
      </c>
      <c r="G406" s="363">
        <f t="shared" si="76"/>
        <v>157212.5338</v>
      </c>
      <c r="H406" s="365">
        <f t="shared" si="77"/>
        <v>-0.22108144280796521</v>
      </c>
      <c r="I406" s="363"/>
    </row>
    <row r="407" spans="2:9" ht="15" customHeight="1" x14ac:dyDescent="0.25">
      <c r="B407" s="620">
        <v>42584</v>
      </c>
      <c r="C407" s="362">
        <v>9678</v>
      </c>
      <c r="D407" s="621">
        <v>16.5063</v>
      </c>
      <c r="E407" s="363">
        <v>12.9</v>
      </c>
      <c r="F407" s="363">
        <f t="shared" si="75"/>
        <v>-34901.771399999991</v>
      </c>
      <c r="G407" s="363">
        <f t="shared" si="76"/>
        <v>159747.97140000001</v>
      </c>
      <c r="H407" s="365">
        <f t="shared" si="77"/>
        <v>-0.21848021664455386</v>
      </c>
      <c r="I407" s="363"/>
    </row>
    <row r="408" spans="2:9" x14ac:dyDescent="0.25">
      <c r="B408" s="620">
        <v>42585</v>
      </c>
      <c r="C408" s="362">
        <v>10078</v>
      </c>
      <c r="D408" s="621">
        <v>16.5063</v>
      </c>
      <c r="E408" s="363">
        <v>12.9</v>
      </c>
      <c r="F408" s="363">
        <f t="shared" ref="F408:F423" si="78">C408*(E408-D408)</f>
        <v>-36344.291399999995</v>
      </c>
      <c r="G408" s="363">
        <f t="shared" ref="G408:G423" si="79">IF(C408=0, 0,D408*C408)</f>
        <v>166350.4914</v>
      </c>
      <c r="H408" s="365">
        <f t="shared" ref="H408:H423" si="80">IF(C408=0, D408, (E408-D408)/D408)</f>
        <v>-0.21848021664455386</v>
      </c>
      <c r="I408" s="363"/>
    </row>
    <row r="409" spans="2:9" x14ac:dyDescent="0.25">
      <c r="B409" s="620">
        <v>42586</v>
      </c>
      <c r="C409" s="362">
        <v>9678</v>
      </c>
      <c r="D409" s="621">
        <v>16.489799999999999</v>
      </c>
      <c r="E409" s="363">
        <v>13.41</v>
      </c>
      <c r="F409" s="363">
        <f t="shared" si="78"/>
        <v>-29806.304399999986</v>
      </c>
      <c r="G409" s="363">
        <f t="shared" si="79"/>
        <v>159588.28439999997</v>
      </c>
      <c r="H409" s="365">
        <f t="shared" si="80"/>
        <v>-0.1867700032747516</v>
      </c>
      <c r="I409" s="363"/>
    </row>
    <row r="410" spans="2:9" x14ac:dyDescent="0.25">
      <c r="B410" s="620">
        <v>42586</v>
      </c>
      <c r="C410" s="362">
        <v>9278</v>
      </c>
      <c r="D410" s="621">
        <v>16.609200000000001</v>
      </c>
      <c r="E410" s="363">
        <v>13.66</v>
      </c>
      <c r="F410" s="363">
        <f t="shared" si="78"/>
        <v>-27362.67760000001</v>
      </c>
      <c r="G410" s="363">
        <f t="shared" si="79"/>
        <v>154100.15760000001</v>
      </c>
      <c r="H410" s="365">
        <f t="shared" si="80"/>
        <v>-0.17756424150470829</v>
      </c>
      <c r="I410" s="363">
        <v>16.53</v>
      </c>
    </row>
    <row r="411" spans="2:9" x14ac:dyDescent="0.25">
      <c r="B411" s="620">
        <v>42586</v>
      </c>
      <c r="C411" s="362">
        <v>9138</v>
      </c>
      <c r="D411" s="621">
        <v>16.6511</v>
      </c>
      <c r="E411" s="363">
        <v>13.87</v>
      </c>
      <c r="F411" s="363">
        <f t="shared" si="78"/>
        <v>-25413.691800000004</v>
      </c>
      <c r="G411" s="363">
        <f t="shared" si="79"/>
        <v>152157.7518</v>
      </c>
      <c r="H411" s="364">
        <f t="shared" si="80"/>
        <v>-0.1670219985466426</v>
      </c>
      <c r="I411" s="363"/>
    </row>
    <row r="412" spans="2:9" x14ac:dyDescent="0.25">
      <c r="B412" s="620">
        <v>42593</v>
      </c>
      <c r="C412" s="362">
        <v>8678</v>
      </c>
      <c r="D412" s="621">
        <v>16.760300000000001</v>
      </c>
      <c r="E412" s="363">
        <v>14.61</v>
      </c>
      <c r="F412" s="363">
        <f t="shared" si="78"/>
        <v>-18660.303400000012</v>
      </c>
      <c r="G412" s="363">
        <f t="shared" si="79"/>
        <v>145445.88340000002</v>
      </c>
      <c r="H412" s="364">
        <f t="shared" si="80"/>
        <v>-0.12829722618330228</v>
      </c>
      <c r="I412" s="363"/>
    </row>
    <row r="413" spans="2:9" x14ac:dyDescent="0.25">
      <c r="B413" s="620">
        <v>42597</v>
      </c>
      <c r="C413" s="362">
        <v>8678</v>
      </c>
      <c r="D413" s="621">
        <v>16.7471</v>
      </c>
      <c r="E413" s="363">
        <v>14.9</v>
      </c>
      <c r="F413" s="363">
        <f t="shared" si="78"/>
        <v>-16029.133799999994</v>
      </c>
      <c r="G413" s="363">
        <f t="shared" si="79"/>
        <v>145331.33379999999</v>
      </c>
      <c r="H413" s="364">
        <f t="shared" si="80"/>
        <v>-0.11029372249523794</v>
      </c>
      <c r="I413" s="363"/>
    </row>
    <row r="414" spans="2:9" ht="15" customHeight="1" x14ac:dyDescent="0.25">
      <c r="B414" s="620">
        <v>42598</v>
      </c>
      <c r="C414" s="362">
        <v>8178</v>
      </c>
      <c r="D414" s="621">
        <v>16.8429</v>
      </c>
      <c r="E414" s="363">
        <v>15.17</v>
      </c>
      <c r="F414" s="363">
        <f t="shared" si="78"/>
        <v>-13680.976200000003</v>
      </c>
      <c r="G414" s="363">
        <f t="shared" si="79"/>
        <v>137741.23620000001</v>
      </c>
      <c r="H414" s="364">
        <f t="shared" si="80"/>
        <v>-9.9323750660515728E-2</v>
      </c>
      <c r="I414" s="363">
        <v>16.75</v>
      </c>
    </row>
    <row r="415" spans="2:9" x14ac:dyDescent="0.25">
      <c r="B415" s="620">
        <v>42599</v>
      </c>
      <c r="C415" s="362">
        <v>7178</v>
      </c>
      <c r="D415" s="621">
        <v>17.009899999999998</v>
      </c>
      <c r="E415" s="363">
        <v>15.7</v>
      </c>
      <c r="F415" s="363">
        <f t="shared" si="78"/>
        <v>-9402.4621999999927</v>
      </c>
      <c r="G415" s="363">
        <f t="shared" si="79"/>
        <v>122097.06219999999</v>
      </c>
      <c r="H415" s="364">
        <f t="shared" si="80"/>
        <v>-7.7008095285686515E-2</v>
      </c>
      <c r="I415" s="363"/>
    </row>
    <row r="416" spans="2:9" x14ac:dyDescent="0.25">
      <c r="B416" s="620">
        <v>42600</v>
      </c>
      <c r="C416" s="362">
        <v>5500</v>
      </c>
      <c r="D416" s="621">
        <v>17.185600000000001</v>
      </c>
      <c r="E416" s="363">
        <v>16.68</v>
      </c>
      <c r="F416" s="363">
        <f t="shared" si="78"/>
        <v>-2780.8000000000065</v>
      </c>
      <c r="G416" s="363">
        <f t="shared" si="79"/>
        <v>94520.8</v>
      </c>
      <c r="H416" s="364">
        <f t="shared" si="80"/>
        <v>-2.9419979517735846E-2</v>
      </c>
      <c r="I416" s="363"/>
    </row>
    <row r="417" spans="2:9" x14ac:dyDescent="0.25">
      <c r="B417" s="620">
        <v>42601</v>
      </c>
      <c r="C417" s="362">
        <v>5000</v>
      </c>
      <c r="D417" s="621">
        <v>17.222200000000001</v>
      </c>
      <c r="E417" s="363">
        <v>16.8</v>
      </c>
      <c r="F417" s="363">
        <f t="shared" si="78"/>
        <v>-2111.0000000000005</v>
      </c>
      <c r="G417" s="363">
        <f t="shared" si="79"/>
        <v>86111</v>
      </c>
      <c r="H417" s="364">
        <f t="shared" si="80"/>
        <v>-2.4514870341768188E-2</v>
      </c>
      <c r="I417" s="363"/>
    </row>
    <row r="418" spans="2:9" x14ac:dyDescent="0.25">
      <c r="B418" s="620">
        <v>42604</v>
      </c>
      <c r="C418" s="362">
        <v>6000</v>
      </c>
      <c r="D418" s="621">
        <v>16.9651</v>
      </c>
      <c r="E418" s="363">
        <v>15.64</v>
      </c>
      <c r="F418" s="363">
        <f t="shared" si="78"/>
        <v>-7950.599999999994</v>
      </c>
      <c r="G418" s="363">
        <f t="shared" si="79"/>
        <v>101790.59999999999</v>
      </c>
      <c r="H418" s="364">
        <f t="shared" si="80"/>
        <v>-7.8107408739117312E-2</v>
      </c>
      <c r="I418" s="363"/>
    </row>
    <row r="419" spans="2:9" x14ac:dyDescent="0.25">
      <c r="B419" s="620">
        <v>42604</v>
      </c>
      <c r="C419" s="362">
        <v>6500</v>
      </c>
      <c r="D419" s="621">
        <v>16.850899999999999</v>
      </c>
      <c r="E419" s="363">
        <v>15.64</v>
      </c>
      <c r="F419" s="363">
        <f t="shared" si="78"/>
        <v>-7870.8499999999922</v>
      </c>
      <c r="G419" s="363">
        <f t="shared" si="79"/>
        <v>109530.84999999999</v>
      </c>
      <c r="H419" s="364">
        <f t="shared" si="80"/>
        <v>-7.1859663282079822E-2</v>
      </c>
      <c r="I419" s="363"/>
    </row>
    <row r="420" spans="2:9" x14ac:dyDescent="0.25">
      <c r="B420" s="620">
        <v>42605</v>
      </c>
      <c r="C420" s="362">
        <v>6000</v>
      </c>
      <c r="D420" s="621">
        <v>16.923500000000001</v>
      </c>
      <c r="E420" s="363">
        <v>16.43</v>
      </c>
      <c r="F420" s="363">
        <f t="shared" si="78"/>
        <v>-2961.0000000000055</v>
      </c>
      <c r="G420" s="363">
        <f t="shared" si="79"/>
        <v>101541</v>
      </c>
      <c r="H420" s="364">
        <f t="shared" si="80"/>
        <v>-2.9160634620498178E-2</v>
      </c>
      <c r="I420" s="363"/>
    </row>
    <row r="421" spans="2:9" x14ac:dyDescent="0.25">
      <c r="B421" s="620">
        <v>42605</v>
      </c>
      <c r="C421" s="362">
        <v>5500</v>
      </c>
      <c r="D421" s="621">
        <v>16.9848</v>
      </c>
      <c r="E421" s="363">
        <v>16.43</v>
      </c>
      <c r="F421" s="363">
        <f t="shared" si="78"/>
        <v>-3051.400000000001</v>
      </c>
      <c r="G421" s="363">
        <f t="shared" si="79"/>
        <v>93416.4</v>
      </c>
      <c r="H421" s="364">
        <f t="shared" si="80"/>
        <v>-3.266450002355048E-2</v>
      </c>
      <c r="I421" s="363"/>
    </row>
    <row r="422" spans="2:9" x14ac:dyDescent="0.25">
      <c r="B422" s="620">
        <v>42605</v>
      </c>
      <c r="C422" s="362">
        <v>5000</v>
      </c>
      <c r="D422" s="621">
        <v>17.035299999999999</v>
      </c>
      <c r="E422" s="363">
        <v>16.43</v>
      </c>
      <c r="F422" s="363">
        <f t="shared" si="78"/>
        <v>-3026.4999999999986</v>
      </c>
      <c r="G422" s="363">
        <f t="shared" si="79"/>
        <v>85176.5</v>
      </c>
      <c r="H422" s="364">
        <f t="shared" si="80"/>
        <v>-3.5532100990296606E-2</v>
      </c>
      <c r="I422" s="363"/>
    </row>
    <row r="423" spans="2:9" x14ac:dyDescent="0.25">
      <c r="B423" s="620">
        <v>42606</v>
      </c>
      <c r="C423" s="362">
        <v>5178</v>
      </c>
      <c r="D423" s="621">
        <v>17.0017</v>
      </c>
      <c r="E423" s="363">
        <v>16.059999999999999</v>
      </c>
      <c r="F423" s="363">
        <f t="shared" si="78"/>
        <v>-4876.1226000000042</v>
      </c>
      <c r="G423" s="363">
        <f t="shared" si="79"/>
        <v>88034.802599999995</v>
      </c>
      <c r="H423" s="364">
        <f t="shared" si="80"/>
        <v>-5.5388578789179958E-2</v>
      </c>
      <c r="I423" s="363"/>
    </row>
    <row r="424" spans="2:9" ht="15" customHeight="1" x14ac:dyDescent="0.25">
      <c r="B424" s="620">
        <v>42607</v>
      </c>
      <c r="C424" s="362">
        <v>5178</v>
      </c>
      <c r="D424" s="621">
        <v>17.0017</v>
      </c>
      <c r="E424" s="363">
        <v>16.010000000000002</v>
      </c>
      <c r="F424" s="363">
        <f>C424*(E424-D424)</f>
        <v>-5135.0225999999902</v>
      </c>
      <c r="G424" s="363">
        <f>IF(C424=0, 0,D424*C424)</f>
        <v>88034.802599999995</v>
      </c>
      <c r="H424" s="364">
        <f>IF(C424=0, D424, (E424-D424)/D424)</f>
        <v>-5.8329461171529789E-2</v>
      </c>
      <c r="I424" s="363"/>
    </row>
    <row r="425" spans="2:9" x14ac:dyDescent="0.25">
      <c r="B425" s="620">
        <v>42608</v>
      </c>
      <c r="C425" s="362">
        <v>6178</v>
      </c>
      <c r="D425" s="621">
        <v>16.825800000000001</v>
      </c>
      <c r="E425" s="363">
        <v>15.95</v>
      </c>
      <c r="F425" s="363">
        <f>C425*(E425-D425)</f>
        <v>-5410.6924000000108</v>
      </c>
      <c r="G425" s="363">
        <f>IF(C425=0, 0,D425*C425)</f>
        <v>103949.79240000001</v>
      </c>
      <c r="H425" s="364">
        <f>IF(C425=0, D425, (E425-D425)/D425)</f>
        <v>-5.2051016890727435E-2</v>
      </c>
      <c r="I425" s="363"/>
    </row>
    <row r="426" spans="2:9" x14ac:dyDescent="0.25">
      <c r="B426" s="620">
        <v>42611</v>
      </c>
      <c r="C426" s="362">
        <v>6178</v>
      </c>
      <c r="D426" s="621">
        <v>16.825800000000001</v>
      </c>
      <c r="E426" s="363">
        <v>15.99</v>
      </c>
      <c r="F426" s="363">
        <f t="shared" ref="F426:F431" si="81">C426*(E426-D426)</f>
        <v>-5163.5724000000046</v>
      </c>
      <c r="G426" s="363">
        <f t="shared" ref="G426:G431" si="82">IF(C426=0, 0,D426*C426)</f>
        <v>103949.79240000001</v>
      </c>
      <c r="H426" s="364">
        <f t="shared" ref="H426:H431" si="83">IF(C426=0, D426, (E426-D426)/D426)</f>
        <v>-4.9673715365688452E-2</v>
      </c>
      <c r="I426" s="363"/>
    </row>
    <row r="427" spans="2:9" x14ac:dyDescent="0.25">
      <c r="B427" s="620">
        <v>42612</v>
      </c>
      <c r="C427" s="362">
        <v>6678</v>
      </c>
      <c r="D427" s="621">
        <v>16.739999999999998</v>
      </c>
      <c r="E427" s="363">
        <v>15.55</v>
      </c>
      <c r="F427" s="443">
        <f t="shared" si="81"/>
        <v>-7946.8199999999852</v>
      </c>
      <c r="G427" s="363">
        <f t="shared" si="82"/>
        <v>111789.71999999999</v>
      </c>
      <c r="H427" s="365">
        <f t="shared" si="83"/>
        <v>-7.1087216248506446E-2</v>
      </c>
      <c r="I427" s="382"/>
    </row>
    <row r="428" spans="2:9" x14ac:dyDescent="0.25">
      <c r="B428" s="620">
        <v>42612</v>
      </c>
      <c r="C428" s="362">
        <v>7178</v>
      </c>
      <c r="D428" s="621">
        <v>16.6571</v>
      </c>
      <c r="E428" s="363">
        <v>15.55</v>
      </c>
      <c r="F428" s="363">
        <f t="shared" si="81"/>
        <v>-7946.7637999999934</v>
      </c>
      <c r="G428" s="363">
        <f t="shared" si="82"/>
        <v>119564.66379999999</v>
      </c>
      <c r="H428" s="364">
        <f t="shared" si="83"/>
        <v>-6.6464150422342369E-2</v>
      </c>
      <c r="I428" s="363"/>
    </row>
    <row r="429" spans="2:9" x14ac:dyDescent="0.25">
      <c r="B429" s="620">
        <v>42613</v>
      </c>
      <c r="C429" s="362">
        <v>7678</v>
      </c>
      <c r="D429" s="621">
        <v>16.565200000000001</v>
      </c>
      <c r="E429" s="363">
        <v>15.02</v>
      </c>
      <c r="F429" s="363">
        <f t="shared" si="81"/>
        <v>-11864.04560000001</v>
      </c>
      <c r="G429" s="363">
        <f t="shared" si="82"/>
        <v>127187.60560000001</v>
      </c>
      <c r="H429" s="364">
        <f t="shared" si="83"/>
        <v>-9.3279887957887692E-2</v>
      </c>
      <c r="I429" s="363" t="s">
        <v>254</v>
      </c>
    </row>
    <row r="430" spans="2:9" x14ac:dyDescent="0.25">
      <c r="B430" s="620">
        <v>42613</v>
      </c>
      <c r="C430" s="362">
        <v>8178</v>
      </c>
      <c r="D430" s="621">
        <v>16.474399999999999</v>
      </c>
      <c r="E430" s="363">
        <v>15.02</v>
      </c>
      <c r="F430" s="363">
        <f t="shared" si="81"/>
        <v>-11894.083199999997</v>
      </c>
      <c r="G430" s="363">
        <f t="shared" si="82"/>
        <v>134727.64319999999</v>
      </c>
      <c r="H430" s="364">
        <f t="shared" si="83"/>
        <v>-8.8282426067110162E-2</v>
      </c>
      <c r="I430" s="363" t="s">
        <v>255</v>
      </c>
    </row>
    <row r="431" spans="2:9" ht="15" customHeight="1" x14ac:dyDescent="0.25">
      <c r="B431" s="620">
        <v>42615</v>
      </c>
      <c r="C431" s="362">
        <v>7678</v>
      </c>
      <c r="D431" s="621">
        <v>16.528099999999998</v>
      </c>
      <c r="E431" s="363">
        <v>15.49</v>
      </c>
      <c r="F431" s="363">
        <f t="shared" si="81"/>
        <v>-7970.5317999999861</v>
      </c>
      <c r="G431" s="363">
        <f t="shared" si="82"/>
        <v>126902.75179999998</v>
      </c>
      <c r="H431" s="364">
        <f t="shared" si="83"/>
        <v>-6.2808187268953986E-2</v>
      </c>
      <c r="I431" s="363">
        <v>16.350000000000001</v>
      </c>
    </row>
    <row r="432" spans="2:9" x14ac:dyDescent="0.25">
      <c r="B432" s="620">
        <v>42616</v>
      </c>
      <c r="C432" s="362">
        <v>7678</v>
      </c>
      <c r="D432" s="621">
        <v>16.528099999999998</v>
      </c>
      <c r="E432" s="363">
        <v>15.64</v>
      </c>
      <c r="F432" s="363">
        <f>C432*(E432-D432)</f>
        <v>-6818.8317999999836</v>
      </c>
      <c r="G432" s="363">
        <f>IF(C432=0, 0,D432*C432)</f>
        <v>126902.75179999998</v>
      </c>
      <c r="H432" s="364">
        <f>IF(C432=0, D432, (E432-D432)/D432)</f>
        <v>-5.3732733950060681E-2</v>
      </c>
      <c r="I432" s="363"/>
    </row>
    <row r="433" spans="2:9" x14ac:dyDescent="0.25">
      <c r="B433" s="620">
        <v>42621</v>
      </c>
      <c r="C433" s="362">
        <v>7178</v>
      </c>
      <c r="D433" s="621">
        <v>16.545400000000001</v>
      </c>
      <c r="E433" s="363">
        <v>16.739999999999998</v>
      </c>
      <c r="F433" s="363">
        <f>C433*(E433-D433)</f>
        <v>1396.8387999999832</v>
      </c>
      <c r="G433" s="363">
        <f>IF(C433=0, 0,D433*C433)</f>
        <v>118762.8812</v>
      </c>
      <c r="H433" s="364">
        <f>IF(C433=0, D433, (E433-D433)/D433)</f>
        <v>1.1761577235968768E-2</v>
      </c>
      <c r="I433" s="363"/>
    </row>
    <row r="434" spans="2:9" x14ac:dyDescent="0.25">
      <c r="B434" s="620">
        <v>42621</v>
      </c>
      <c r="C434" s="383">
        <v>6678</v>
      </c>
      <c r="D434" s="622">
        <v>16.532299999999999</v>
      </c>
      <c r="E434" s="363">
        <v>16.739999999999998</v>
      </c>
      <c r="F434" s="363">
        <f>C434*(E434-D434)</f>
        <v>1387.0205999999941</v>
      </c>
      <c r="G434" s="363">
        <f>IF(C434=0, 0,D434*C434)</f>
        <v>110402.6994</v>
      </c>
      <c r="H434" s="364">
        <f>IF(C434=0, D434, (E434-D434)/D434)</f>
        <v>1.256328520532528E-2</v>
      </c>
      <c r="I434" s="363"/>
    </row>
    <row r="435" spans="2:9" x14ac:dyDescent="0.25">
      <c r="B435" s="620">
        <v>42621</v>
      </c>
      <c r="C435" s="362">
        <v>6458</v>
      </c>
      <c r="D435" s="621">
        <v>16.524263999999999</v>
      </c>
      <c r="E435" s="363">
        <v>16.739999999999998</v>
      </c>
      <c r="F435" s="363">
        <f>C435*(E435-D435)</f>
        <v>1393.2230879999981</v>
      </c>
      <c r="G435" s="363">
        <f>IF(C435=0, 0,D435*C435)</f>
        <v>106713.69691199998</v>
      </c>
      <c r="H435" s="364">
        <f>IF(C435=0, D435, (E435-D435)/D435)</f>
        <v>1.3055710075801242E-2</v>
      </c>
      <c r="I435" s="363"/>
    </row>
    <row r="436" spans="2:9" x14ac:dyDescent="0.25">
      <c r="B436" s="620">
        <v>42622</v>
      </c>
      <c r="C436" s="362">
        <v>7178</v>
      </c>
      <c r="D436" s="621">
        <v>16.477945999999999</v>
      </c>
      <c r="E436" s="363">
        <v>15.67</v>
      </c>
      <c r="F436" s="363">
        <f>C436*(E436-D436)</f>
        <v>-5799.4363879999955</v>
      </c>
      <c r="G436" s="363">
        <f>IF(C436=0, 0,D436*C436)</f>
        <v>118278.696388</v>
      </c>
      <c r="H436" s="364">
        <f>IF(C436=0, D436, (E436-D436)/D436)</f>
        <v>-4.9031960658203359E-2</v>
      </c>
      <c r="I436" s="363"/>
    </row>
    <row r="437" spans="2:9" ht="15" customHeight="1" x14ac:dyDescent="0.25">
      <c r="B437" s="620">
        <v>42622</v>
      </c>
      <c r="C437" s="362">
        <v>7678</v>
      </c>
      <c r="D437" s="621">
        <v>16.430541999999999</v>
      </c>
      <c r="E437" s="363">
        <v>15.67</v>
      </c>
      <c r="F437" s="363">
        <f t="shared" ref="F437:F443" si="84">C437*(E437-D437)</f>
        <v>-5839.4414759999936</v>
      </c>
      <c r="G437" s="363">
        <f t="shared" ref="G437:G443" si="85">IF(C437=0, 0,D437*C437)</f>
        <v>126153.70147599999</v>
      </c>
      <c r="H437" s="364">
        <f t="shared" ref="H437:H443" si="86">IF(C437=0, D437, (E437-D437)/D437)</f>
        <v>-4.6288308687564853E-2</v>
      </c>
      <c r="I437" s="363">
        <v>16.350000000000001</v>
      </c>
    </row>
    <row r="438" spans="2:9" x14ac:dyDescent="0.25">
      <c r="B438" s="620">
        <v>42625</v>
      </c>
      <c r="C438" s="383">
        <v>7678</v>
      </c>
      <c r="D438" s="622">
        <v>16.412330000000001</v>
      </c>
      <c r="E438" s="363">
        <v>15.47</v>
      </c>
      <c r="F438" s="363">
        <f t="shared" si="84"/>
        <v>-7235.2097400000011</v>
      </c>
      <c r="G438" s="363">
        <f t="shared" si="85"/>
        <v>126013.86974000001</v>
      </c>
      <c r="H438" s="364">
        <f t="shared" si="86"/>
        <v>-5.7415979327737135E-2</v>
      </c>
      <c r="I438" s="363"/>
    </row>
    <row r="439" spans="2:9" x14ac:dyDescent="0.25">
      <c r="B439" s="620">
        <v>42625</v>
      </c>
      <c r="C439" s="383">
        <v>7678</v>
      </c>
      <c r="D439" s="622">
        <v>16.355817999999999</v>
      </c>
      <c r="E439" s="363">
        <v>15.47</v>
      </c>
      <c r="F439" s="363">
        <f t="shared" si="84"/>
        <v>-6801.3106039999893</v>
      </c>
      <c r="G439" s="363">
        <f t="shared" si="85"/>
        <v>125579.970604</v>
      </c>
      <c r="H439" s="364">
        <f t="shared" si="86"/>
        <v>-5.4159198885680847E-2</v>
      </c>
      <c r="I439" s="363" t="s">
        <v>269</v>
      </c>
    </row>
    <row r="440" spans="2:9" x14ac:dyDescent="0.25">
      <c r="B440" s="620">
        <v>42626</v>
      </c>
      <c r="C440" s="362">
        <v>8278</v>
      </c>
      <c r="D440" s="621">
        <v>16.25066</v>
      </c>
      <c r="E440" s="363">
        <v>14.34</v>
      </c>
      <c r="F440" s="363">
        <f t="shared" si="84"/>
        <v>-15816.44348</v>
      </c>
      <c r="G440" s="363">
        <f t="shared" si="85"/>
        <v>134522.96348000001</v>
      </c>
      <c r="H440" s="365">
        <f t="shared" si="86"/>
        <v>-0.11757430159759666</v>
      </c>
      <c r="I440" s="363"/>
    </row>
    <row r="441" spans="2:9" x14ac:dyDescent="0.25">
      <c r="B441" s="620">
        <v>42626</v>
      </c>
      <c r="C441" s="362">
        <v>8678</v>
      </c>
      <c r="D441" s="621">
        <v>16.18149</v>
      </c>
      <c r="E441" s="363">
        <v>14.34</v>
      </c>
      <c r="F441" s="363">
        <f t="shared" si="84"/>
        <v>-15980.450220000002</v>
      </c>
      <c r="G441" s="363">
        <f t="shared" si="85"/>
        <v>140422.97021999999</v>
      </c>
      <c r="H441" s="365">
        <f t="shared" si="86"/>
        <v>-0.11380225183218605</v>
      </c>
      <c r="I441" s="363"/>
    </row>
    <row r="442" spans="2:9" x14ac:dyDescent="0.25">
      <c r="B442" s="620">
        <v>42626</v>
      </c>
      <c r="C442" s="362">
        <v>8978</v>
      </c>
      <c r="D442" s="621">
        <v>16.124635000000001</v>
      </c>
      <c r="E442" s="363">
        <v>14.34</v>
      </c>
      <c r="F442" s="363">
        <f t="shared" si="84"/>
        <v>-16022.453030000013</v>
      </c>
      <c r="G442" s="363">
        <f t="shared" si="85"/>
        <v>144766.97303000002</v>
      </c>
      <c r="H442" s="365">
        <f t="shared" si="86"/>
        <v>-0.11067754401882594</v>
      </c>
      <c r="I442" s="363"/>
    </row>
    <row r="443" spans="2:9" x14ac:dyDescent="0.25">
      <c r="B443" s="620">
        <v>42626</v>
      </c>
      <c r="C443" s="362">
        <v>9278</v>
      </c>
      <c r="D443" s="621">
        <v>16.064019999999999</v>
      </c>
      <c r="E443" s="363">
        <v>14.34</v>
      </c>
      <c r="F443" s="363">
        <f t="shared" si="84"/>
        <v>-15995.457559999995</v>
      </c>
      <c r="G443" s="363">
        <f t="shared" si="85"/>
        <v>149041.97756</v>
      </c>
      <c r="H443" s="365">
        <f t="shared" si="86"/>
        <v>-0.10732182853357998</v>
      </c>
      <c r="I443" s="363" t="s">
        <v>270</v>
      </c>
    </row>
    <row r="444" spans="2:9" x14ac:dyDescent="0.25">
      <c r="B444" s="620">
        <v>42627</v>
      </c>
      <c r="C444" s="362">
        <v>9478</v>
      </c>
      <c r="D444" s="621">
        <v>16.020790999999999</v>
      </c>
      <c r="E444" s="363">
        <v>14.01</v>
      </c>
      <c r="F444" s="363">
        <f t="shared" ref="F444:F451" si="87">C444*(E444-D444)</f>
        <v>-19058.277097999995</v>
      </c>
      <c r="G444" s="363">
        <f t="shared" ref="G444:G451" si="88">IF(C444=0, 0,D444*C444)</f>
        <v>151845.05709799999</v>
      </c>
      <c r="H444" s="365">
        <f t="shared" ref="H444:H451" si="89">IF(C444=0, D444, (E444-D444)/D444)</f>
        <v>-0.1255113433537707</v>
      </c>
      <c r="I444" s="363"/>
    </row>
    <row r="445" spans="2:9" x14ac:dyDescent="0.25">
      <c r="B445" s="620">
        <v>42628</v>
      </c>
      <c r="C445" s="362">
        <v>9478</v>
      </c>
      <c r="D445" s="621">
        <v>16.015726999999998</v>
      </c>
      <c r="E445" s="363">
        <v>14.26</v>
      </c>
      <c r="F445" s="363">
        <f t="shared" si="87"/>
        <v>-16640.780505999985</v>
      </c>
      <c r="G445" s="363">
        <f t="shared" si="88"/>
        <v>151797.06050599998</v>
      </c>
      <c r="H445" s="365">
        <f t="shared" si="89"/>
        <v>-0.1096251827968845</v>
      </c>
      <c r="I445" s="363"/>
    </row>
    <row r="446" spans="2:9" x14ac:dyDescent="0.25">
      <c r="B446" s="620">
        <v>42629</v>
      </c>
      <c r="C446" s="362">
        <v>9478</v>
      </c>
      <c r="D446" s="621">
        <v>16.015726999999998</v>
      </c>
      <c r="E446" s="363">
        <v>14.24</v>
      </c>
      <c r="F446" s="363">
        <f t="shared" si="87"/>
        <v>-16830.340505999982</v>
      </c>
      <c r="G446" s="363">
        <f t="shared" si="88"/>
        <v>151797.06050599998</v>
      </c>
      <c r="H446" s="365">
        <f t="shared" si="89"/>
        <v>-0.1108739553315312</v>
      </c>
      <c r="I446" s="363"/>
    </row>
    <row r="447" spans="2:9" x14ac:dyDescent="0.25">
      <c r="B447" s="620">
        <v>42632</v>
      </c>
      <c r="C447" s="362">
        <v>9678</v>
      </c>
      <c r="D447" s="621">
        <v>15.975311</v>
      </c>
      <c r="E447" s="363">
        <v>14.09</v>
      </c>
      <c r="F447" s="363">
        <f t="shared" si="87"/>
        <v>-18246.039857999996</v>
      </c>
      <c r="G447" s="363">
        <f t="shared" si="88"/>
        <v>154609.05985799999</v>
      </c>
      <c r="H447" s="364">
        <f t="shared" si="89"/>
        <v>-0.11801404054043141</v>
      </c>
      <c r="I447" s="363"/>
    </row>
    <row r="448" spans="2:9" x14ac:dyDescent="0.25">
      <c r="B448" s="620">
        <v>42633</v>
      </c>
      <c r="C448" s="362">
        <v>9878</v>
      </c>
      <c r="D448" s="621">
        <v>15.937544000000001</v>
      </c>
      <c r="E448" s="363">
        <v>13.87</v>
      </c>
      <c r="F448" s="363">
        <f t="shared" si="87"/>
        <v>-20423.199632000014</v>
      </c>
      <c r="G448" s="363">
        <f t="shared" si="88"/>
        <v>157431.05963200002</v>
      </c>
      <c r="H448" s="364">
        <f t="shared" si="89"/>
        <v>-0.12972789282966068</v>
      </c>
      <c r="I448" s="363"/>
    </row>
    <row r="449" spans="2:9" x14ac:dyDescent="0.25">
      <c r="B449" s="620">
        <v>42633</v>
      </c>
      <c r="C449" s="362">
        <v>10000</v>
      </c>
      <c r="D449" s="621">
        <v>15.915126000000001</v>
      </c>
      <c r="E449" s="363">
        <v>13.87</v>
      </c>
      <c r="F449" s="363">
        <f t="shared" si="87"/>
        <v>-20451.260000000017</v>
      </c>
      <c r="G449" s="363">
        <f t="shared" si="88"/>
        <v>159151.26</v>
      </c>
      <c r="H449" s="364">
        <f t="shared" si="89"/>
        <v>-0.12850203008132022</v>
      </c>
      <c r="I449" s="363"/>
    </row>
    <row r="450" spans="2:9" x14ac:dyDescent="0.25">
      <c r="B450" s="620">
        <v>42634</v>
      </c>
      <c r="C450" s="362">
        <v>9678</v>
      </c>
      <c r="D450" s="621">
        <v>15.969538999999999</v>
      </c>
      <c r="E450" s="363">
        <v>14.65</v>
      </c>
      <c r="F450" s="363">
        <f t="shared" si="87"/>
        <v>-12770.498441999989</v>
      </c>
      <c r="G450" s="363">
        <f t="shared" si="88"/>
        <v>154553.19844199999</v>
      </c>
      <c r="H450" s="364">
        <f t="shared" si="89"/>
        <v>-8.2628496664806608E-2</v>
      </c>
      <c r="I450" s="363"/>
    </row>
    <row r="451" spans="2:9" x14ac:dyDescent="0.25">
      <c r="B451" s="620">
        <v>42634</v>
      </c>
      <c r="C451" s="362">
        <v>9278</v>
      </c>
      <c r="D451" s="621">
        <v>16.026872999999998</v>
      </c>
      <c r="E451" s="363">
        <v>14.65</v>
      </c>
      <c r="F451" s="363">
        <f t="shared" si="87"/>
        <v>-12774.627693999981</v>
      </c>
      <c r="G451" s="363">
        <f t="shared" si="88"/>
        <v>148697.32769399998</v>
      </c>
      <c r="H451" s="364">
        <f t="shared" si="89"/>
        <v>-8.5910270830747718E-2</v>
      </c>
      <c r="I451" s="363">
        <v>16</v>
      </c>
    </row>
    <row r="452" spans="2:9" x14ac:dyDescent="0.25">
      <c r="B452" s="620">
        <v>42635</v>
      </c>
      <c r="C452" s="362">
        <v>9278</v>
      </c>
      <c r="D452" s="621">
        <v>16.026872999999998</v>
      </c>
      <c r="E452" s="363">
        <v>14.87</v>
      </c>
      <c r="F452" s="363">
        <f t="shared" ref="F452:F463" si="90">C452*(E452-D452)</f>
        <v>-10733.467693999992</v>
      </c>
      <c r="G452" s="363">
        <f t="shared" ref="G452:G463" si="91">IF(C452=0, 0,D452*C452)</f>
        <v>148697.32769399998</v>
      </c>
      <c r="H452" s="364">
        <f t="shared" ref="H452:H463" si="92">IF(C452=0, D452, (E452-D452)/D452)</f>
        <v>-7.2183326092369937E-2</v>
      </c>
      <c r="I452" s="363"/>
    </row>
    <row r="453" spans="2:9" x14ac:dyDescent="0.25">
      <c r="B453" s="620">
        <v>42636</v>
      </c>
      <c r="C453" s="362">
        <v>9478</v>
      </c>
      <c r="D453" s="621">
        <v>15.992122</v>
      </c>
      <c r="E453" s="363">
        <v>14.49</v>
      </c>
      <c r="F453" s="363">
        <f t="shared" si="90"/>
        <v>-14237.112315999999</v>
      </c>
      <c r="G453" s="363">
        <f t="shared" si="91"/>
        <v>151573.33231600001</v>
      </c>
      <c r="H453" s="364">
        <f t="shared" si="92"/>
        <v>-9.39288732289561E-2</v>
      </c>
      <c r="I453" s="363"/>
    </row>
    <row r="454" spans="2:9" x14ac:dyDescent="0.25">
      <c r="B454" s="620">
        <v>42639</v>
      </c>
      <c r="C454" s="362">
        <v>9278</v>
      </c>
      <c r="D454" s="621">
        <v>16.019549999999999</v>
      </c>
      <c r="E454" s="363">
        <v>14.41</v>
      </c>
      <c r="F454" s="363">
        <f t="shared" si="90"/>
        <v>-14933.404899999989</v>
      </c>
      <c r="G454" s="363">
        <f t="shared" si="91"/>
        <v>148629.38489999998</v>
      </c>
      <c r="H454" s="364">
        <f t="shared" si="92"/>
        <v>-0.10047410819904422</v>
      </c>
      <c r="I454" s="363">
        <v>16</v>
      </c>
    </row>
    <row r="455" spans="2:9" x14ac:dyDescent="0.25">
      <c r="B455" s="620">
        <v>42639</v>
      </c>
      <c r="C455" s="362">
        <v>9478</v>
      </c>
      <c r="D455" s="621">
        <v>15.987468</v>
      </c>
      <c r="E455" s="363">
        <v>14.41</v>
      </c>
      <c r="F455" s="363">
        <f t="shared" si="90"/>
        <v>-14951.241703999996</v>
      </c>
      <c r="G455" s="363">
        <f t="shared" si="91"/>
        <v>151529.221704</v>
      </c>
      <c r="H455" s="364">
        <f t="shared" si="92"/>
        <v>-9.8669032519721048E-2</v>
      </c>
      <c r="I455" s="363"/>
    </row>
    <row r="456" spans="2:9" x14ac:dyDescent="0.25">
      <c r="B456" s="620">
        <v>42639</v>
      </c>
      <c r="C456" s="362">
        <v>9678</v>
      </c>
      <c r="D456" s="621">
        <v>15.954266000000001</v>
      </c>
      <c r="E456" s="363">
        <v>14.41</v>
      </c>
      <c r="F456" s="363">
        <f t="shared" si="90"/>
        <v>-14945.406348000004</v>
      </c>
      <c r="G456" s="363">
        <f t="shared" si="91"/>
        <v>154405.386348</v>
      </c>
      <c r="H456" s="364">
        <f t="shared" si="92"/>
        <v>-9.6793296538994669E-2</v>
      </c>
      <c r="I456" s="363"/>
    </row>
    <row r="457" spans="2:9" x14ac:dyDescent="0.25">
      <c r="B457" s="620">
        <v>42640</v>
      </c>
      <c r="C457" s="362">
        <v>10000</v>
      </c>
      <c r="D457" s="621">
        <v>15.890373</v>
      </c>
      <c r="E457" s="363">
        <v>14.06</v>
      </c>
      <c r="F457" s="363">
        <f t="shared" si="90"/>
        <v>-18303.73</v>
      </c>
      <c r="G457" s="363">
        <f t="shared" si="91"/>
        <v>158903.73000000001</v>
      </c>
      <c r="H457" s="364">
        <f t="shared" si="92"/>
        <v>-0.11518754153851517</v>
      </c>
      <c r="I457" s="363"/>
    </row>
    <row r="458" spans="2:9" ht="15" customHeight="1" x14ac:dyDescent="0.25">
      <c r="B458" s="620">
        <v>42641</v>
      </c>
      <c r="C458" s="362">
        <v>9278</v>
      </c>
      <c r="D458" s="621">
        <v>15.968</v>
      </c>
      <c r="E458" s="363">
        <v>15.18</v>
      </c>
      <c r="F458" s="363">
        <f t="shared" si="90"/>
        <v>-7311.0640000000021</v>
      </c>
      <c r="G458" s="363">
        <f t="shared" si="91"/>
        <v>148151.10399999999</v>
      </c>
      <c r="H458" s="364">
        <f t="shared" si="92"/>
        <v>-4.9348697394789594E-2</v>
      </c>
      <c r="I458" s="363" t="s">
        <v>282</v>
      </c>
    </row>
    <row r="459" spans="2:9" x14ac:dyDescent="0.25">
      <c r="B459" s="620">
        <v>42641</v>
      </c>
      <c r="C459" s="362">
        <v>8978</v>
      </c>
      <c r="D459" s="621">
        <v>15.991466000000001</v>
      </c>
      <c r="E459" s="363">
        <v>15.18</v>
      </c>
      <c r="F459" s="363">
        <f t="shared" si="90"/>
        <v>-7285.3417480000098</v>
      </c>
      <c r="G459" s="363">
        <f t="shared" si="91"/>
        <v>143571.38174800001</v>
      </c>
      <c r="H459" s="364">
        <f t="shared" si="92"/>
        <v>-5.0743690415875634E-2</v>
      </c>
      <c r="I459" s="363"/>
    </row>
    <row r="460" spans="2:9" x14ac:dyDescent="0.25">
      <c r="B460" s="620">
        <v>42642</v>
      </c>
      <c r="C460" s="362">
        <v>8678</v>
      </c>
      <c r="D460" s="621">
        <v>16.016100000000002</v>
      </c>
      <c r="E460" s="363">
        <v>15.9</v>
      </c>
      <c r="F460" s="363">
        <f t="shared" si="90"/>
        <v>-1007.5158000000105</v>
      </c>
      <c r="G460" s="363">
        <f t="shared" si="91"/>
        <v>138987.71580000001</v>
      </c>
      <c r="H460" s="364">
        <f t="shared" si="92"/>
        <v>-7.2489557382884214E-3</v>
      </c>
      <c r="I460" s="363"/>
    </row>
    <row r="461" spans="2:9" x14ac:dyDescent="0.25">
      <c r="B461" s="620">
        <v>42642</v>
      </c>
      <c r="C461" s="362">
        <v>7978</v>
      </c>
      <c r="D461" s="621">
        <v>16.036825</v>
      </c>
      <c r="E461" s="363">
        <v>15.9</v>
      </c>
      <c r="F461" s="363">
        <f t="shared" si="90"/>
        <v>-1091.5898499999998</v>
      </c>
      <c r="G461" s="363">
        <f t="shared" si="91"/>
        <v>127941.78985</v>
      </c>
      <c r="H461" s="364">
        <f t="shared" si="92"/>
        <v>-8.5319257396648009E-3</v>
      </c>
      <c r="I461" s="363"/>
    </row>
    <row r="462" spans="2:9" x14ac:dyDescent="0.25">
      <c r="B462" s="620">
        <v>42642</v>
      </c>
      <c r="C462" s="362">
        <v>7764</v>
      </c>
      <c r="D462" s="621">
        <v>16.038399999999999</v>
      </c>
      <c r="E462" s="363">
        <v>15.9</v>
      </c>
      <c r="F462" s="363">
        <f t="shared" si="90"/>
        <v>-1074.5375999999919</v>
      </c>
      <c r="G462" s="363">
        <f t="shared" si="91"/>
        <v>124522.1376</v>
      </c>
      <c r="H462" s="364">
        <f t="shared" si="92"/>
        <v>-8.6292897047086353E-3</v>
      </c>
      <c r="I462" s="363"/>
    </row>
    <row r="463" spans="2:9" x14ac:dyDescent="0.25">
      <c r="B463" s="620">
        <v>42642</v>
      </c>
      <c r="C463" s="362">
        <v>8178</v>
      </c>
      <c r="D463" s="621">
        <v>16.019235999999999</v>
      </c>
      <c r="E463" s="363">
        <v>15.9</v>
      </c>
      <c r="F463" s="363">
        <f t="shared" si="90"/>
        <v>-975.11200799999187</v>
      </c>
      <c r="G463" s="363">
        <f t="shared" si="91"/>
        <v>131005.31200799999</v>
      </c>
      <c r="H463" s="364">
        <f t="shared" si="92"/>
        <v>-7.4433012910228059E-3</v>
      </c>
      <c r="I463" s="363" t="s">
        <v>283</v>
      </c>
    </row>
    <row r="464" spans="2:9" x14ac:dyDescent="0.25">
      <c r="B464" s="620">
        <v>42643</v>
      </c>
      <c r="C464" s="362">
        <v>8178</v>
      </c>
      <c r="D464" s="621">
        <v>16.019235999999999</v>
      </c>
      <c r="E464" s="363">
        <v>15.81</v>
      </c>
      <c r="F464" s="363">
        <f>C464*(E464-D464)</f>
        <v>-1711.1320079999907</v>
      </c>
      <c r="G464" s="363">
        <f>IF(C464=0, 0,D464*C464)</f>
        <v>131005.31200799999</v>
      </c>
      <c r="H464" s="364">
        <f>IF(C464=0, D464, (E464-D464)/D464)</f>
        <v>-1.3061546755413234E-2</v>
      </c>
      <c r="I464" s="363"/>
    </row>
    <row r="465" spans="2:9" x14ac:dyDescent="0.25">
      <c r="B465" s="620">
        <v>42646</v>
      </c>
      <c r="C465" s="362">
        <v>8178</v>
      </c>
      <c r="D465" s="621">
        <v>16.019235999999999</v>
      </c>
      <c r="E465" s="363">
        <v>15.98</v>
      </c>
      <c r="F465" s="363">
        <f t="shared" ref="F465:F474" si="93">C465*(E465-D465)</f>
        <v>-320.8720079999913</v>
      </c>
      <c r="G465" s="363">
        <f t="shared" ref="G465:G474" si="94">IF(C465=0, 0,D465*C465)</f>
        <v>131005.31200799999</v>
      </c>
      <c r="H465" s="364">
        <f t="shared" ref="H465:H474" si="95">IF(C465=0, D465, (E465-D465)/D465)</f>
        <v>-2.4493053226757469E-3</v>
      </c>
      <c r="I465" s="363"/>
    </row>
    <row r="466" spans="2:9" x14ac:dyDescent="0.25">
      <c r="B466" s="620">
        <v>42647</v>
      </c>
      <c r="C466" s="362">
        <v>8678</v>
      </c>
      <c r="D466" s="621">
        <v>16.010061</v>
      </c>
      <c r="E466" s="363">
        <v>15.63</v>
      </c>
      <c r="F466" s="363">
        <f t="shared" si="93"/>
        <v>-3298.169357999996</v>
      </c>
      <c r="G466" s="363">
        <f t="shared" si="94"/>
        <v>138935.309358</v>
      </c>
      <c r="H466" s="364">
        <f t="shared" si="95"/>
        <v>-2.3738885192255015E-2</v>
      </c>
      <c r="I466" s="363"/>
    </row>
    <row r="467" spans="2:9" x14ac:dyDescent="0.25">
      <c r="B467" s="620">
        <v>42647</v>
      </c>
      <c r="C467" s="362">
        <v>9178</v>
      </c>
      <c r="D467" s="621">
        <v>15.988811</v>
      </c>
      <c r="E467" s="363">
        <v>15.63</v>
      </c>
      <c r="F467" s="363">
        <f t="shared" si="93"/>
        <v>-3293.1673579999938</v>
      </c>
      <c r="G467" s="363">
        <f t="shared" si="94"/>
        <v>146745.30735799999</v>
      </c>
      <c r="H467" s="364">
        <f t="shared" si="95"/>
        <v>-2.2441381038277287E-2</v>
      </c>
      <c r="I467" s="363"/>
    </row>
    <row r="468" spans="2:9" x14ac:dyDescent="0.25">
      <c r="B468" s="620">
        <v>42648</v>
      </c>
      <c r="C468" s="362">
        <v>8178</v>
      </c>
      <c r="D468" s="621">
        <v>15.977725</v>
      </c>
      <c r="E468" s="363">
        <v>16.12</v>
      </c>
      <c r="F468" s="363">
        <f t="shared" si="93"/>
        <v>1163.524950000012</v>
      </c>
      <c r="G468" s="363">
        <f t="shared" si="94"/>
        <v>130665.83504999999</v>
      </c>
      <c r="H468" s="364">
        <f t="shared" si="95"/>
        <v>8.904584351026288E-3</v>
      </c>
      <c r="I468" s="363">
        <v>15.75</v>
      </c>
    </row>
    <row r="469" spans="2:9" x14ac:dyDescent="0.25">
      <c r="B469" s="620">
        <v>42648</v>
      </c>
      <c r="C469" s="383">
        <v>7678</v>
      </c>
      <c r="D469" s="622">
        <v>15.951529000000001</v>
      </c>
      <c r="E469" s="363">
        <v>16.12</v>
      </c>
      <c r="F469" s="363">
        <f t="shared" si="93"/>
        <v>1293.5203380000021</v>
      </c>
      <c r="G469" s="363">
        <f t="shared" si="94"/>
        <v>122475.839662</v>
      </c>
      <c r="H469" s="364">
        <f t="shared" si="95"/>
        <v>1.0561432700275958E-2</v>
      </c>
      <c r="I469" s="363" t="s">
        <v>287</v>
      </c>
    </row>
    <row r="470" spans="2:9" x14ac:dyDescent="0.25">
      <c r="B470" s="620">
        <v>42649</v>
      </c>
      <c r="C470" s="362">
        <v>8678</v>
      </c>
      <c r="D470" s="621">
        <v>15.941579000000001</v>
      </c>
      <c r="E470" s="363">
        <v>16.079999999999998</v>
      </c>
      <c r="F470" s="363">
        <f t="shared" si="93"/>
        <v>1201.2174379999781</v>
      </c>
      <c r="G470" s="363">
        <f t="shared" si="94"/>
        <v>138341.022562</v>
      </c>
      <c r="H470" s="364">
        <f t="shared" si="95"/>
        <v>8.683016908174369E-3</v>
      </c>
      <c r="I470" s="363"/>
    </row>
    <row r="471" spans="2:9" x14ac:dyDescent="0.25">
      <c r="B471" s="620">
        <v>42650</v>
      </c>
      <c r="C471" s="362">
        <v>8978</v>
      </c>
      <c r="D471" s="621">
        <v>15.935176999999999</v>
      </c>
      <c r="E471" s="363">
        <v>15.56</v>
      </c>
      <c r="F471" s="363">
        <f t="shared" si="93"/>
        <v>-3368.3391059999908</v>
      </c>
      <c r="G471" s="363">
        <f t="shared" si="94"/>
        <v>143066.01910599999</v>
      </c>
      <c r="H471" s="364">
        <f t="shared" si="95"/>
        <v>-2.354394933925108E-2</v>
      </c>
      <c r="I471" s="363"/>
    </row>
    <row r="472" spans="2:9" x14ac:dyDescent="0.25">
      <c r="B472" s="620">
        <v>42650</v>
      </c>
      <c r="C472" s="362">
        <v>9278</v>
      </c>
      <c r="D472" s="621">
        <v>15.923692000000001</v>
      </c>
      <c r="E472" s="363">
        <v>15.56</v>
      </c>
      <c r="F472" s="363">
        <f t="shared" si="93"/>
        <v>-3374.3343760000034</v>
      </c>
      <c r="G472" s="363">
        <f t="shared" si="94"/>
        <v>147740.01437600001</v>
      </c>
      <c r="H472" s="364">
        <f t="shared" si="95"/>
        <v>-2.2839678134945106E-2</v>
      </c>
      <c r="I472" s="363">
        <v>15.8</v>
      </c>
    </row>
    <row r="473" spans="2:9" x14ac:dyDescent="0.25">
      <c r="B473" s="620">
        <v>42653</v>
      </c>
      <c r="C473" s="383">
        <v>9678</v>
      </c>
      <c r="D473" s="622">
        <v>15.9153</v>
      </c>
      <c r="E473" s="363">
        <v>15.72</v>
      </c>
      <c r="F473" s="363">
        <f t="shared" si="93"/>
        <v>-1890.1133999999961</v>
      </c>
      <c r="G473" s="363">
        <f t="shared" si="94"/>
        <v>154028.27340000001</v>
      </c>
      <c r="H473" s="364">
        <f t="shared" si="95"/>
        <v>-1.2271210721758281E-2</v>
      </c>
      <c r="I473" s="363"/>
    </row>
    <row r="474" spans="2:9" x14ac:dyDescent="0.25">
      <c r="B474" s="620">
        <v>42661</v>
      </c>
      <c r="C474" s="383">
        <v>10000</v>
      </c>
      <c r="D474" s="622">
        <v>15.901258</v>
      </c>
      <c r="E474" s="363">
        <v>14.2</v>
      </c>
      <c r="F474" s="363">
        <f t="shared" si="93"/>
        <v>-17012.580000000009</v>
      </c>
      <c r="G474" s="363">
        <f t="shared" si="94"/>
        <v>159012.58000000002</v>
      </c>
      <c r="H474" s="364">
        <f t="shared" si="95"/>
        <v>-0.10698889358313669</v>
      </c>
      <c r="I474" s="363"/>
    </row>
    <row r="475" spans="2:9" x14ac:dyDescent="0.25">
      <c r="B475" s="620">
        <v>42663</v>
      </c>
      <c r="C475" s="362">
        <v>10000</v>
      </c>
      <c r="D475" s="621">
        <v>15.901258</v>
      </c>
      <c r="E475" s="363">
        <v>14.7</v>
      </c>
      <c r="F475" s="363">
        <f>C475*(E475-D475)</f>
        <v>-12012.580000000011</v>
      </c>
      <c r="G475" s="363">
        <f>IF(C475=0, 0,D475*C475)</f>
        <v>159012.58000000002</v>
      </c>
      <c r="H475" s="365">
        <f>IF(C475=0, D475, (E475-D475)/D475)</f>
        <v>-7.5544840540289399E-2</v>
      </c>
      <c r="I475" s="363"/>
    </row>
    <row r="476" spans="2:9" x14ac:dyDescent="0.25">
      <c r="B476" s="620">
        <v>42668</v>
      </c>
      <c r="C476" s="362">
        <v>11000</v>
      </c>
      <c r="D476" s="621">
        <v>15.74728</v>
      </c>
      <c r="E476" s="363">
        <v>14.18</v>
      </c>
      <c r="F476" s="363">
        <f>C476*(E476-D476)</f>
        <v>-17240.080000000002</v>
      </c>
      <c r="G476" s="363">
        <f>IF(C476=0, 0,D476*C476)</f>
        <v>173220.08</v>
      </c>
      <c r="H476" s="365">
        <f>IF(C476=0, D476, (E476-D476)/D476)</f>
        <v>-9.9527029429844413E-2</v>
      </c>
      <c r="I476" s="363"/>
    </row>
    <row r="477" spans="2:9" x14ac:dyDescent="0.25">
      <c r="B477" s="620">
        <v>42670</v>
      </c>
      <c r="C477" s="362">
        <v>11500</v>
      </c>
      <c r="D477" s="621">
        <v>15.679137000000001</v>
      </c>
      <c r="E477" s="363">
        <v>13.95</v>
      </c>
      <c r="F477" s="363">
        <f>C477*(E477-D477)</f>
        <v>-19885.075500000017</v>
      </c>
      <c r="G477" s="363">
        <f>IF(C477=0, 0,D477*C477)</f>
        <v>180310.07550000001</v>
      </c>
      <c r="H477" s="365">
        <f>IF(C477=0, D477, (E477-D477)/D477)</f>
        <v>-0.11028266415428357</v>
      </c>
      <c r="I477" s="363"/>
    </row>
    <row r="478" spans="2:9" ht="15" customHeight="1" x14ac:dyDescent="0.25">
      <c r="B478" s="620">
        <v>42670</v>
      </c>
      <c r="C478" s="362">
        <v>12000</v>
      </c>
      <c r="D478" s="621">
        <v>15.6113</v>
      </c>
      <c r="E478" s="363">
        <v>13.95</v>
      </c>
      <c r="F478" s="363">
        <f t="shared" ref="F478:F485" si="96">C478*(E478-D478)</f>
        <v>-19935.600000000009</v>
      </c>
      <c r="G478" s="363">
        <f t="shared" ref="G478:G485" si="97">IF(C478=0, 0,D478*C478)</f>
        <v>187335.6</v>
      </c>
      <c r="H478" s="365">
        <f t="shared" ref="H478:H485" si="98">IF(C478=0, D478, (E478-D478)/D478)</f>
        <v>-0.10641650599245422</v>
      </c>
      <c r="I478" s="363"/>
    </row>
    <row r="479" spans="2:9" x14ac:dyDescent="0.25">
      <c r="B479" s="620">
        <v>42670</v>
      </c>
      <c r="C479" s="362">
        <v>12500</v>
      </c>
      <c r="D479" s="621">
        <v>15.542006000000001</v>
      </c>
      <c r="E479" s="363">
        <v>13.95</v>
      </c>
      <c r="F479" s="363">
        <f t="shared" si="96"/>
        <v>-19900.075000000015</v>
      </c>
      <c r="G479" s="363">
        <f t="shared" si="97"/>
        <v>194275.07500000001</v>
      </c>
      <c r="H479" s="365">
        <f t="shared" si="98"/>
        <v>-0.10243246592492637</v>
      </c>
      <c r="I479" s="363"/>
    </row>
    <row r="480" spans="2:9" x14ac:dyDescent="0.25">
      <c r="B480" s="620">
        <v>42671</v>
      </c>
      <c r="C480" s="362">
        <v>12500</v>
      </c>
      <c r="D480" s="621">
        <v>15.536431</v>
      </c>
      <c r="E480" s="363">
        <v>13.72</v>
      </c>
      <c r="F480" s="363">
        <f t="shared" si="96"/>
        <v>-22705.387499999997</v>
      </c>
      <c r="G480" s="363">
        <f t="shared" si="97"/>
        <v>194205.38750000001</v>
      </c>
      <c r="H480" s="365">
        <f t="shared" si="98"/>
        <v>-0.11691430290521676</v>
      </c>
      <c r="I480" s="363"/>
    </row>
    <row r="481" spans="2:9" x14ac:dyDescent="0.25">
      <c r="B481" s="620">
        <v>42674</v>
      </c>
      <c r="C481" s="362">
        <v>12500</v>
      </c>
      <c r="D481" s="621">
        <v>15.5313</v>
      </c>
      <c r="E481" s="363">
        <v>13.18</v>
      </c>
      <c r="F481" s="363">
        <f t="shared" si="96"/>
        <v>-29391.250000000004</v>
      </c>
      <c r="G481" s="363">
        <f t="shared" si="97"/>
        <v>194141.25</v>
      </c>
      <c r="H481" s="365">
        <f t="shared" si="98"/>
        <v>-0.15139106192012261</v>
      </c>
      <c r="I481" s="363"/>
    </row>
    <row r="482" spans="2:9" x14ac:dyDescent="0.25">
      <c r="B482" s="620">
        <v>42676</v>
      </c>
      <c r="C482" s="362">
        <v>12500</v>
      </c>
      <c r="D482" s="621">
        <v>15.528746</v>
      </c>
      <c r="E482" s="363">
        <v>12.78</v>
      </c>
      <c r="F482" s="363">
        <f t="shared" si="96"/>
        <v>-34359.325000000004</v>
      </c>
      <c r="G482" s="363">
        <f t="shared" si="97"/>
        <v>194109.32500000001</v>
      </c>
      <c r="H482" s="364">
        <f t="shared" si="98"/>
        <v>-0.17701017197396368</v>
      </c>
      <c r="I482" s="363"/>
    </row>
    <row r="483" spans="2:9" x14ac:dyDescent="0.25">
      <c r="B483" s="620">
        <v>42677</v>
      </c>
      <c r="C483" s="362">
        <v>10000</v>
      </c>
      <c r="D483" s="621">
        <v>15.813000000000001</v>
      </c>
      <c r="E483" s="363">
        <v>14.15</v>
      </c>
      <c r="F483" s="363">
        <f t="shared" si="96"/>
        <v>-16630.000000000004</v>
      </c>
      <c r="G483" s="363">
        <f t="shared" si="97"/>
        <v>158130</v>
      </c>
      <c r="H483" s="364">
        <f t="shared" si="98"/>
        <v>-0.10516663504711314</v>
      </c>
      <c r="I483" s="363"/>
    </row>
    <row r="484" spans="2:9" x14ac:dyDescent="0.25">
      <c r="B484" s="620">
        <v>42678</v>
      </c>
      <c r="C484" s="362">
        <v>11000</v>
      </c>
      <c r="D484" s="621">
        <v>15.62</v>
      </c>
      <c r="E484" s="363">
        <v>13.69</v>
      </c>
      <c r="F484" s="363">
        <f t="shared" si="96"/>
        <v>-21229.999999999996</v>
      </c>
      <c r="G484" s="363">
        <f t="shared" si="97"/>
        <v>171820</v>
      </c>
      <c r="H484" s="364">
        <f t="shared" si="98"/>
        <v>-0.12355953905249678</v>
      </c>
      <c r="I484" s="363"/>
    </row>
    <row r="485" spans="2:9" x14ac:dyDescent="0.25">
      <c r="B485" s="620">
        <v>42701</v>
      </c>
      <c r="C485" s="362">
        <v>7678</v>
      </c>
      <c r="D485" s="621">
        <v>15.484220000000001</v>
      </c>
      <c r="E485" s="363">
        <v>16.28</v>
      </c>
      <c r="F485" s="363">
        <f t="shared" si="96"/>
        <v>6109.9988400000047</v>
      </c>
      <c r="G485" s="363">
        <f t="shared" si="97"/>
        <v>118887.84116000001</v>
      </c>
      <c r="H485" s="364">
        <f t="shared" si="98"/>
        <v>5.1392966516879801E-2</v>
      </c>
      <c r="I485" s="363" t="s">
        <v>298</v>
      </c>
    </row>
    <row r="486" spans="2:9" x14ac:dyDescent="0.25">
      <c r="B486" s="620">
        <v>42702</v>
      </c>
      <c r="C486" s="362">
        <v>8178</v>
      </c>
      <c r="D486" s="621">
        <v>15.519399999999999</v>
      </c>
      <c r="E486" s="363">
        <v>15.62</v>
      </c>
      <c r="F486" s="363">
        <f t="shared" ref="F486:F503" si="99">C486*(E486-D486)</f>
        <v>822.70680000000016</v>
      </c>
      <c r="G486" s="363">
        <f t="shared" ref="G486:G503" si="100">IF(C486=0, 0,D486*C486)</f>
        <v>126917.6532</v>
      </c>
      <c r="H486" s="364">
        <f t="shared" ref="H486:H503" si="101">IF(C486=0, D486, (E486-D486)/D486)</f>
        <v>6.4822093637640649E-3</v>
      </c>
      <c r="I486" s="363" t="s">
        <v>302</v>
      </c>
    </row>
    <row r="487" spans="2:9" ht="15" customHeight="1" x14ac:dyDescent="0.25">
      <c r="B487" s="620">
        <v>42702</v>
      </c>
      <c r="C487" s="362">
        <v>8678</v>
      </c>
      <c r="D487" s="621">
        <v>15.5304</v>
      </c>
      <c r="E487" s="363">
        <v>15.54</v>
      </c>
      <c r="F487" s="363">
        <f t="shared" si="99"/>
        <v>83.308799999990825</v>
      </c>
      <c r="G487" s="363">
        <f t="shared" si="100"/>
        <v>134772.8112</v>
      </c>
      <c r="H487" s="364">
        <f t="shared" si="101"/>
        <v>6.1814248184199655E-4</v>
      </c>
      <c r="I487" s="363"/>
    </row>
    <row r="488" spans="2:9" x14ac:dyDescent="0.25">
      <c r="B488" s="620">
        <v>42703</v>
      </c>
      <c r="C488" s="362">
        <v>8978</v>
      </c>
      <c r="D488" s="621">
        <v>15.5053</v>
      </c>
      <c r="E488" s="363">
        <v>14.95</v>
      </c>
      <c r="F488" s="363">
        <f t="shared" si="99"/>
        <v>-4985.4834000000074</v>
      </c>
      <c r="G488" s="363">
        <f t="shared" si="100"/>
        <v>139206.5834</v>
      </c>
      <c r="H488" s="364">
        <f t="shared" si="101"/>
        <v>-3.5813560524465882E-2</v>
      </c>
      <c r="I488" s="363"/>
    </row>
    <row r="489" spans="2:9" x14ac:dyDescent="0.25">
      <c r="B489" s="620">
        <v>42704</v>
      </c>
      <c r="C489" s="362">
        <v>5178</v>
      </c>
      <c r="D489" s="621">
        <v>14.3947</v>
      </c>
      <c r="E489" s="363">
        <v>18.059999999999999</v>
      </c>
      <c r="F489" s="363">
        <f t="shared" si="99"/>
        <v>18978.923399999992</v>
      </c>
      <c r="G489" s="363">
        <f t="shared" si="100"/>
        <v>74535.756600000008</v>
      </c>
      <c r="H489" s="364">
        <f t="shared" si="101"/>
        <v>0.25462843963403187</v>
      </c>
      <c r="I489" s="363"/>
    </row>
    <row r="490" spans="2:9" x14ac:dyDescent="0.25">
      <c r="B490" s="620">
        <v>42705</v>
      </c>
      <c r="C490" s="362">
        <v>4678</v>
      </c>
      <c r="D490" s="621">
        <v>13.905799999999999</v>
      </c>
      <c r="E490" s="363">
        <v>17.89</v>
      </c>
      <c r="F490" s="363">
        <f t="shared" si="99"/>
        <v>18638.087600000006</v>
      </c>
      <c r="G490" s="363">
        <f t="shared" si="100"/>
        <v>65051.332399999999</v>
      </c>
      <c r="H490" s="364">
        <f t="shared" si="101"/>
        <v>0.28651354111234173</v>
      </c>
      <c r="I490" s="363"/>
    </row>
    <row r="491" spans="2:9" x14ac:dyDescent="0.25">
      <c r="B491" s="620">
        <v>42705</v>
      </c>
      <c r="C491" s="362">
        <v>5000</v>
      </c>
      <c r="D491" s="621">
        <v>14.1645</v>
      </c>
      <c r="E491" s="363">
        <v>17.89</v>
      </c>
      <c r="F491" s="363">
        <f t="shared" si="99"/>
        <v>18627.5</v>
      </c>
      <c r="G491" s="363">
        <f t="shared" si="100"/>
        <v>70822.5</v>
      </c>
      <c r="H491" s="364">
        <f t="shared" si="101"/>
        <v>0.2630166966712556</v>
      </c>
      <c r="I491" s="363"/>
    </row>
    <row r="492" spans="2:9" x14ac:dyDescent="0.25">
      <c r="B492" s="620">
        <v>42708</v>
      </c>
      <c r="C492" s="362">
        <v>5000</v>
      </c>
      <c r="D492" s="621">
        <v>14.1645</v>
      </c>
      <c r="E492" s="363">
        <v>18.2</v>
      </c>
      <c r="F492" s="363">
        <f t="shared" si="99"/>
        <v>20177.499999999996</v>
      </c>
      <c r="G492" s="363">
        <f t="shared" si="100"/>
        <v>70822.5</v>
      </c>
      <c r="H492" s="364">
        <f t="shared" si="101"/>
        <v>0.28490239683716323</v>
      </c>
      <c r="I492" s="363"/>
    </row>
    <row r="493" spans="2:9" x14ac:dyDescent="0.25">
      <c r="B493" s="620">
        <v>42711</v>
      </c>
      <c r="C493" s="362">
        <v>5000</v>
      </c>
      <c r="D493" s="621">
        <v>14.143514</v>
      </c>
      <c r="E493" s="363">
        <v>18.420000000000002</v>
      </c>
      <c r="F493" s="363">
        <f t="shared" si="99"/>
        <v>21382.430000000011</v>
      </c>
      <c r="G493" s="363">
        <f t="shared" si="100"/>
        <v>70717.569999999992</v>
      </c>
      <c r="H493" s="364">
        <f t="shared" si="101"/>
        <v>0.3023637548631834</v>
      </c>
      <c r="I493" s="363"/>
    </row>
    <row r="494" spans="2:9" x14ac:dyDescent="0.25">
      <c r="B494" s="620">
        <v>42713</v>
      </c>
      <c r="C494" s="362">
        <v>5000</v>
      </c>
      <c r="D494" s="621">
        <v>14.127554</v>
      </c>
      <c r="E494" s="363">
        <v>18.25</v>
      </c>
      <c r="F494" s="363">
        <f t="shared" si="99"/>
        <v>20612.23</v>
      </c>
      <c r="G494" s="363">
        <f t="shared" si="100"/>
        <v>70637.77</v>
      </c>
      <c r="H494" s="364">
        <f t="shared" si="101"/>
        <v>0.29180182216964096</v>
      </c>
      <c r="I494" s="363"/>
    </row>
    <row r="495" spans="2:9" x14ac:dyDescent="0.25">
      <c r="B495" s="620">
        <v>42716</v>
      </c>
      <c r="C495" s="362">
        <v>5000</v>
      </c>
      <c r="D495" s="621">
        <v>14.0276</v>
      </c>
      <c r="E495" s="363">
        <v>18.489999999999998</v>
      </c>
      <c r="F495" s="363">
        <f t="shared" si="99"/>
        <v>22311.999999999993</v>
      </c>
      <c r="G495" s="363">
        <f t="shared" si="100"/>
        <v>70138</v>
      </c>
      <c r="H495" s="364">
        <f t="shared" si="101"/>
        <v>0.3181157147338104</v>
      </c>
      <c r="I495" s="363" t="s">
        <v>185</v>
      </c>
    </row>
    <row r="496" spans="2:9" x14ac:dyDescent="0.25">
      <c r="B496" s="620">
        <v>42718</v>
      </c>
      <c r="C496" s="362">
        <v>5000</v>
      </c>
      <c r="D496" s="621">
        <v>14.025399999999999</v>
      </c>
      <c r="E496" s="363">
        <v>18.2</v>
      </c>
      <c r="F496" s="363">
        <f t="shared" si="99"/>
        <v>20873</v>
      </c>
      <c r="G496" s="363">
        <f t="shared" si="100"/>
        <v>70127</v>
      </c>
      <c r="H496" s="364">
        <f t="shared" si="101"/>
        <v>0.29764569994438661</v>
      </c>
      <c r="I496" s="363">
        <v>13.8</v>
      </c>
    </row>
    <row r="497" spans="1:10" x14ac:dyDescent="0.25">
      <c r="B497" s="620">
        <v>42726</v>
      </c>
      <c r="C497" s="362">
        <v>5000</v>
      </c>
      <c r="D497" s="621">
        <v>14.025399999999999</v>
      </c>
      <c r="E497" s="363">
        <v>18.04</v>
      </c>
      <c r="F497" s="363">
        <f t="shared" si="99"/>
        <v>20073</v>
      </c>
      <c r="G497" s="363">
        <f t="shared" si="100"/>
        <v>70127</v>
      </c>
      <c r="H497" s="364">
        <f t="shared" si="101"/>
        <v>0.28623782565916123</v>
      </c>
      <c r="I497" s="363"/>
    </row>
    <row r="498" spans="1:10" x14ac:dyDescent="0.25">
      <c r="B498" s="620">
        <v>42733</v>
      </c>
      <c r="C498" s="362">
        <v>6000</v>
      </c>
      <c r="D498" s="621">
        <v>14.627558000000001</v>
      </c>
      <c r="E498" s="363">
        <v>17.57</v>
      </c>
      <c r="F498" s="443">
        <f t="shared" si="99"/>
        <v>17654.651999999998</v>
      </c>
      <c r="G498" s="363">
        <f t="shared" si="100"/>
        <v>87765.347999999998</v>
      </c>
      <c r="H498" s="365">
        <f t="shared" si="101"/>
        <v>0.20115743174629694</v>
      </c>
      <c r="I498" s="363"/>
      <c r="J498" s="3"/>
    </row>
    <row r="499" spans="1:10" x14ac:dyDescent="0.25">
      <c r="B499" s="620">
        <v>42734</v>
      </c>
      <c r="C499" s="362">
        <v>6000</v>
      </c>
      <c r="D499" s="621">
        <v>14.562623</v>
      </c>
      <c r="E499" s="363">
        <v>17.309999999999999</v>
      </c>
      <c r="F499" s="443">
        <f t="shared" si="99"/>
        <v>16484.261999999992</v>
      </c>
      <c r="G499" s="363">
        <f t="shared" si="100"/>
        <v>87375.737999999998</v>
      </c>
      <c r="H499" s="365">
        <f t="shared" si="101"/>
        <v>0.18865948806063293</v>
      </c>
      <c r="I499" s="363"/>
    </row>
    <row r="500" spans="1:10" x14ac:dyDescent="0.25">
      <c r="B500" s="620">
        <v>42739</v>
      </c>
      <c r="C500" s="362">
        <v>5500</v>
      </c>
      <c r="D500" s="621">
        <v>14.242898</v>
      </c>
      <c r="E500" s="363">
        <v>18.05</v>
      </c>
      <c r="F500" s="443">
        <f t="shared" si="99"/>
        <v>20939.061000000002</v>
      </c>
      <c r="G500" s="363">
        <f t="shared" si="100"/>
        <v>78335.938999999998</v>
      </c>
      <c r="H500" s="365">
        <f t="shared" si="101"/>
        <v>0.26729827033796072</v>
      </c>
      <c r="I500" s="363"/>
    </row>
    <row r="501" spans="1:10" x14ac:dyDescent="0.25">
      <c r="B501" s="620">
        <v>42741</v>
      </c>
      <c r="C501" s="362">
        <v>6000</v>
      </c>
      <c r="D501" s="621">
        <v>14.54599</v>
      </c>
      <c r="E501" s="363">
        <v>17.98</v>
      </c>
      <c r="F501" s="443">
        <f t="shared" si="99"/>
        <v>20604.060000000005</v>
      </c>
      <c r="G501" s="363">
        <f t="shared" si="100"/>
        <v>87275.94</v>
      </c>
      <c r="H501" s="365">
        <f t="shared" si="101"/>
        <v>0.23607949682352322</v>
      </c>
      <c r="I501" s="363"/>
    </row>
    <row r="502" spans="1:10" x14ac:dyDescent="0.25">
      <c r="B502" s="620">
        <v>42748</v>
      </c>
      <c r="C502" s="362">
        <v>6000</v>
      </c>
      <c r="D502" s="621">
        <v>14.527687999999999</v>
      </c>
      <c r="E502" s="363">
        <v>17.46</v>
      </c>
      <c r="F502" s="443">
        <f t="shared" si="99"/>
        <v>17593.872000000007</v>
      </c>
      <c r="G502" s="363">
        <f t="shared" si="100"/>
        <v>87166.127999999997</v>
      </c>
      <c r="H502" s="365">
        <f t="shared" si="101"/>
        <v>0.20184299112150547</v>
      </c>
      <c r="I502" s="363"/>
    </row>
    <row r="503" spans="1:10" x14ac:dyDescent="0.25">
      <c r="A503" s="226" t="s">
        <v>325</v>
      </c>
      <c r="B503" s="620">
        <v>42754</v>
      </c>
      <c r="C503" s="362">
        <v>6000</v>
      </c>
      <c r="D503" s="621">
        <v>14.527687999999999</v>
      </c>
      <c r="E503" s="363">
        <v>17.27</v>
      </c>
      <c r="F503" s="443">
        <f t="shared" si="99"/>
        <v>16453.871999999999</v>
      </c>
      <c r="G503" s="363">
        <f t="shared" si="100"/>
        <v>87166.127999999997</v>
      </c>
      <c r="H503" s="365">
        <f t="shared" si="101"/>
        <v>0.1887645164185795</v>
      </c>
      <c r="I503" s="363"/>
    </row>
    <row r="504" spans="1:10" x14ac:dyDescent="0.25">
      <c r="A504" t="s">
        <v>325</v>
      </c>
      <c r="B504" s="620">
        <v>42760</v>
      </c>
      <c r="C504" s="362">
        <v>6000</v>
      </c>
      <c r="D504" s="621">
        <v>14.527687999999999</v>
      </c>
      <c r="E504" s="363">
        <v>17.75</v>
      </c>
      <c r="F504" s="443">
        <f t="shared" ref="F504:F518" si="102">C504*(E504-D504)</f>
        <v>19333.872000000003</v>
      </c>
      <c r="G504" s="363">
        <f t="shared" ref="G504:G518" si="103">IF(C504=0, 0,D504*C504)</f>
        <v>87166.127999999997</v>
      </c>
      <c r="H504" s="365">
        <f t="shared" ref="H504:H518" si="104">IF(C504=0, D504, (E504-D504)/D504)</f>
        <v>0.22180487356281334</v>
      </c>
      <c r="I504" s="363"/>
    </row>
    <row r="505" spans="1:10" x14ac:dyDescent="0.25">
      <c r="A505" t="s">
        <v>357</v>
      </c>
      <c r="B505" s="620">
        <v>42761</v>
      </c>
      <c r="C505" s="362">
        <v>6000</v>
      </c>
      <c r="D505" s="621">
        <v>14.50817</v>
      </c>
      <c r="E505" s="363">
        <v>17.75</v>
      </c>
      <c r="F505" s="443">
        <f t="shared" si="102"/>
        <v>19450.98</v>
      </c>
      <c r="G505" s="363">
        <f t="shared" si="103"/>
        <v>87049.02</v>
      </c>
      <c r="H505" s="365">
        <f t="shared" si="104"/>
        <v>0.22344858104088938</v>
      </c>
      <c r="I505" s="363"/>
    </row>
    <row r="506" spans="1:10" x14ac:dyDescent="0.25">
      <c r="A506" t="s">
        <v>360</v>
      </c>
      <c r="B506" s="620">
        <v>42762</v>
      </c>
      <c r="C506" s="362">
        <v>6100</v>
      </c>
      <c r="D506" s="621">
        <v>14.553610000000001</v>
      </c>
      <c r="E506" s="363">
        <v>17.41</v>
      </c>
      <c r="F506" s="443">
        <f t="shared" si="102"/>
        <v>17423.978999999996</v>
      </c>
      <c r="G506" s="363">
        <f t="shared" si="103"/>
        <v>88777.021000000008</v>
      </c>
      <c r="H506" s="365">
        <f t="shared" si="104"/>
        <v>0.19626676817641803</v>
      </c>
      <c r="I506" s="363"/>
    </row>
    <row r="507" spans="1:10" x14ac:dyDescent="0.25">
      <c r="A507" t="s">
        <v>370</v>
      </c>
      <c r="B507" s="620">
        <v>42765</v>
      </c>
      <c r="C507" s="362">
        <v>6900</v>
      </c>
      <c r="D507" s="621">
        <v>14.793915999999999</v>
      </c>
      <c r="E507" s="363">
        <v>16.53</v>
      </c>
      <c r="F507" s="443">
        <f t="shared" si="102"/>
        <v>11978.979600000011</v>
      </c>
      <c r="G507" s="363">
        <f t="shared" si="103"/>
        <v>102078.02039999999</v>
      </c>
      <c r="H507" s="365">
        <f t="shared" si="104"/>
        <v>0.11735121383682331</v>
      </c>
      <c r="I507" s="363"/>
    </row>
    <row r="508" spans="1:10" x14ac:dyDescent="0.25">
      <c r="A508" t="s">
        <v>371</v>
      </c>
      <c r="B508" s="620">
        <v>42766</v>
      </c>
      <c r="C508" s="362">
        <v>6900</v>
      </c>
      <c r="D508" s="621">
        <v>14.783497000000001</v>
      </c>
      <c r="E508" s="363">
        <v>16.75</v>
      </c>
      <c r="F508" s="443">
        <f t="shared" si="102"/>
        <v>13568.870699999996</v>
      </c>
      <c r="G508" s="363">
        <f t="shared" si="103"/>
        <v>102006.1293</v>
      </c>
      <c r="H508" s="365">
        <f t="shared" si="104"/>
        <v>0.13302015078029233</v>
      </c>
      <c r="I508" s="363"/>
    </row>
    <row r="509" spans="1:10" x14ac:dyDescent="0.25">
      <c r="B509" s="620">
        <v>42767</v>
      </c>
      <c r="C509" s="362">
        <v>6000</v>
      </c>
      <c r="D509" s="621">
        <v>14.442175000000001</v>
      </c>
      <c r="E509" s="363">
        <v>16.59</v>
      </c>
      <c r="F509" s="443">
        <f t="shared" si="102"/>
        <v>12886.949999999995</v>
      </c>
      <c r="G509" s="363">
        <f t="shared" si="103"/>
        <v>86653.05</v>
      </c>
      <c r="H509" s="365">
        <f t="shared" si="104"/>
        <v>0.14871894295699914</v>
      </c>
      <c r="I509" s="363"/>
    </row>
    <row r="510" spans="1:10" x14ac:dyDescent="0.25">
      <c r="B510" s="620">
        <v>42767</v>
      </c>
      <c r="C510" s="362">
        <v>7000</v>
      </c>
      <c r="D510" s="621">
        <v>14.725436</v>
      </c>
      <c r="E510" s="363">
        <v>16.59</v>
      </c>
      <c r="F510" s="443">
        <f t="shared" si="102"/>
        <v>13051.947999999999</v>
      </c>
      <c r="G510" s="363">
        <f t="shared" si="103"/>
        <v>103078.052</v>
      </c>
      <c r="H510" s="365">
        <f t="shared" si="104"/>
        <v>0.1266219893251378</v>
      </c>
      <c r="I510" s="363"/>
    </row>
    <row r="511" spans="1:10" x14ac:dyDescent="0.25">
      <c r="B511" s="620">
        <v>42767</v>
      </c>
      <c r="C511" s="362">
        <v>7200</v>
      </c>
      <c r="D511" s="621">
        <v>14.771951</v>
      </c>
      <c r="E511" s="363">
        <v>16.59</v>
      </c>
      <c r="F511" s="443">
        <f t="shared" si="102"/>
        <v>13089.952800000001</v>
      </c>
      <c r="G511" s="363">
        <f t="shared" si="103"/>
        <v>106358.0472</v>
      </c>
      <c r="H511" s="365">
        <f t="shared" si="104"/>
        <v>0.12307439958337259</v>
      </c>
      <c r="I511" s="363"/>
    </row>
    <row r="512" spans="1:10" ht="15" customHeight="1" x14ac:dyDescent="0.25">
      <c r="A512" t="s">
        <v>375</v>
      </c>
      <c r="B512" s="620">
        <v>42767</v>
      </c>
      <c r="C512" s="362">
        <v>6500</v>
      </c>
      <c r="D512" s="621">
        <v>14.578353999999999</v>
      </c>
      <c r="E512" s="363">
        <v>16.59</v>
      </c>
      <c r="F512" s="443">
        <f t="shared" si="102"/>
        <v>13075.699000000004</v>
      </c>
      <c r="G512" s="363">
        <f t="shared" si="103"/>
        <v>94759.300999999992</v>
      </c>
      <c r="H512" s="365">
        <f t="shared" si="104"/>
        <v>0.13798855481215511</v>
      </c>
      <c r="I512" s="363"/>
    </row>
    <row r="513" spans="1:13" x14ac:dyDescent="0.25">
      <c r="A513" t="s">
        <v>377</v>
      </c>
      <c r="B513" s="620">
        <v>42768</v>
      </c>
      <c r="C513" s="362">
        <v>6000</v>
      </c>
      <c r="D513" s="621">
        <v>14.368788</v>
      </c>
      <c r="E513" s="363">
        <v>16.68</v>
      </c>
      <c r="F513" s="443">
        <f t="shared" si="102"/>
        <v>13867.271999999995</v>
      </c>
      <c r="G513" s="363">
        <f>IF(C513=0, 0,D513*C513)</f>
        <v>86212.728000000003</v>
      </c>
      <c r="H513" s="365">
        <f t="shared" si="104"/>
        <v>0.16084947456946261</v>
      </c>
      <c r="I513" s="363"/>
    </row>
    <row r="514" spans="1:13" x14ac:dyDescent="0.25">
      <c r="A514" t="s">
        <v>384</v>
      </c>
      <c r="B514" s="620">
        <v>42769</v>
      </c>
      <c r="C514" s="362">
        <v>5300</v>
      </c>
      <c r="D514" s="621">
        <v>14.006677</v>
      </c>
      <c r="E514" s="363">
        <v>17.23</v>
      </c>
      <c r="F514" s="443">
        <f t="shared" si="102"/>
        <v>17083.611900000004</v>
      </c>
      <c r="G514" s="363">
        <f t="shared" si="103"/>
        <v>74235.388099999996</v>
      </c>
      <c r="H514" s="365">
        <f t="shared" si="104"/>
        <v>0.2301276027140485</v>
      </c>
      <c r="I514" s="363"/>
    </row>
    <row r="515" spans="1:13" x14ac:dyDescent="0.25">
      <c r="A515" t="s">
        <v>394</v>
      </c>
      <c r="B515" s="620">
        <v>42772</v>
      </c>
      <c r="C515" s="362">
        <v>6000</v>
      </c>
      <c r="D515" s="621">
        <v>14.311230999999999</v>
      </c>
      <c r="E515" s="363">
        <v>16.52</v>
      </c>
      <c r="F515" s="443">
        <f t="shared" si="102"/>
        <v>13252.614000000001</v>
      </c>
      <c r="G515" s="363">
        <f t="shared" si="103"/>
        <v>85867.385999999999</v>
      </c>
      <c r="H515" s="365">
        <f t="shared" si="104"/>
        <v>0.15433815581622576</v>
      </c>
      <c r="I515" s="363"/>
    </row>
    <row r="516" spans="1:13" x14ac:dyDescent="0.25">
      <c r="A516" t="s">
        <v>399</v>
      </c>
      <c r="B516" s="620">
        <v>42773</v>
      </c>
      <c r="C516" s="362">
        <v>6600</v>
      </c>
      <c r="D516" s="621">
        <v>14.461574000000001</v>
      </c>
      <c r="E516" s="363">
        <v>16.03</v>
      </c>
      <c r="F516" s="443">
        <f t="shared" si="102"/>
        <v>10351.611600000004</v>
      </c>
      <c r="G516" s="363">
        <f t="shared" si="103"/>
        <v>95446.388400000011</v>
      </c>
      <c r="H516" s="365">
        <f t="shared" si="104"/>
        <v>0.10845472283998965</v>
      </c>
      <c r="I516" s="363"/>
    </row>
    <row r="517" spans="1:13" x14ac:dyDescent="0.25">
      <c r="A517" t="s">
        <v>422</v>
      </c>
      <c r="B517" s="620">
        <v>42781</v>
      </c>
      <c r="C517" s="362">
        <v>5700</v>
      </c>
      <c r="D517" s="621">
        <v>14.140828000000001</v>
      </c>
      <c r="E517" s="363">
        <v>16.3</v>
      </c>
      <c r="F517" s="443">
        <f t="shared" si="102"/>
        <v>12307.2804</v>
      </c>
      <c r="G517" s="363">
        <f t="shared" si="103"/>
        <v>80602.719600000011</v>
      </c>
      <c r="H517" s="365">
        <f t="shared" si="104"/>
        <v>0.1526906345229572</v>
      </c>
      <c r="I517" s="363"/>
    </row>
    <row r="518" spans="1:13" x14ac:dyDescent="0.25">
      <c r="A518" t="s">
        <v>424</v>
      </c>
      <c r="B518" s="620">
        <v>42782</v>
      </c>
      <c r="C518" s="362">
        <v>5700</v>
      </c>
      <c r="D518" s="621">
        <v>14.103</v>
      </c>
      <c r="E518" s="363">
        <v>16.170000000000002</v>
      </c>
      <c r="F518" s="443">
        <f t="shared" si="102"/>
        <v>11781.900000000011</v>
      </c>
      <c r="G518" s="363">
        <f t="shared" si="103"/>
        <v>80387.100000000006</v>
      </c>
      <c r="H518" s="365">
        <f t="shared" si="104"/>
        <v>0.14656456073175933</v>
      </c>
      <c r="I518" s="363"/>
    </row>
    <row r="519" spans="1:13" x14ac:dyDescent="0.25">
      <c r="B519" s="620"/>
      <c r="C519" s="362"/>
      <c r="D519" s="621"/>
      <c r="E519" s="363"/>
      <c r="F519" s="443"/>
      <c r="G519" s="363"/>
      <c r="H519" s="365"/>
      <c r="I519" s="363"/>
    </row>
    <row r="520" spans="1:13" x14ac:dyDescent="0.25">
      <c r="B520" s="620"/>
      <c r="C520" s="362"/>
      <c r="D520" s="621"/>
      <c r="E520" s="363"/>
      <c r="F520" s="443"/>
      <c r="G520" s="363"/>
      <c r="H520" s="365"/>
      <c r="I520" s="363"/>
    </row>
    <row r="521" spans="1:13" x14ac:dyDescent="0.25">
      <c r="B521" s="620"/>
      <c r="C521" s="362"/>
      <c r="D521" s="621"/>
      <c r="E521" s="363"/>
      <c r="F521" s="443"/>
      <c r="G521" s="363"/>
      <c r="H521" s="365"/>
      <c r="I521" s="363"/>
    </row>
    <row r="522" spans="1:13" x14ac:dyDescent="0.25">
      <c r="B522" s="620"/>
      <c r="C522" s="362"/>
      <c r="D522" s="621"/>
      <c r="E522" s="363"/>
      <c r="F522" s="443"/>
      <c r="G522" s="363"/>
      <c r="H522" s="365"/>
      <c r="I522" s="363"/>
    </row>
    <row r="526" spans="1:13" x14ac:dyDescent="0.25">
      <c r="L526" t="s">
        <v>65</v>
      </c>
      <c r="M526" s="227">
        <f>K789+M789-F789</f>
        <v>14615.571000001626</v>
      </c>
    </row>
    <row r="527" spans="1:13" x14ac:dyDescent="0.25">
      <c r="A527" s="510" t="s">
        <v>1</v>
      </c>
      <c r="B527" s="587" t="s">
        <v>2</v>
      </c>
      <c r="C527" s="510" t="s">
        <v>4</v>
      </c>
      <c r="D527" s="588" t="s">
        <v>5</v>
      </c>
      <c r="E527" s="511" t="s">
        <v>90</v>
      </c>
      <c r="F527" s="511" t="s">
        <v>60</v>
      </c>
      <c r="G527" s="510" t="s">
        <v>3</v>
      </c>
      <c r="H527" s="589" t="s">
        <v>6</v>
      </c>
      <c r="I527" s="588" t="s">
        <v>7</v>
      </c>
      <c r="J527" s="511" t="s">
        <v>89</v>
      </c>
      <c r="K527" s="511" t="s">
        <v>61</v>
      </c>
      <c r="L527" s="510" t="s">
        <v>37</v>
      </c>
      <c r="M527" s="511" t="s">
        <v>38</v>
      </c>
    </row>
    <row r="528" spans="1:13" x14ac:dyDescent="0.25">
      <c r="A528" s="512" t="s">
        <v>50</v>
      </c>
      <c r="B528" s="545">
        <v>42187</v>
      </c>
      <c r="C528" s="497">
        <v>1000</v>
      </c>
      <c r="D528" s="498">
        <v>27.25</v>
      </c>
      <c r="E528" s="499">
        <v>0</v>
      </c>
      <c r="F528" s="499">
        <f>C528*D528+E528</f>
        <v>27250</v>
      </c>
      <c r="G528" s="496">
        <v>42187</v>
      </c>
      <c r="H528" s="513">
        <v>2000</v>
      </c>
      <c r="I528" s="498">
        <v>27.34</v>
      </c>
      <c r="J528" s="499">
        <v>-5.49</v>
      </c>
      <c r="K528" s="499">
        <f>H528*I528-J528</f>
        <v>54685.49</v>
      </c>
      <c r="L528" s="496">
        <v>42257</v>
      </c>
      <c r="M528" s="499">
        <v>850.5</v>
      </c>
    </row>
    <row r="529" spans="1:13" x14ac:dyDescent="0.25">
      <c r="A529" s="514" t="s">
        <v>71</v>
      </c>
      <c r="B529" s="545">
        <v>42187</v>
      </c>
      <c r="C529" s="497">
        <v>80</v>
      </c>
      <c r="D529" s="498">
        <v>27.152249999999999</v>
      </c>
      <c r="E529" s="499">
        <v>0</v>
      </c>
      <c r="F529" s="499">
        <f t="shared" ref="F529:F592" si="105">C529*D529+E529</f>
        <v>2172.1799999999998</v>
      </c>
      <c r="G529" s="496">
        <v>42199</v>
      </c>
      <c r="H529" s="513">
        <v>102</v>
      </c>
      <c r="I529" s="498">
        <v>25.28</v>
      </c>
      <c r="J529" s="499">
        <v>0.05</v>
      </c>
      <c r="K529" s="499">
        <f t="shared" ref="K529:K556" si="106">H529*I529-J529</f>
        <v>2578.5099999999998</v>
      </c>
      <c r="L529" s="496">
        <v>42439</v>
      </c>
      <c r="M529" s="499">
        <v>483.9</v>
      </c>
    </row>
    <row r="530" spans="1:13" x14ac:dyDescent="0.25">
      <c r="A530" s="497"/>
      <c r="B530" s="545">
        <v>42187</v>
      </c>
      <c r="C530" s="497">
        <v>1000</v>
      </c>
      <c r="D530" s="498">
        <v>27.1</v>
      </c>
      <c r="E530" s="499">
        <v>0</v>
      </c>
      <c r="F530" s="499">
        <f t="shared" si="105"/>
        <v>27100</v>
      </c>
      <c r="G530" s="496">
        <v>42227</v>
      </c>
      <c r="H530" s="513">
        <v>200</v>
      </c>
      <c r="I530" s="498">
        <v>19.649999999999999</v>
      </c>
      <c r="J530" s="499">
        <v>7.0000000000000007E-2</v>
      </c>
      <c r="K530" s="499">
        <f t="shared" si="106"/>
        <v>3929.9299999999994</v>
      </c>
      <c r="L530" s="496">
        <v>42531</v>
      </c>
      <c r="M530" s="499">
        <v>483.9</v>
      </c>
    </row>
    <row r="531" spans="1:13" x14ac:dyDescent="0.25">
      <c r="A531" s="497"/>
      <c r="B531" s="608">
        <v>42187</v>
      </c>
      <c r="C531" s="497">
        <v>500</v>
      </c>
      <c r="D531" s="498">
        <v>27.039332999999999</v>
      </c>
      <c r="E531" s="499">
        <v>0</v>
      </c>
      <c r="F531" s="499">
        <f t="shared" si="105"/>
        <v>13519.666499999999</v>
      </c>
      <c r="G531" s="496">
        <v>42227</v>
      </c>
      <c r="H531" s="513">
        <v>200</v>
      </c>
      <c r="I531" s="498">
        <v>18.7</v>
      </c>
      <c r="J531" s="499">
        <v>7.0000000000000007E-2</v>
      </c>
      <c r="K531" s="499">
        <f t="shared" si="106"/>
        <v>3739.93</v>
      </c>
      <c r="L531" s="496">
        <v>42625</v>
      </c>
      <c r="M531" s="499">
        <v>433.9</v>
      </c>
    </row>
    <row r="532" spans="1:13" x14ac:dyDescent="0.25">
      <c r="A532" s="497"/>
      <c r="B532" s="608"/>
      <c r="C532" s="497">
        <v>500</v>
      </c>
      <c r="D532" s="498">
        <v>27.039332999999999</v>
      </c>
      <c r="E532" s="499">
        <v>0</v>
      </c>
      <c r="F532" s="499">
        <f t="shared" si="105"/>
        <v>13519.666499999999</v>
      </c>
      <c r="G532" s="496">
        <v>42257</v>
      </c>
      <c r="H532" s="513">
        <v>1600</v>
      </c>
      <c r="I532" s="498">
        <v>16.445</v>
      </c>
      <c r="J532" s="499">
        <v>0.48</v>
      </c>
      <c r="K532" s="499">
        <f t="shared" si="106"/>
        <v>26311.52</v>
      </c>
      <c r="L532" s="496">
        <v>42716</v>
      </c>
      <c r="M532" s="499">
        <v>500</v>
      </c>
    </row>
    <row r="533" spans="1:13" x14ac:dyDescent="0.25">
      <c r="A533" s="497"/>
      <c r="B533" s="608"/>
      <c r="C533" s="497">
        <v>500</v>
      </c>
      <c r="D533" s="498">
        <v>27.039332999999999</v>
      </c>
      <c r="E533" s="499">
        <v>0</v>
      </c>
      <c r="F533" s="499">
        <f t="shared" si="105"/>
        <v>13519.666499999999</v>
      </c>
      <c r="G533" s="609">
        <v>42265</v>
      </c>
      <c r="H533" s="513">
        <v>200</v>
      </c>
      <c r="I533" s="498">
        <v>15.65</v>
      </c>
      <c r="J533" s="499">
        <v>0.05</v>
      </c>
      <c r="K533" s="499">
        <f t="shared" si="106"/>
        <v>3129.95</v>
      </c>
      <c r="L533" s="497"/>
      <c r="M533" s="499"/>
    </row>
    <row r="534" spans="1:13" x14ac:dyDescent="0.25">
      <c r="A534" s="497"/>
      <c r="B534" s="608"/>
      <c r="C534" s="497">
        <v>500</v>
      </c>
      <c r="D534" s="498">
        <v>27.039332999999999</v>
      </c>
      <c r="E534" s="499">
        <v>0</v>
      </c>
      <c r="F534" s="499">
        <f t="shared" si="105"/>
        <v>13519.666499999999</v>
      </c>
      <c r="G534" s="609"/>
      <c r="H534" s="513">
        <v>2400</v>
      </c>
      <c r="I534" s="498">
        <v>15.7</v>
      </c>
      <c r="J534" s="499">
        <v>0.7</v>
      </c>
      <c r="K534" s="499">
        <f t="shared" si="106"/>
        <v>37679.300000000003</v>
      </c>
      <c r="L534" s="497"/>
      <c r="M534" s="499"/>
    </row>
    <row r="535" spans="1:13" x14ac:dyDescent="0.25">
      <c r="A535" s="497"/>
      <c r="B535" s="608"/>
      <c r="C535" s="497">
        <v>1000</v>
      </c>
      <c r="D535" s="498">
        <v>27.039332999999999</v>
      </c>
      <c r="E535" s="499">
        <v>0</v>
      </c>
      <c r="F535" s="499">
        <f t="shared" si="105"/>
        <v>27039.332999999999</v>
      </c>
      <c r="G535" s="496">
        <v>42271</v>
      </c>
      <c r="H535" s="590">
        <v>918</v>
      </c>
      <c r="I535" s="591">
        <v>16.45</v>
      </c>
      <c r="J535" s="592">
        <v>0.28000000000000003</v>
      </c>
      <c r="K535" s="592">
        <f t="shared" si="106"/>
        <v>15100.819999999998</v>
      </c>
      <c r="L535" s="497"/>
      <c r="M535" s="499"/>
    </row>
    <row r="536" spans="1:13" ht="60" x14ac:dyDescent="0.25">
      <c r="A536" s="497"/>
      <c r="B536" s="545">
        <v>42198</v>
      </c>
      <c r="C536" s="497">
        <v>100</v>
      </c>
      <c r="D536" s="498">
        <v>24.77</v>
      </c>
      <c r="E536" s="499">
        <v>0</v>
      </c>
      <c r="F536" s="499">
        <f t="shared" si="105"/>
        <v>2477</v>
      </c>
      <c r="G536" s="610" t="s">
        <v>139</v>
      </c>
      <c r="H536" s="513">
        <v>500</v>
      </c>
      <c r="I536" s="498">
        <v>15.95</v>
      </c>
      <c r="J536" s="499">
        <v>0.15</v>
      </c>
      <c r="K536" s="592">
        <f t="shared" si="106"/>
        <v>7974.85</v>
      </c>
      <c r="L536" s="497"/>
      <c r="M536" s="499"/>
    </row>
    <row r="537" spans="1:13" x14ac:dyDescent="0.25">
      <c r="A537" s="497"/>
      <c r="B537" s="545">
        <v>42205</v>
      </c>
      <c r="C537" s="497">
        <v>50</v>
      </c>
      <c r="D537" s="498">
        <v>24.35</v>
      </c>
      <c r="E537" s="499">
        <v>0</v>
      </c>
      <c r="F537" s="499">
        <f t="shared" si="105"/>
        <v>1217.5</v>
      </c>
      <c r="G537" s="610"/>
      <c r="H537" s="513">
        <v>500</v>
      </c>
      <c r="I537" s="498">
        <v>16.100000000000001</v>
      </c>
      <c r="J537" s="499">
        <v>0.15</v>
      </c>
      <c r="K537" s="592">
        <f t="shared" si="106"/>
        <v>8049.8500000000013</v>
      </c>
      <c r="L537" s="497"/>
      <c r="M537" s="499"/>
    </row>
    <row r="538" spans="1:13" x14ac:dyDescent="0.25">
      <c r="A538" s="497"/>
      <c r="B538" s="545">
        <v>42207</v>
      </c>
      <c r="C538" s="497">
        <v>20</v>
      </c>
      <c r="D538" s="498">
        <v>24.02</v>
      </c>
      <c r="E538" s="499">
        <v>0</v>
      </c>
      <c r="F538" s="499">
        <f t="shared" si="105"/>
        <v>480.4</v>
      </c>
      <c r="G538" s="610"/>
      <c r="H538" s="513">
        <v>500</v>
      </c>
      <c r="I538" s="498">
        <v>16.170000000000002</v>
      </c>
      <c r="J538" s="499">
        <v>0.15</v>
      </c>
      <c r="K538" s="592">
        <f t="shared" si="106"/>
        <v>8084.8500000000013</v>
      </c>
      <c r="L538" s="497"/>
      <c r="M538" s="499"/>
    </row>
    <row r="539" spans="1:13" x14ac:dyDescent="0.25">
      <c r="A539" s="497"/>
      <c r="B539" s="545">
        <v>42207</v>
      </c>
      <c r="C539" s="497">
        <v>20</v>
      </c>
      <c r="D539" s="498">
        <v>23.91</v>
      </c>
      <c r="E539" s="499">
        <v>0</v>
      </c>
      <c r="F539" s="499">
        <f t="shared" si="105"/>
        <v>478.2</v>
      </c>
      <c r="G539" s="610"/>
      <c r="H539" s="513">
        <v>500</v>
      </c>
      <c r="I539" s="498">
        <v>16.28</v>
      </c>
      <c r="J539" s="499">
        <v>0.15</v>
      </c>
      <c r="K539" s="592">
        <f t="shared" si="106"/>
        <v>8139.8500000000013</v>
      </c>
      <c r="L539" s="499"/>
      <c r="M539" s="499"/>
    </row>
    <row r="540" spans="1:13" x14ac:dyDescent="0.25">
      <c r="A540" s="497"/>
      <c r="B540" s="545">
        <v>42207</v>
      </c>
      <c r="C540" s="497">
        <v>20</v>
      </c>
      <c r="D540" s="498">
        <v>23.7</v>
      </c>
      <c r="E540" s="499">
        <v>0</v>
      </c>
      <c r="F540" s="499">
        <f t="shared" si="105"/>
        <v>474</v>
      </c>
      <c r="G540" s="610"/>
      <c r="H540" s="513">
        <v>500</v>
      </c>
      <c r="I540" s="498">
        <v>16.39</v>
      </c>
      <c r="J540" s="499">
        <v>0.15</v>
      </c>
      <c r="K540" s="592">
        <f t="shared" si="106"/>
        <v>8194.85</v>
      </c>
      <c r="L540" s="497"/>
      <c r="M540" s="499"/>
    </row>
    <row r="541" spans="1:13" x14ac:dyDescent="0.25">
      <c r="A541" s="497"/>
      <c r="B541" s="545">
        <v>42207</v>
      </c>
      <c r="C541" s="497">
        <v>20</v>
      </c>
      <c r="D541" s="498">
        <v>23.6</v>
      </c>
      <c r="E541" s="499">
        <v>0</v>
      </c>
      <c r="F541" s="499">
        <f t="shared" si="105"/>
        <v>472</v>
      </c>
      <c r="G541" s="610"/>
      <c r="H541" s="513">
        <v>500</v>
      </c>
      <c r="I541" s="498">
        <v>16.55</v>
      </c>
      <c r="J541" s="499">
        <v>0.17</v>
      </c>
      <c r="K541" s="592">
        <f t="shared" si="106"/>
        <v>8274.83</v>
      </c>
      <c r="L541" s="497"/>
      <c r="M541" s="499"/>
    </row>
    <row r="542" spans="1:13" x14ac:dyDescent="0.25">
      <c r="A542" s="497"/>
      <c r="B542" s="545">
        <v>42209</v>
      </c>
      <c r="C542" s="497">
        <v>40</v>
      </c>
      <c r="D542" s="498">
        <v>22.3</v>
      </c>
      <c r="E542" s="499">
        <v>0</v>
      </c>
      <c r="F542" s="499">
        <f t="shared" si="105"/>
        <v>892</v>
      </c>
      <c r="G542" s="610"/>
      <c r="H542" s="513">
        <v>50</v>
      </c>
      <c r="I542" s="498">
        <v>16.55</v>
      </c>
      <c r="J542" s="499">
        <v>0</v>
      </c>
      <c r="K542" s="592">
        <f t="shared" si="106"/>
        <v>827.5</v>
      </c>
      <c r="L542" s="497"/>
      <c r="M542" s="499"/>
    </row>
    <row r="543" spans="1:13" x14ac:dyDescent="0.25">
      <c r="A543" s="499"/>
      <c r="B543" s="545">
        <v>42221</v>
      </c>
      <c r="C543" s="497">
        <v>12</v>
      </c>
      <c r="D543" s="498">
        <v>20.95</v>
      </c>
      <c r="E543" s="499">
        <v>0</v>
      </c>
      <c r="F543" s="499">
        <f t="shared" si="105"/>
        <v>251.39999999999998</v>
      </c>
      <c r="G543" s="610"/>
      <c r="H543" s="513">
        <v>28</v>
      </c>
      <c r="I543" s="498">
        <v>16.68</v>
      </c>
      <c r="J543" s="499">
        <v>0.01</v>
      </c>
      <c r="K543" s="592">
        <f t="shared" si="106"/>
        <v>467.03</v>
      </c>
      <c r="L543" s="513"/>
      <c r="M543" s="499"/>
    </row>
    <row r="544" spans="1:13" x14ac:dyDescent="0.25">
      <c r="A544" s="497"/>
      <c r="B544" s="545">
        <v>42223</v>
      </c>
      <c r="C544" s="497">
        <v>100</v>
      </c>
      <c r="D544" s="498">
        <v>20.399999999999999</v>
      </c>
      <c r="E544" s="499">
        <v>0</v>
      </c>
      <c r="F544" s="499">
        <f t="shared" si="105"/>
        <v>2039.9999999999998</v>
      </c>
      <c r="G544" s="496">
        <v>42285</v>
      </c>
      <c r="H544" s="513">
        <v>632</v>
      </c>
      <c r="I544" s="498">
        <v>17.850000000000001</v>
      </c>
      <c r="J544" s="499">
        <v>0.21</v>
      </c>
      <c r="K544" s="592">
        <f t="shared" si="106"/>
        <v>11280.990000000002</v>
      </c>
      <c r="L544" s="499"/>
      <c r="M544" s="499"/>
    </row>
    <row r="545" spans="1:13" x14ac:dyDescent="0.25">
      <c r="A545" s="499"/>
      <c r="B545" s="545">
        <v>42226</v>
      </c>
      <c r="C545" s="497">
        <v>200</v>
      </c>
      <c r="D545" s="498">
        <v>19.95</v>
      </c>
      <c r="E545" s="499">
        <v>0</v>
      </c>
      <c r="F545" s="499">
        <f t="shared" si="105"/>
        <v>3990</v>
      </c>
      <c r="G545" s="496">
        <v>42297</v>
      </c>
      <c r="H545" s="513">
        <v>500</v>
      </c>
      <c r="I545" s="498">
        <v>19.149999999999999</v>
      </c>
      <c r="J545" s="499">
        <v>0.18</v>
      </c>
      <c r="K545" s="592">
        <f t="shared" si="106"/>
        <v>9574.82</v>
      </c>
      <c r="L545" s="497"/>
      <c r="M545" s="499"/>
    </row>
    <row r="546" spans="1:13" x14ac:dyDescent="0.25">
      <c r="A546" s="497"/>
      <c r="B546" s="545">
        <v>42226</v>
      </c>
      <c r="C546" s="497">
        <v>50</v>
      </c>
      <c r="D546" s="498">
        <v>20.010000000000002</v>
      </c>
      <c r="E546" s="499">
        <v>0</v>
      </c>
      <c r="F546" s="499">
        <f t="shared" si="105"/>
        <v>1000.5000000000001</v>
      </c>
      <c r="G546" s="496">
        <v>42300</v>
      </c>
      <c r="H546" s="513">
        <v>1000</v>
      </c>
      <c r="I546" s="498">
        <v>18.62</v>
      </c>
      <c r="J546" s="499">
        <v>0.34</v>
      </c>
      <c r="K546" s="592">
        <f t="shared" si="106"/>
        <v>18619.66</v>
      </c>
      <c r="L546" s="497"/>
      <c r="M546" s="499"/>
    </row>
    <row r="547" spans="1:13" x14ac:dyDescent="0.25">
      <c r="A547" s="497"/>
      <c r="B547" s="545">
        <v>42226</v>
      </c>
      <c r="C547" s="497">
        <v>100</v>
      </c>
      <c r="D547" s="498">
        <v>20.2</v>
      </c>
      <c r="E547" s="499">
        <v>0</v>
      </c>
      <c r="F547" s="499">
        <f t="shared" si="105"/>
        <v>2020</v>
      </c>
      <c r="G547" s="496">
        <v>42312</v>
      </c>
      <c r="H547" s="513">
        <v>2500</v>
      </c>
      <c r="I547" s="498">
        <v>18.48</v>
      </c>
      <c r="J547" s="499">
        <v>7.8</v>
      </c>
      <c r="K547" s="499">
        <f t="shared" si="106"/>
        <v>46192.2</v>
      </c>
      <c r="L547" s="497"/>
      <c r="M547" s="499"/>
    </row>
    <row r="548" spans="1:13" x14ac:dyDescent="0.25">
      <c r="A548" s="497"/>
      <c r="B548" s="545">
        <v>42227</v>
      </c>
      <c r="C548" s="497">
        <v>200</v>
      </c>
      <c r="D548" s="498">
        <v>18.399999999999999</v>
      </c>
      <c r="E548" s="499">
        <v>0</v>
      </c>
      <c r="F548" s="499">
        <f t="shared" si="105"/>
        <v>3679.9999999999995</v>
      </c>
      <c r="G548" s="496">
        <v>42313</v>
      </c>
      <c r="H548" s="513">
        <v>3000</v>
      </c>
      <c r="I548" s="498">
        <v>19.059999999999999</v>
      </c>
      <c r="J548" s="499">
        <v>1.05</v>
      </c>
      <c r="K548" s="499">
        <f t="shared" si="106"/>
        <v>57178.94999999999</v>
      </c>
      <c r="L548" s="497"/>
      <c r="M548" s="499"/>
    </row>
    <row r="549" spans="1:13" x14ac:dyDescent="0.25">
      <c r="A549" s="497"/>
      <c r="B549" s="545">
        <v>42227</v>
      </c>
      <c r="C549" s="497">
        <v>200</v>
      </c>
      <c r="D549" s="498">
        <v>19.55</v>
      </c>
      <c r="E549" s="499">
        <v>0</v>
      </c>
      <c r="F549" s="499">
        <f t="shared" si="105"/>
        <v>3910</v>
      </c>
      <c r="G549" s="496">
        <v>42324</v>
      </c>
      <c r="H549" s="513">
        <v>2500</v>
      </c>
      <c r="I549" s="498">
        <v>18.8</v>
      </c>
      <c r="J549" s="499">
        <v>0.86</v>
      </c>
      <c r="K549" s="499">
        <f t="shared" si="106"/>
        <v>46999.14</v>
      </c>
      <c r="L549" s="499"/>
      <c r="M549" s="499"/>
    </row>
    <row r="550" spans="1:13" x14ac:dyDescent="0.25">
      <c r="A550" s="497"/>
      <c r="B550" s="545">
        <v>42234</v>
      </c>
      <c r="C550" s="497">
        <v>40</v>
      </c>
      <c r="D550" s="498">
        <v>18.149999999999999</v>
      </c>
      <c r="E550" s="499">
        <v>0</v>
      </c>
      <c r="F550" s="499">
        <f t="shared" si="105"/>
        <v>726</v>
      </c>
      <c r="G550" s="496">
        <v>42335</v>
      </c>
      <c r="H550" s="513">
        <v>3078</v>
      </c>
      <c r="I550" s="498">
        <v>17.649999999999999</v>
      </c>
      <c r="J550" s="499">
        <v>1</v>
      </c>
      <c r="K550" s="499">
        <f t="shared" si="106"/>
        <v>54325.7</v>
      </c>
      <c r="L550" s="497"/>
      <c r="M550" s="499"/>
    </row>
    <row r="551" spans="1:13" x14ac:dyDescent="0.25">
      <c r="A551" s="497"/>
      <c r="B551" s="545">
        <v>42234</v>
      </c>
      <c r="C551" s="497">
        <v>100</v>
      </c>
      <c r="D551" s="498">
        <v>18</v>
      </c>
      <c r="E551" s="499">
        <v>0</v>
      </c>
      <c r="F551" s="499">
        <f t="shared" si="105"/>
        <v>1800</v>
      </c>
      <c r="G551" s="496">
        <v>42347</v>
      </c>
      <c r="H551" s="513">
        <v>500</v>
      </c>
      <c r="I551" s="498">
        <v>16.149999999999999</v>
      </c>
      <c r="J551" s="499">
        <v>0.15</v>
      </c>
      <c r="K551" s="499">
        <f t="shared" si="106"/>
        <v>8074.8499999999995</v>
      </c>
      <c r="L551" s="497"/>
      <c r="M551" s="499"/>
    </row>
    <row r="552" spans="1:13" x14ac:dyDescent="0.25">
      <c r="A552" s="497"/>
      <c r="B552" s="545">
        <v>42235</v>
      </c>
      <c r="C552" s="497">
        <v>100</v>
      </c>
      <c r="D552" s="498">
        <v>17.78</v>
      </c>
      <c r="E552" s="499">
        <v>0</v>
      </c>
      <c r="F552" s="499">
        <f t="shared" si="105"/>
        <v>1778</v>
      </c>
      <c r="G552" s="496">
        <v>42353</v>
      </c>
      <c r="H552" s="513">
        <v>600</v>
      </c>
      <c r="I552" s="498">
        <v>14.95</v>
      </c>
      <c r="J552" s="499">
        <v>0.17</v>
      </c>
      <c r="K552" s="499">
        <f t="shared" si="106"/>
        <v>8969.83</v>
      </c>
      <c r="L552" s="497"/>
      <c r="M552" s="499"/>
    </row>
    <row r="553" spans="1:13" x14ac:dyDescent="0.25">
      <c r="A553" s="497"/>
      <c r="B553" s="545">
        <v>42235</v>
      </c>
      <c r="C553" s="497">
        <v>100</v>
      </c>
      <c r="D553" s="498">
        <v>17.68</v>
      </c>
      <c r="E553" s="499">
        <v>0</v>
      </c>
      <c r="F553" s="499">
        <f t="shared" si="105"/>
        <v>1768</v>
      </c>
      <c r="G553" s="496">
        <v>42354</v>
      </c>
      <c r="H553" s="513">
        <v>500</v>
      </c>
      <c r="I553" s="498">
        <v>14.32</v>
      </c>
      <c r="J553" s="499">
        <v>0.13</v>
      </c>
      <c r="K553" s="499">
        <f t="shared" si="106"/>
        <v>7159.87</v>
      </c>
      <c r="L553" s="497"/>
      <c r="M553" s="499"/>
    </row>
    <row r="554" spans="1:13" x14ac:dyDescent="0.25">
      <c r="A554" s="497"/>
      <c r="B554" s="545">
        <v>42240</v>
      </c>
      <c r="C554" s="497">
        <v>100</v>
      </c>
      <c r="D554" s="498">
        <v>16.649999999999999</v>
      </c>
      <c r="E554" s="499">
        <v>0</v>
      </c>
      <c r="F554" s="499">
        <f t="shared" si="105"/>
        <v>1664.9999999999998</v>
      </c>
      <c r="G554" s="496">
        <v>42361</v>
      </c>
      <c r="H554" s="513">
        <v>500</v>
      </c>
      <c r="I554" s="498">
        <v>12.83</v>
      </c>
      <c r="J554" s="499">
        <v>0.12</v>
      </c>
      <c r="K554" s="499">
        <f t="shared" si="106"/>
        <v>6414.88</v>
      </c>
      <c r="L554" s="497"/>
      <c r="M554" s="499"/>
    </row>
    <row r="555" spans="1:13" x14ac:dyDescent="0.25">
      <c r="A555" s="497"/>
      <c r="B555" s="545">
        <v>42240</v>
      </c>
      <c r="C555" s="497">
        <v>100</v>
      </c>
      <c r="D555" s="498">
        <v>16.100000000000001</v>
      </c>
      <c r="E555" s="499">
        <v>0</v>
      </c>
      <c r="F555" s="499">
        <f t="shared" si="105"/>
        <v>1610.0000000000002</v>
      </c>
      <c r="G555" s="496">
        <v>42362</v>
      </c>
      <c r="H555" s="513">
        <v>1222</v>
      </c>
      <c r="I555" s="498">
        <v>12.75</v>
      </c>
      <c r="J555" s="499">
        <v>0.28999999999999998</v>
      </c>
      <c r="K555" s="499">
        <f t="shared" si="106"/>
        <v>15580.21</v>
      </c>
      <c r="L555" s="497"/>
      <c r="M555" s="499"/>
    </row>
    <row r="556" spans="1:13" x14ac:dyDescent="0.25">
      <c r="A556" s="497"/>
      <c r="B556" s="545">
        <v>42257</v>
      </c>
      <c r="C556" s="497">
        <v>1500</v>
      </c>
      <c r="D556" s="498">
        <v>16.350000000000001</v>
      </c>
      <c r="E556" s="499">
        <v>0</v>
      </c>
      <c r="F556" s="499">
        <f t="shared" si="105"/>
        <v>24525.000000000004</v>
      </c>
      <c r="G556" s="496">
        <v>42367</v>
      </c>
      <c r="H556" s="513">
        <v>1000</v>
      </c>
      <c r="I556" s="498">
        <v>13.15</v>
      </c>
      <c r="J556" s="499">
        <v>0.24</v>
      </c>
      <c r="K556" s="499">
        <f t="shared" si="106"/>
        <v>13149.76</v>
      </c>
      <c r="L556" s="497"/>
      <c r="M556" s="499"/>
    </row>
    <row r="557" spans="1:13" x14ac:dyDescent="0.25">
      <c r="A557" s="497"/>
      <c r="B557" s="545">
        <v>42258</v>
      </c>
      <c r="C557" s="497">
        <v>100</v>
      </c>
      <c r="D557" s="498">
        <v>16.100000000000001</v>
      </c>
      <c r="E557" s="499">
        <v>0</v>
      </c>
      <c r="F557" s="499">
        <f t="shared" si="105"/>
        <v>1610.0000000000002</v>
      </c>
      <c r="G557" s="496">
        <v>42367</v>
      </c>
      <c r="H557" s="513">
        <v>2178</v>
      </c>
      <c r="I557" s="498">
        <v>13.75</v>
      </c>
      <c r="J557" s="499">
        <v>0.55000000000000004</v>
      </c>
      <c r="K557" s="499">
        <f>H557*I557-J557</f>
        <v>29946.95</v>
      </c>
      <c r="L557" s="497"/>
      <c r="M557" s="499"/>
    </row>
    <row r="558" spans="1:13" x14ac:dyDescent="0.25">
      <c r="A558" s="497"/>
      <c r="B558" s="545">
        <v>42261</v>
      </c>
      <c r="C558" s="497">
        <v>1000</v>
      </c>
      <c r="D558" s="498">
        <v>15.416</v>
      </c>
      <c r="E558" s="499">
        <v>0</v>
      </c>
      <c r="F558" s="499">
        <f t="shared" si="105"/>
        <v>15416</v>
      </c>
      <c r="G558" s="496">
        <v>42010</v>
      </c>
      <c r="H558" s="513">
        <v>1000</v>
      </c>
      <c r="I558" s="498">
        <v>12.63</v>
      </c>
      <c r="J558" s="499">
        <v>0.23</v>
      </c>
      <c r="K558" s="499">
        <f>H558*I558-J558</f>
        <v>12629.77</v>
      </c>
      <c r="L558" s="497"/>
      <c r="M558" s="499"/>
    </row>
    <row r="559" spans="1:13" x14ac:dyDescent="0.25">
      <c r="A559" s="497"/>
      <c r="B559" s="545">
        <v>42261</v>
      </c>
      <c r="C559" s="497">
        <v>1000</v>
      </c>
      <c r="D559" s="498">
        <v>15.1</v>
      </c>
      <c r="E559" s="499">
        <v>0</v>
      </c>
      <c r="F559" s="499">
        <f t="shared" si="105"/>
        <v>15100</v>
      </c>
      <c r="G559" s="593">
        <v>42374</v>
      </c>
      <c r="H559" s="513">
        <v>2000</v>
      </c>
      <c r="I559" s="498">
        <v>12.81</v>
      </c>
      <c r="J559" s="499">
        <v>0.47</v>
      </c>
      <c r="K559" s="499">
        <f t="shared" ref="K559:K571" si="107">H559*I559-J559</f>
        <v>25619.53</v>
      </c>
      <c r="L559" s="497"/>
      <c r="M559" s="499"/>
    </row>
    <row r="560" spans="1:13" x14ac:dyDescent="0.25">
      <c r="A560" s="497"/>
      <c r="B560" s="545">
        <v>42261</v>
      </c>
      <c r="C560" s="497">
        <v>200</v>
      </c>
      <c r="D560" s="498">
        <v>14.87</v>
      </c>
      <c r="E560" s="499">
        <v>0</v>
      </c>
      <c r="F560" s="499">
        <f t="shared" si="105"/>
        <v>2974</v>
      </c>
      <c r="G560" s="496">
        <v>42374</v>
      </c>
      <c r="H560" s="513">
        <v>1000</v>
      </c>
      <c r="I560" s="498">
        <v>12.82</v>
      </c>
      <c r="J560" s="499">
        <v>0.24</v>
      </c>
      <c r="K560" s="499">
        <f t="shared" si="107"/>
        <v>12819.76</v>
      </c>
      <c r="L560" s="497"/>
      <c r="M560" s="499"/>
    </row>
    <row r="561" spans="1:13" x14ac:dyDescent="0.25">
      <c r="A561" s="497"/>
      <c r="B561" s="545">
        <v>42261</v>
      </c>
      <c r="C561" s="497">
        <v>300</v>
      </c>
      <c r="D561" s="498">
        <v>14.87</v>
      </c>
      <c r="E561" s="499">
        <v>0</v>
      </c>
      <c r="F561" s="499">
        <f t="shared" si="105"/>
        <v>4461</v>
      </c>
      <c r="G561" s="496">
        <v>42398</v>
      </c>
      <c r="H561" s="513">
        <v>400</v>
      </c>
      <c r="I561" s="498">
        <v>9.5500000000000007</v>
      </c>
      <c r="J561" s="499">
        <v>7.0000000000000007E-2</v>
      </c>
      <c r="K561" s="499">
        <f t="shared" si="107"/>
        <v>3819.9300000000003</v>
      </c>
      <c r="L561" s="497"/>
      <c r="M561" s="499"/>
    </row>
    <row r="562" spans="1:13" x14ac:dyDescent="0.25">
      <c r="A562" s="497"/>
      <c r="B562" s="545">
        <v>42270</v>
      </c>
      <c r="C562" s="497">
        <v>478</v>
      </c>
      <c r="D562" s="498">
        <v>15.85</v>
      </c>
      <c r="E562" s="499">
        <v>0</v>
      </c>
      <c r="F562" s="499">
        <f t="shared" si="105"/>
        <v>7576.3</v>
      </c>
      <c r="G562" s="496">
        <v>42411</v>
      </c>
      <c r="H562" s="513">
        <v>500</v>
      </c>
      <c r="I562" s="498">
        <v>6.97</v>
      </c>
      <c r="J562" s="499">
        <v>0.08</v>
      </c>
      <c r="K562" s="499">
        <f t="shared" si="107"/>
        <v>3484.92</v>
      </c>
      <c r="L562" s="497"/>
      <c r="M562" s="499"/>
    </row>
    <row r="563" spans="1:13" x14ac:dyDescent="0.25">
      <c r="A563" s="497"/>
      <c r="B563" s="545">
        <v>42292</v>
      </c>
      <c r="C563" s="497">
        <v>500</v>
      </c>
      <c r="D563" s="498">
        <v>18.55</v>
      </c>
      <c r="E563" s="499">
        <v>0</v>
      </c>
      <c r="F563" s="499">
        <f t="shared" si="105"/>
        <v>9275</v>
      </c>
      <c r="G563" s="496">
        <v>42412</v>
      </c>
      <c r="H563" s="513">
        <v>200</v>
      </c>
      <c r="I563" s="498">
        <v>7.45</v>
      </c>
      <c r="J563" s="499">
        <v>0.03</v>
      </c>
      <c r="K563" s="499">
        <f t="shared" si="107"/>
        <v>1489.97</v>
      </c>
      <c r="L563" s="497"/>
      <c r="M563" s="499"/>
    </row>
    <row r="564" spans="1:13" x14ac:dyDescent="0.25">
      <c r="A564" s="497"/>
      <c r="B564" s="545">
        <v>42299</v>
      </c>
      <c r="C564" s="497">
        <v>500</v>
      </c>
      <c r="D564" s="498">
        <v>18.55</v>
      </c>
      <c r="E564" s="499">
        <v>0</v>
      </c>
      <c r="F564" s="499">
        <f t="shared" si="105"/>
        <v>9275</v>
      </c>
      <c r="G564" s="496">
        <v>42416</v>
      </c>
      <c r="H564" s="513">
        <v>500</v>
      </c>
      <c r="I564" s="498">
        <v>7.75</v>
      </c>
      <c r="J564" s="499">
        <v>0.08</v>
      </c>
      <c r="K564" s="499">
        <f t="shared" si="107"/>
        <v>3874.92</v>
      </c>
      <c r="L564" s="497"/>
      <c r="M564" s="499"/>
    </row>
    <row r="565" spans="1:13" x14ac:dyDescent="0.25">
      <c r="A565" s="497"/>
      <c r="B565" s="545">
        <v>42299</v>
      </c>
      <c r="C565" s="497">
        <v>500</v>
      </c>
      <c r="D565" s="498">
        <v>18.28</v>
      </c>
      <c r="E565" s="499">
        <v>0</v>
      </c>
      <c r="F565" s="499">
        <f t="shared" si="105"/>
        <v>9140</v>
      </c>
      <c r="G565" s="496">
        <v>42422</v>
      </c>
      <c r="H565" s="513">
        <v>2500</v>
      </c>
      <c r="I565" s="498">
        <v>7.47</v>
      </c>
      <c r="J565" s="499">
        <v>0.41</v>
      </c>
      <c r="K565" s="499">
        <f t="shared" si="107"/>
        <v>18674.59</v>
      </c>
      <c r="L565" s="497"/>
      <c r="M565" s="499"/>
    </row>
    <row r="566" spans="1:13" x14ac:dyDescent="0.25">
      <c r="A566" s="497"/>
      <c r="B566" s="545">
        <v>42299</v>
      </c>
      <c r="C566" s="497">
        <v>1000</v>
      </c>
      <c r="D566" s="498">
        <v>18.100000000000001</v>
      </c>
      <c r="E566" s="499">
        <v>0</v>
      </c>
      <c r="F566" s="499">
        <f t="shared" si="105"/>
        <v>18100</v>
      </c>
      <c r="G566" s="496">
        <v>42422</v>
      </c>
      <c r="H566" s="513">
        <v>1000</v>
      </c>
      <c r="I566" s="498">
        <v>7.49</v>
      </c>
      <c r="J566" s="499">
        <v>0.16</v>
      </c>
      <c r="K566" s="499">
        <f t="shared" si="107"/>
        <v>7489.84</v>
      </c>
      <c r="L566" s="497"/>
      <c r="M566" s="499"/>
    </row>
    <row r="567" spans="1:13" x14ac:dyDescent="0.25">
      <c r="A567" s="497"/>
      <c r="B567" s="608">
        <v>42306</v>
      </c>
      <c r="C567" s="497">
        <v>660</v>
      </c>
      <c r="D567" s="498">
        <v>17.8</v>
      </c>
      <c r="E567" s="499">
        <v>0</v>
      </c>
      <c r="F567" s="499">
        <f t="shared" si="105"/>
        <v>11748</v>
      </c>
      <c r="G567" s="496">
        <v>42426</v>
      </c>
      <c r="H567" s="513">
        <v>900</v>
      </c>
      <c r="I567" s="498">
        <v>7.7</v>
      </c>
      <c r="J567" s="499">
        <v>0.15</v>
      </c>
      <c r="K567" s="499">
        <f t="shared" si="107"/>
        <v>6929.85</v>
      </c>
      <c r="L567" s="497"/>
      <c r="M567" s="499"/>
    </row>
    <row r="568" spans="1:13" ht="30" x14ac:dyDescent="0.25">
      <c r="A568" s="497"/>
      <c r="B568" s="608"/>
      <c r="C568" s="497">
        <v>340</v>
      </c>
      <c r="D568" s="498">
        <v>17.8</v>
      </c>
      <c r="E568" s="499">
        <v>0</v>
      </c>
      <c r="F568" s="499">
        <f t="shared" si="105"/>
        <v>6052</v>
      </c>
      <c r="G568" s="611" t="s">
        <v>181</v>
      </c>
      <c r="H568" s="513">
        <v>500</v>
      </c>
      <c r="I568" s="498">
        <v>7.73</v>
      </c>
      <c r="J568" s="499">
        <v>0.08</v>
      </c>
      <c r="K568" s="499">
        <f t="shared" si="107"/>
        <v>3864.92</v>
      </c>
      <c r="L568" s="497"/>
      <c r="M568" s="499"/>
    </row>
    <row r="569" spans="1:13" x14ac:dyDescent="0.25">
      <c r="A569" s="497"/>
      <c r="B569" s="545">
        <v>42312</v>
      </c>
      <c r="C569" s="594">
        <v>500</v>
      </c>
      <c r="D569" s="591">
        <v>17.559999999999999</v>
      </c>
      <c r="E569" s="592">
        <v>6.95</v>
      </c>
      <c r="F569" s="592">
        <f t="shared" si="105"/>
        <v>8786.9500000000007</v>
      </c>
      <c r="G569" s="611"/>
      <c r="H569" s="513">
        <v>500</v>
      </c>
      <c r="I569" s="498">
        <v>7.96</v>
      </c>
      <c r="J569" s="499">
        <v>0.09</v>
      </c>
      <c r="K569" s="499">
        <f t="shared" si="107"/>
        <v>3979.91</v>
      </c>
      <c r="L569" s="497"/>
      <c r="M569" s="499"/>
    </row>
    <row r="570" spans="1:13" x14ac:dyDescent="0.25">
      <c r="A570" s="497"/>
      <c r="B570" s="545">
        <v>42313</v>
      </c>
      <c r="C570" s="497">
        <v>3000</v>
      </c>
      <c r="D570" s="498">
        <v>19.05</v>
      </c>
      <c r="E570" s="499">
        <v>0</v>
      </c>
      <c r="F570" s="499">
        <f t="shared" si="105"/>
        <v>57150</v>
      </c>
      <c r="G570" s="611"/>
      <c r="H570" s="513">
        <v>500</v>
      </c>
      <c r="I570" s="498">
        <v>8.0299999999999994</v>
      </c>
      <c r="J570" s="499">
        <v>0.09</v>
      </c>
      <c r="K570" s="499">
        <f t="shared" si="107"/>
        <v>4014.9099999999994</v>
      </c>
      <c r="L570" s="497"/>
      <c r="M570" s="498"/>
    </row>
    <row r="571" spans="1:13" x14ac:dyDescent="0.25">
      <c r="A571" s="497"/>
      <c r="B571" s="545">
        <v>42320</v>
      </c>
      <c r="C571" s="497">
        <v>500</v>
      </c>
      <c r="D571" s="498">
        <v>18.079999999999998</v>
      </c>
      <c r="E571" s="499">
        <v>0</v>
      </c>
      <c r="F571" s="499">
        <f t="shared" si="105"/>
        <v>9040</v>
      </c>
      <c r="G571" s="611"/>
      <c r="H571" s="513">
        <v>1500</v>
      </c>
      <c r="I571" s="498">
        <v>8.1</v>
      </c>
      <c r="J571" s="499">
        <v>0.26</v>
      </c>
      <c r="K571" s="499">
        <f t="shared" si="107"/>
        <v>12149.74</v>
      </c>
      <c r="L571" s="497"/>
      <c r="M571" s="499"/>
    </row>
    <row r="572" spans="1:13" x14ac:dyDescent="0.25">
      <c r="A572" s="497"/>
      <c r="B572" s="545">
        <v>42320</v>
      </c>
      <c r="C572" s="497">
        <v>1000</v>
      </c>
      <c r="D572" s="498">
        <v>18.05</v>
      </c>
      <c r="E572" s="499">
        <v>0</v>
      </c>
      <c r="F572" s="499">
        <f t="shared" si="105"/>
        <v>18050</v>
      </c>
      <c r="G572" s="496">
        <v>42429</v>
      </c>
      <c r="H572" s="513">
        <v>1000</v>
      </c>
      <c r="I572" s="498">
        <v>8.5399999999999991</v>
      </c>
      <c r="J572" s="499">
        <v>0.19</v>
      </c>
      <c r="K572" s="499">
        <f>H572*I572-J572</f>
        <v>8539.81</v>
      </c>
      <c r="L572" s="497"/>
      <c r="M572" s="595"/>
    </row>
    <row r="573" spans="1:13" x14ac:dyDescent="0.25">
      <c r="A573" s="497"/>
      <c r="B573" s="545">
        <v>42320</v>
      </c>
      <c r="C573" s="497">
        <v>1000</v>
      </c>
      <c r="D573" s="498">
        <v>17.82</v>
      </c>
      <c r="E573" s="499">
        <v>0</v>
      </c>
      <c r="F573" s="499">
        <f t="shared" si="105"/>
        <v>17820</v>
      </c>
      <c r="G573" s="496">
        <v>42429</v>
      </c>
      <c r="H573" s="513">
        <v>500</v>
      </c>
      <c r="I573" s="498">
        <v>7.95</v>
      </c>
      <c r="J573" s="499">
        <v>0.09</v>
      </c>
      <c r="K573" s="499">
        <f>H573*I573-J573</f>
        <v>3974.91</v>
      </c>
      <c r="L573" s="497"/>
      <c r="M573" s="499"/>
    </row>
    <row r="574" spans="1:13" x14ac:dyDescent="0.25">
      <c r="A574" s="497"/>
      <c r="B574" s="545">
        <v>42328</v>
      </c>
      <c r="C574" s="497">
        <v>3078</v>
      </c>
      <c r="D574" s="498">
        <v>17.47</v>
      </c>
      <c r="E574" s="499">
        <v>0</v>
      </c>
      <c r="F574" s="499">
        <f t="shared" si="105"/>
        <v>53772.659999999996</v>
      </c>
      <c r="G574" s="496">
        <v>42429</v>
      </c>
      <c r="H574" s="513">
        <v>500</v>
      </c>
      <c r="I574" s="498">
        <v>7.97</v>
      </c>
      <c r="J574" s="499">
        <v>0.09</v>
      </c>
      <c r="K574" s="499">
        <f t="shared" ref="K574:K633" si="108">H574*I574-J574</f>
        <v>3984.91</v>
      </c>
      <c r="L574" s="497"/>
      <c r="M574" s="499"/>
    </row>
    <row r="575" spans="1:13" x14ac:dyDescent="0.25">
      <c r="A575" s="497"/>
      <c r="B575" s="545">
        <v>42340</v>
      </c>
      <c r="C575" s="497">
        <v>3078</v>
      </c>
      <c r="D575" s="498">
        <v>17.739999999999998</v>
      </c>
      <c r="E575" s="499">
        <v>0</v>
      </c>
      <c r="F575" s="499">
        <f t="shared" si="105"/>
        <v>54603.719999999994</v>
      </c>
      <c r="G575" s="496">
        <v>42430</v>
      </c>
      <c r="H575" s="513">
        <v>500</v>
      </c>
      <c r="I575" s="498">
        <v>7.85</v>
      </c>
      <c r="J575" s="499">
        <v>0.09</v>
      </c>
      <c r="K575" s="499">
        <f t="shared" si="108"/>
        <v>3924.91</v>
      </c>
      <c r="L575" s="497"/>
      <c r="M575" s="499"/>
    </row>
    <row r="576" spans="1:13" x14ac:dyDescent="0.25">
      <c r="A576" s="497"/>
      <c r="B576" s="545">
        <v>42340</v>
      </c>
      <c r="C576" s="497">
        <v>500</v>
      </c>
      <c r="D576" s="498">
        <v>17.5</v>
      </c>
      <c r="E576" s="499">
        <v>0</v>
      </c>
      <c r="F576" s="499">
        <f t="shared" si="105"/>
        <v>8750</v>
      </c>
      <c r="G576" s="496">
        <v>42430</v>
      </c>
      <c r="H576" s="513">
        <v>500</v>
      </c>
      <c r="I576" s="498">
        <v>8.0299999999999994</v>
      </c>
      <c r="J576" s="499">
        <v>0.09</v>
      </c>
      <c r="K576" s="499">
        <f t="shared" si="108"/>
        <v>4014.9099999999994</v>
      </c>
      <c r="L576" s="499"/>
      <c r="M576" s="499"/>
    </row>
    <row r="577" spans="1:13" x14ac:dyDescent="0.25">
      <c r="A577" s="497"/>
      <c r="B577" s="545">
        <v>42345</v>
      </c>
      <c r="C577" s="497">
        <v>100</v>
      </c>
      <c r="D577" s="498">
        <v>16.7</v>
      </c>
      <c r="E577" s="499">
        <v>0</v>
      </c>
      <c r="F577" s="499">
        <f t="shared" si="105"/>
        <v>1670</v>
      </c>
      <c r="G577" s="496">
        <v>42431</v>
      </c>
      <c r="H577" s="513">
        <v>500</v>
      </c>
      <c r="I577" s="498">
        <v>8.3800000000000008</v>
      </c>
      <c r="J577" s="499">
        <v>0.09</v>
      </c>
      <c r="K577" s="499">
        <f t="shared" si="108"/>
        <v>4189.91</v>
      </c>
      <c r="L577" s="499"/>
      <c r="M577" s="499"/>
    </row>
    <row r="578" spans="1:13" x14ac:dyDescent="0.25">
      <c r="A578" s="497"/>
      <c r="B578" s="545">
        <v>42345</v>
      </c>
      <c r="C578" s="497">
        <v>500</v>
      </c>
      <c r="D578" s="498">
        <v>16.850000000000001</v>
      </c>
      <c r="E578" s="499">
        <v>0</v>
      </c>
      <c r="F578" s="499">
        <f t="shared" si="105"/>
        <v>8425</v>
      </c>
      <c r="G578" s="496">
        <v>42431</v>
      </c>
      <c r="H578" s="513">
        <v>500</v>
      </c>
      <c r="I578" s="498">
        <v>8.58</v>
      </c>
      <c r="J578" s="499">
        <v>0.09</v>
      </c>
      <c r="K578" s="499">
        <f t="shared" si="108"/>
        <v>4289.91</v>
      </c>
      <c r="L578" s="497"/>
      <c r="M578" s="499"/>
    </row>
    <row r="579" spans="1:13" ht="30" x14ac:dyDescent="0.25">
      <c r="A579" s="497"/>
      <c r="B579" s="545">
        <v>42347</v>
      </c>
      <c r="C579" s="497">
        <v>500</v>
      </c>
      <c r="D579" s="498">
        <v>15.84</v>
      </c>
      <c r="E579" s="499">
        <v>0</v>
      </c>
      <c r="F579" s="499">
        <f t="shared" si="105"/>
        <v>7920</v>
      </c>
      <c r="G579" s="610" t="s">
        <v>183</v>
      </c>
      <c r="H579" s="513">
        <v>400</v>
      </c>
      <c r="I579" s="498">
        <v>9.09</v>
      </c>
      <c r="J579" s="499">
        <v>0.1</v>
      </c>
      <c r="K579" s="499">
        <f t="shared" si="108"/>
        <v>3635.9</v>
      </c>
      <c r="L579" s="497"/>
      <c r="M579" s="499"/>
    </row>
    <row r="580" spans="1:13" x14ac:dyDescent="0.25">
      <c r="A580" s="497"/>
      <c r="B580" s="545">
        <v>42348</v>
      </c>
      <c r="C580" s="497">
        <v>500</v>
      </c>
      <c r="D580" s="498">
        <v>14.78</v>
      </c>
      <c r="E580" s="499">
        <v>0</v>
      </c>
      <c r="F580" s="499">
        <f t="shared" si="105"/>
        <v>7390</v>
      </c>
      <c r="G580" s="610"/>
      <c r="H580" s="513">
        <v>100</v>
      </c>
      <c r="I580" s="498">
        <v>9.09</v>
      </c>
      <c r="J580" s="499">
        <v>0</v>
      </c>
      <c r="K580" s="499">
        <f t="shared" si="108"/>
        <v>909</v>
      </c>
      <c r="L580" s="497"/>
      <c r="M580" s="499"/>
    </row>
    <row r="581" spans="1:13" x14ac:dyDescent="0.25">
      <c r="A581" s="497"/>
      <c r="B581" s="545">
        <v>42352</v>
      </c>
      <c r="C581" s="497">
        <v>100</v>
      </c>
      <c r="D581" s="498">
        <v>14.57</v>
      </c>
      <c r="E581" s="499">
        <v>0</v>
      </c>
      <c r="F581" s="499">
        <f t="shared" si="105"/>
        <v>1457</v>
      </c>
      <c r="G581" s="610"/>
      <c r="H581" s="513">
        <v>500</v>
      </c>
      <c r="I581" s="498">
        <v>8.81</v>
      </c>
      <c r="J581" s="499">
        <v>0.1</v>
      </c>
      <c r="K581" s="499">
        <f t="shared" si="108"/>
        <v>4404.8999999999996</v>
      </c>
      <c r="L581" s="497"/>
      <c r="M581" s="499"/>
    </row>
    <row r="582" spans="1:13" x14ac:dyDescent="0.25">
      <c r="A582" s="497"/>
      <c r="B582" s="545">
        <v>42355</v>
      </c>
      <c r="C582" s="497">
        <v>500</v>
      </c>
      <c r="D582" s="498">
        <v>13.89</v>
      </c>
      <c r="E582" s="499">
        <v>0</v>
      </c>
      <c r="F582" s="499">
        <f t="shared" si="105"/>
        <v>6945</v>
      </c>
      <c r="G582" s="496">
        <v>42432</v>
      </c>
      <c r="H582" s="513">
        <v>600</v>
      </c>
      <c r="I582" s="498">
        <v>9.65</v>
      </c>
      <c r="J582" s="499">
        <v>0.13</v>
      </c>
      <c r="K582" s="499">
        <f t="shared" si="108"/>
        <v>5789.87</v>
      </c>
      <c r="L582" s="497"/>
      <c r="M582" s="499"/>
    </row>
    <row r="583" spans="1:13" x14ac:dyDescent="0.25">
      <c r="A583" s="497"/>
      <c r="B583" s="545">
        <v>42360</v>
      </c>
      <c r="C583" s="497">
        <v>500</v>
      </c>
      <c r="D583" s="498">
        <v>12.95</v>
      </c>
      <c r="E583" s="499">
        <v>0</v>
      </c>
      <c r="F583" s="499">
        <f t="shared" si="105"/>
        <v>6475</v>
      </c>
      <c r="G583" s="496">
        <v>42433</v>
      </c>
      <c r="H583" s="513">
        <v>600</v>
      </c>
      <c r="I583" s="498">
        <v>10.45</v>
      </c>
      <c r="J583" s="499">
        <v>0.14000000000000001</v>
      </c>
      <c r="K583" s="499">
        <f t="shared" si="108"/>
        <v>6269.86</v>
      </c>
      <c r="L583" s="497"/>
      <c r="M583" s="499"/>
    </row>
    <row r="584" spans="1:13" x14ac:dyDescent="0.25">
      <c r="A584" s="497"/>
      <c r="B584" s="545">
        <v>42361</v>
      </c>
      <c r="C584" s="497">
        <v>500</v>
      </c>
      <c r="D584" s="498">
        <v>12.75</v>
      </c>
      <c r="E584" s="499">
        <v>0</v>
      </c>
      <c r="F584" s="499">
        <f t="shared" si="105"/>
        <v>6375</v>
      </c>
      <c r="G584" s="496">
        <v>42440</v>
      </c>
      <c r="H584" s="513">
        <v>400</v>
      </c>
      <c r="I584" s="498">
        <v>11.25</v>
      </c>
      <c r="J584" s="499">
        <v>0.1</v>
      </c>
      <c r="K584" s="499">
        <f t="shared" si="108"/>
        <v>4499.8999999999996</v>
      </c>
      <c r="L584" s="497"/>
      <c r="M584" s="499"/>
    </row>
    <row r="585" spans="1:13" x14ac:dyDescent="0.25">
      <c r="A585" s="497"/>
      <c r="B585" s="545">
        <v>42361</v>
      </c>
      <c r="C585" s="497">
        <v>500</v>
      </c>
      <c r="D585" s="498">
        <v>12.8</v>
      </c>
      <c r="E585" s="499">
        <v>0</v>
      </c>
      <c r="F585" s="499">
        <f t="shared" si="105"/>
        <v>6400</v>
      </c>
      <c r="G585" s="496">
        <v>42446</v>
      </c>
      <c r="H585" s="513">
        <v>1500</v>
      </c>
      <c r="I585" s="498">
        <v>11.49</v>
      </c>
      <c r="J585" s="499">
        <v>0.38</v>
      </c>
      <c r="K585" s="499">
        <f t="shared" si="108"/>
        <v>17234.62</v>
      </c>
      <c r="L585" s="497"/>
      <c r="M585" s="499"/>
    </row>
    <row r="586" spans="1:13" x14ac:dyDescent="0.25">
      <c r="A586" s="497"/>
      <c r="B586" s="545">
        <v>42361</v>
      </c>
      <c r="C586" s="497">
        <v>1000</v>
      </c>
      <c r="D586" s="498">
        <v>12.67</v>
      </c>
      <c r="E586" s="499">
        <v>0</v>
      </c>
      <c r="F586" s="499">
        <f t="shared" si="105"/>
        <v>12670</v>
      </c>
      <c r="G586" s="496">
        <v>42447</v>
      </c>
      <c r="H586" s="513">
        <v>1500</v>
      </c>
      <c r="I586" s="498">
        <v>11.44</v>
      </c>
      <c r="J586" s="499">
        <v>0.37</v>
      </c>
      <c r="K586" s="499">
        <f t="shared" si="108"/>
        <v>17159.63</v>
      </c>
      <c r="L586" s="497"/>
      <c r="M586" s="499"/>
    </row>
    <row r="587" spans="1:13" x14ac:dyDescent="0.25">
      <c r="A587" s="497"/>
      <c r="B587" s="545">
        <v>42361</v>
      </c>
      <c r="C587" s="497">
        <v>222</v>
      </c>
      <c r="D587" s="498">
        <v>12.44</v>
      </c>
      <c r="E587" s="499">
        <v>0</v>
      </c>
      <c r="F587" s="499">
        <f t="shared" si="105"/>
        <v>2761.68</v>
      </c>
      <c r="G587" s="496">
        <v>42447</v>
      </c>
      <c r="H587" s="513">
        <v>500</v>
      </c>
      <c r="I587" s="498">
        <v>11.484999999999999</v>
      </c>
      <c r="J587" s="499">
        <v>0.13</v>
      </c>
      <c r="K587" s="499">
        <f t="shared" si="108"/>
        <v>5742.37</v>
      </c>
      <c r="L587" s="497"/>
      <c r="M587" s="499"/>
    </row>
    <row r="588" spans="1:13" x14ac:dyDescent="0.25">
      <c r="A588" s="497"/>
      <c r="B588" s="545">
        <v>42367</v>
      </c>
      <c r="C588" s="497">
        <v>2178</v>
      </c>
      <c r="D588" s="498">
        <v>13.68</v>
      </c>
      <c r="E588" s="499">
        <v>0</v>
      </c>
      <c r="F588" s="499">
        <f t="shared" si="105"/>
        <v>29795.040000000001</v>
      </c>
      <c r="G588" s="609">
        <v>42447</v>
      </c>
      <c r="H588" s="513">
        <v>650</v>
      </c>
      <c r="I588" s="498">
        <v>11.56</v>
      </c>
      <c r="J588" s="499">
        <v>0.25</v>
      </c>
      <c r="K588" s="499">
        <f t="shared" si="108"/>
        <v>7513.75</v>
      </c>
      <c r="L588" s="497"/>
      <c r="M588" s="499"/>
    </row>
    <row r="589" spans="1:13" x14ac:dyDescent="0.25">
      <c r="A589" s="497"/>
      <c r="B589" s="545">
        <v>42369</v>
      </c>
      <c r="C589" s="497">
        <v>2500</v>
      </c>
      <c r="D589" s="498">
        <v>13.04</v>
      </c>
      <c r="E589" s="499">
        <v>0</v>
      </c>
      <c r="F589" s="499">
        <f t="shared" si="105"/>
        <v>32599.999999999996</v>
      </c>
      <c r="G589" s="609"/>
      <c r="H589" s="513">
        <v>350</v>
      </c>
      <c r="I589" s="498">
        <v>11.56</v>
      </c>
      <c r="J589" s="499">
        <v>0</v>
      </c>
      <c r="K589" s="499">
        <f t="shared" si="108"/>
        <v>4046</v>
      </c>
      <c r="L589" s="497"/>
      <c r="M589" s="499"/>
    </row>
    <row r="590" spans="1:13" x14ac:dyDescent="0.25">
      <c r="A590" s="497"/>
      <c r="B590" s="545">
        <v>42008</v>
      </c>
      <c r="C590" s="497">
        <v>2000</v>
      </c>
      <c r="D590" s="498">
        <v>13.01</v>
      </c>
      <c r="E590" s="499">
        <v>0</v>
      </c>
      <c r="F590" s="499">
        <f t="shared" si="105"/>
        <v>26020</v>
      </c>
      <c r="G590" s="496">
        <v>42447</v>
      </c>
      <c r="H590" s="513">
        <v>1000</v>
      </c>
      <c r="I590" s="498">
        <v>11.62</v>
      </c>
      <c r="J590" s="499">
        <v>0.25</v>
      </c>
      <c r="K590" s="499">
        <f t="shared" si="108"/>
        <v>11619.75</v>
      </c>
      <c r="L590" s="497"/>
      <c r="M590" s="499"/>
    </row>
    <row r="591" spans="1:13" x14ac:dyDescent="0.25">
      <c r="A591" s="497"/>
      <c r="B591" s="545">
        <v>42009</v>
      </c>
      <c r="C591" s="497">
        <v>500</v>
      </c>
      <c r="D591" s="498">
        <v>12.62</v>
      </c>
      <c r="E591" s="499">
        <v>0</v>
      </c>
      <c r="F591" s="499">
        <f t="shared" si="105"/>
        <v>6310</v>
      </c>
      <c r="G591" s="496">
        <v>42451</v>
      </c>
      <c r="H591" s="513">
        <v>1000</v>
      </c>
      <c r="I591" s="498">
        <v>11.45</v>
      </c>
      <c r="J591" s="499">
        <v>0.25</v>
      </c>
      <c r="K591" s="499">
        <f t="shared" si="108"/>
        <v>11449.75</v>
      </c>
      <c r="L591" s="497"/>
      <c r="M591" s="499"/>
    </row>
    <row r="592" spans="1:13" x14ac:dyDescent="0.25">
      <c r="A592" s="497"/>
      <c r="B592" s="545">
        <v>42009</v>
      </c>
      <c r="C592" s="497">
        <v>500</v>
      </c>
      <c r="D592" s="498">
        <v>12.45</v>
      </c>
      <c r="E592" s="499">
        <v>0</v>
      </c>
      <c r="F592" s="499">
        <f t="shared" si="105"/>
        <v>6225</v>
      </c>
      <c r="G592" s="496">
        <v>42451</v>
      </c>
      <c r="H592" s="513">
        <v>50</v>
      </c>
      <c r="I592" s="498">
        <v>11.28</v>
      </c>
      <c r="J592" s="499">
        <v>0.01</v>
      </c>
      <c r="K592" s="499">
        <f t="shared" si="108"/>
        <v>563.99</v>
      </c>
      <c r="L592" s="497"/>
      <c r="M592" s="499"/>
    </row>
    <row r="593" spans="1:13" x14ac:dyDescent="0.25">
      <c r="A593" s="497"/>
      <c r="B593" s="596">
        <v>42374</v>
      </c>
      <c r="C593" s="497">
        <v>2000</v>
      </c>
      <c r="D593" s="498">
        <v>12.73</v>
      </c>
      <c r="E593" s="499">
        <v>0</v>
      </c>
      <c r="F593" s="499">
        <f t="shared" ref="F593:F656" si="109">C593*D593+E593</f>
        <v>25460</v>
      </c>
      <c r="G593" s="496">
        <v>42459</v>
      </c>
      <c r="H593" s="513">
        <v>2000</v>
      </c>
      <c r="I593" s="498">
        <v>10.75</v>
      </c>
      <c r="J593" s="499">
        <v>0.47</v>
      </c>
      <c r="K593" s="499">
        <f t="shared" si="108"/>
        <v>21499.53</v>
      </c>
      <c r="L593" s="497"/>
      <c r="M593" s="499"/>
    </row>
    <row r="594" spans="1:13" x14ac:dyDescent="0.25">
      <c r="A594" s="497"/>
      <c r="B594" s="545">
        <v>42375</v>
      </c>
      <c r="C594" s="497">
        <v>1000</v>
      </c>
      <c r="D594" s="498">
        <v>12.5</v>
      </c>
      <c r="E594" s="499">
        <v>0</v>
      </c>
      <c r="F594" s="499">
        <f t="shared" si="109"/>
        <v>12500</v>
      </c>
      <c r="G594" s="496">
        <v>42460</v>
      </c>
      <c r="H594" s="513">
        <v>1600</v>
      </c>
      <c r="I594" s="498">
        <v>10.95</v>
      </c>
      <c r="J594" s="499">
        <v>2.88</v>
      </c>
      <c r="K594" s="499">
        <f t="shared" si="108"/>
        <v>17517.12</v>
      </c>
      <c r="L594" s="497"/>
      <c r="M594" s="499"/>
    </row>
    <row r="595" spans="1:13" x14ac:dyDescent="0.25">
      <c r="A595" s="497"/>
      <c r="B595" s="545">
        <v>42375</v>
      </c>
      <c r="C595" s="497">
        <v>1000</v>
      </c>
      <c r="D595" s="498">
        <v>11.7</v>
      </c>
      <c r="E595" s="499">
        <v>0</v>
      </c>
      <c r="F595" s="499">
        <f t="shared" si="109"/>
        <v>11700</v>
      </c>
      <c r="G595" s="496">
        <v>42461</v>
      </c>
      <c r="H595" s="513">
        <v>2000</v>
      </c>
      <c r="I595" s="498">
        <v>10.52</v>
      </c>
      <c r="J595" s="499">
        <v>0.46</v>
      </c>
      <c r="K595" s="499">
        <f t="shared" si="108"/>
        <v>21039.54</v>
      </c>
      <c r="L595" s="497"/>
      <c r="M595" s="499"/>
    </row>
    <row r="596" spans="1:13" x14ac:dyDescent="0.25">
      <c r="A596" s="497"/>
      <c r="B596" s="545">
        <v>42402</v>
      </c>
      <c r="C596" s="497">
        <v>400</v>
      </c>
      <c r="D596" s="498">
        <v>9.1</v>
      </c>
      <c r="E596" s="499">
        <v>0</v>
      </c>
      <c r="F596" s="499">
        <f t="shared" si="109"/>
        <v>3640</v>
      </c>
      <c r="G596" s="496">
        <v>42461</v>
      </c>
      <c r="H596" s="513">
        <v>2000</v>
      </c>
      <c r="I596" s="498">
        <v>10.55</v>
      </c>
      <c r="J596" s="499">
        <v>0.46</v>
      </c>
      <c r="K596" s="499">
        <f t="shared" si="108"/>
        <v>21099.54</v>
      </c>
      <c r="L596" s="497"/>
      <c r="M596" s="499"/>
    </row>
    <row r="597" spans="1:13" x14ac:dyDescent="0.25">
      <c r="A597" s="497"/>
      <c r="B597" s="545">
        <v>42411</v>
      </c>
      <c r="C597" s="497">
        <v>500</v>
      </c>
      <c r="D597" s="498">
        <v>6.835</v>
      </c>
      <c r="E597" s="499">
        <v>0</v>
      </c>
      <c r="F597" s="499">
        <f t="shared" si="109"/>
        <v>3417.5</v>
      </c>
      <c r="G597" s="496">
        <v>42465</v>
      </c>
      <c r="H597" s="513">
        <v>100</v>
      </c>
      <c r="I597" s="498">
        <v>10.75</v>
      </c>
      <c r="J597" s="499">
        <v>0.02</v>
      </c>
      <c r="K597" s="499">
        <f t="shared" si="108"/>
        <v>1074.98</v>
      </c>
      <c r="L597" s="497"/>
      <c r="M597" s="499"/>
    </row>
    <row r="598" spans="1:13" x14ac:dyDescent="0.25">
      <c r="A598" s="497"/>
      <c r="B598" s="545">
        <v>42412</v>
      </c>
      <c r="C598" s="497">
        <v>200</v>
      </c>
      <c r="D598" s="498">
        <v>7.23</v>
      </c>
      <c r="E598" s="499">
        <v>0</v>
      </c>
      <c r="F598" s="499">
        <f t="shared" si="109"/>
        <v>1446</v>
      </c>
      <c r="G598" s="496">
        <v>42468</v>
      </c>
      <c r="H598" s="513">
        <v>1000</v>
      </c>
      <c r="I598" s="498">
        <v>11.77</v>
      </c>
      <c r="J598" s="499">
        <v>0.26</v>
      </c>
      <c r="K598" s="499">
        <f t="shared" si="108"/>
        <v>11769.74</v>
      </c>
      <c r="L598" s="497"/>
      <c r="M598" s="499"/>
    </row>
    <row r="599" spans="1:13" x14ac:dyDescent="0.25">
      <c r="A599" s="497"/>
      <c r="B599" s="545">
        <v>42416</v>
      </c>
      <c r="C599" s="497">
        <v>500</v>
      </c>
      <c r="D599" s="498">
        <v>7.5</v>
      </c>
      <c r="E599" s="499">
        <v>0</v>
      </c>
      <c r="F599" s="499">
        <f t="shared" si="109"/>
        <v>3750</v>
      </c>
      <c r="G599" s="609">
        <v>42472</v>
      </c>
      <c r="H599" s="513">
        <v>420</v>
      </c>
      <c r="I599" s="498">
        <v>13.35</v>
      </c>
      <c r="J599" s="499">
        <v>0.15</v>
      </c>
      <c r="K599" s="499">
        <f t="shared" si="108"/>
        <v>5606.85</v>
      </c>
      <c r="L599" s="497"/>
      <c r="M599" s="499"/>
    </row>
    <row r="600" spans="1:13" ht="30" x14ac:dyDescent="0.25">
      <c r="A600" s="497"/>
      <c r="B600" s="612" t="s">
        <v>179</v>
      </c>
      <c r="C600" s="497">
        <v>3000</v>
      </c>
      <c r="D600" s="498">
        <v>7.55</v>
      </c>
      <c r="E600" s="499">
        <v>0</v>
      </c>
      <c r="F600" s="499">
        <f t="shared" si="109"/>
        <v>22650</v>
      </c>
      <c r="G600" s="609"/>
      <c r="H600" s="513">
        <v>80</v>
      </c>
      <c r="I600" s="498">
        <v>13.35</v>
      </c>
      <c r="J600" s="499">
        <v>0</v>
      </c>
      <c r="K600" s="499">
        <f t="shared" si="108"/>
        <v>1068</v>
      </c>
      <c r="L600" s="497"/>
      <c r="M600" s="499"/>
    </row>
    <row r="601" spans="1:13" x14ac:dyDescent="0.25">
      <c r="A601" s="497"/>
      <c r="B601" s="612"/>
      <c r="C601" s="497">
        <v>500</v>
      </c>
      <c r="D601" s="498">
        <v>6.75</v>
      </c>
      <c r="E601" s="499">
        <v>0</v>
      </c>
      <c r="F601" s="499">
        <f t="shared" si="109"/>
        <v>3375</v>
      </c>
      <c r="G601" s="496">
        <v>42472</v>
      </c>
      <c r="H601" s="513">
        <v>500</v>
      </c>
      <c r="I601" s="498">
        <v>13.15</v>
      </c>
      <c r="J601" s="499">
        <v>0.14000000000000001</v>
      </c>
      <c r="K601" s="499">
        <f t="shared" si="108"/>
        <v>6574.86</v>
      </c>
      <c r="L601" s="497"/>
      <c r="M601" s="499"/>
    </row>
    <row r="602" spans="1:13" x14ac:dyDescent="0.25">
      <c r="A602" s="497"/>
      <c r="B602" s="612"/>
      <c r="C602" s="497">
        <v>300</v>
      </c>
      <c r="D602" s="498">
        <v>6.75</v>
      </c>
      <c r="E602" s="499">
        <v>0</v>
      </c>
      <c r="F602" s="499">
        <f t="shared" si="109"/>
        <v>2025</v>
      </c>
      <c r="G602" s="496">
        <v>42472</v>
      </c>
      <c r="H602" s="513">
        <v>500</v>
      </c>
      <c r="I602" s="498">
        <v>12.92</v>
      </c>
      <c r="J602" s="499">
        <v>0.14000000000000001</v>
      </c>
      <c r="K602" s="499">
        <f t="shared" si="108"/>
        <v>6459.86</v>
      </c>
      <c r="L602" s="497"/>
      <c r="M602" s="499"/>
    </row>
    <row r="603" spans="1:13" x14ac:dyDescent="0.25">
      <c r="A603" s="497"/>
      <c r="B603" s="545">
        <v>42426</v>
      </c>
      <c r="C603" s="497">
        <v>600</v>
      </c>
      <c r="D603" s="498">
        <v>7.63</v>
      </c>
      <c r="E603" s="499">
        <v>0</v>
      </c>
      <c r="F603" s="499">
        <f t="shared" si="109"/>
        <v>4578</v>
      </c>
      <c r="G603" s="496">
        <v>42472</v>
      </c>
      <c r="H603" s="513">
        <v>500</v>
      </c>
      <c r="I603" s="498">
        <v>12.59</v>
      </c>
      <c r="J603" s="499">
        <v>0.14000000000000001</v>
      </c>
      <c r="K603" s="499">
        <f t="shared" si="108"/>
        <v>6294.86</v>
      </c>
      <c r="L603" s="497"/>
      <c r="M603" s="499"/>
    </row>
    <row r="604" spans="1:13" x14ac:dyDescent="0.25">
      <c r="A604" s="497"/>
      <c r="B604" s="545">
        <v>42426</v>
      </c>
      <c r="C604" s="497">
        <v>2000</v>
      </c>
      <c r="D604" s="498">
        <v>7.95</v>
      </c>
      <c r="E604" s="499">
        <v>0</v>
      </c>
      <c r="F604" s="499">
        <f t="shared" si="109"/>
        <v>15900</v>
      </c>
      <c r="G604" s="496">
        <v>42474</v>
      </c>
      <c r="H604" s="513">
        <v>500</v>
      </c>
      <c r="I604" s="498">
        <v>13.18</v>
      </c>
      <c r="J604" s="499">
        <v>0.14000000000000001</v>
      </c>
      <c r="K604" s="499">
        <f t="shared" si="108"/>
        <v>6589.86</v>
      </c>
      <c r="L604" s="497"/>
      <c r="M604" s="499"/>
    </row>
    <row r="605" spans="1:13" x14ac:dyDescent="0.25">
      <c r="A605" s="497"/>
      <c r="B605" s="545">
        <v>42429</v>
      </c>
      <c r="C605" s="497">
        <v>2000</v>
      </c>
      <c r="D605" s="498">
        <v>8.1999999999999993</v>
      </c>
      <c r="E605" s="499">
        <v>0</v>
      </c>
      <c r="F605" s="499">
        <f t="shared" si="109"/>
        <v>16400</v>
      </c>
      <c r="G605" s="496">
        <v>42478</v>
      </c>
      <c r="H605" s="513">
        <v>500</v>
      </c>
      <c r="I605" s="498">
        <v>13.4</v>
      </c>
      <c r="J605" s="499">
        <v>0.15</v>
      </c>
      <c r="K605" s="499">
        <f t="shared" si="108"/>
        <v>6699.85</v>
      </c>
      <c r="L605" s="497"/>
      <c r="M605" s="499"/>
    </row>
    <row r="606" spans="1:13" x14ac:dyDescent="0.25">
      <c r="A606" s="499"/>
      <c r="B606" s="545">
        <v>42429</v>
      </c>
      <c r="C606" s="497">
        <v>500</v>
      </c>
      <c r="D606" s="498">
        <v>7.88</v>
      </c>
      <c r="E606" s="499">
        <v>0</v>
      </c>
      <c r="F606" s="499">
        <f t="shared" si="109"/>
        <v>3940</v>
      </c>
      <c r="G606" s="496">
        <v>42486</v>
      </c>
      <c r="H606" s="513">
        <v>500</v>
      </c>
      <c r="I606" s="498">
        <v>14.35</v>
      </c>
      <c r="J606" s="499">
        <v>0.16</v>
      </c>
      <c r="K606" s="499">
        <f t="shared" si="108"/>
        <v>7174.84</v>
      </c>
      <c r="L606" s="497"/>
      <c r="M606" s="499"/>
    </row>
    <row r="607" spans="1:13" x14ac:dyDescent="0.25">
      <c r="A607" s="497"/>
      <c r="B607" s="545">
        <v>42430</v>
      </c>
      <c r="C607" s="497">
        <v>1000</v>
      </c>
      <c r="D607" s="498">
        <v>7.77</v>
      </c>
      <c r="E607" s="499">
        <v>0</v>
      </c>
      <c r="F607" s="499">
        <f t="shared" si="109"/>
        <v>7770</v>
      </c>
      <c r="G607" s="496">
        <v>42487</v>
      </c>
      <c r="H607" s="513">
        <v>600</v>
      </c>
      <c r="I607" s="498">
        <v>14.85</v>
      </c>
      <c r="J607" s="499">
        <v>0.19</v>
      </c>
      <c r="K607" s="499">
        <f t="shared" si="108"/>
        <v>8909.81</v>
      </c>
      <c r="L607" s="497"/>
      <c r="M607" s="499"/>
    </row>
    <row r="608" spans="1:13" x14ac:dyDescent="0.25">
      <c r="A608" s="497"/>
      <c r="B608" s="545">
        <v>42430</v>
      </c>
      <c r="C608" s="497">
        <v>500</v>
      </c>
      <c r="D608" s="498">
        <v>7.94</v>
      </c>
      <c r="E608" s="499">
        <v>0</v>
      </c>
      <c r="F608" s="499">
        <f t="shared" si="109"/>
        <v>3970</v>
      </c>
      <c r="G608" s="496">
        <v>42489</v>
      </c>
      <c r="H608" s="513">
        <v>3000</v>
      </c>
      <c r="I608" s="498">
        <v>14.15</v>
      </c>
      <c r="J608" s="499">
        <v>0.93</v>
      </c>
      <c r="K608" s="499">
        <f t="shared" si="108"/>
        <v>42449.07</v>
      </c>
      <c r="L608" s="497"/>
      <c r="M608" s="499"/>
    </row>
    <row r="609" spans="1:13" x14ac:dyDescent="0.25">
      <c r="A609" s="497"/>
      <c r="B609" s="545">
        <v>42431</v>
      </c>
      <c r="C609" s="497">
        <v>1000</v>
      </c>
      <c r="D609" s="498">
        <v>8.3699999999999992</v>
      </c>
      <c r="E609" s="499">
        <v>0</v>
      </c>
      <c r="F609" s="499">
        <f t="shared" si="109"/>
        <v>8370</v>
      </c>
      <c r="G609" s="496">
        <v>42492</v>
      </c>
      <c r="H609" s="513">
        <v>1000</v>
      </c>
      <c r="I609" s="498">
        <v>13.48</v>
      </c>
      <c r="J609" s="499">
        <v>0.28999999999999998</v>
      </c>
      <c r="K609" s="499">
        <f t="shared" si="108"/>
        <v>13479.71</v>
      </c>
      <c r="L609" s="497"/>
      <c r="M609" s="499"/>
    </row>
    <row r="610" spans="1:13" x14ac:dyDescent="0.25">
      <c r="A610" s="497"/>
      <c r="B610" s="545">
        <v>42432</v>
      </c>
      <c r="C610" s="497">
        <v>600</v>
      </c>
      <c r="D610" s="498">
        <v>9.3699999999999992</v>
      </c>
      <c r="E610" s="499">
        <v>0</v>
      </c>
      <c r="F610" s="499">
        <f t="shared" si="109"/>
        <v>5621.9999999999991</v>
      </c>
      <c r="G610" s="496">
        <v>42492</v>
      </c>
      <c r="H610" s="513">
        <v>1000</v>
      </c>
      <c r="I610" s="498">
        <v>13.61</v>
      </c>
      <c r="J610" s="499">
        <v>0.3</v>
      </c>
      <c r="K610" s="499">
        <f t="shared" si="108"/>
        <v>13609.7</v>
      </c>
      <c r="L610" s="497"/>
      <c r="M610" s="499"/>
    </row>
    <row r="611" spans="1:13" x14ac:dyDescent="0.25">
      <c r="A611" s="497"/>
      <c r="B611" s="545">
        <v>42432</v>
      </c>
      <c r="C611" s="497">
        <v>600</v>
      </c>
      <c r="D611" s="498">
        <v>8.8800000000000008</v>
      </c>
      <c r="E611" s="499">
        <v>0</v>
      </c>
      <c r="F611" s="499">
        <f t="shared" si="109"/>
        <v>5328.0000000000009</v>
      </c>
      <c r="G611" s="496">
        <v>42493</v>
      </c>
      <c r="H611" s="513">
        <v>322</v>
      </c>
      <c r="I611" s="498">
        <v>13.28</v>
      </c>
      <c r="J611" s="499">
        <v>0.09</v>
      </c>
      <c r="K611" s="499">
        <f t="shared" si="108"/>
        <v>4276.07</v>
      </c>
      <c r="L611" s="497"/>
      <c r="M611" s="499"/>
    </row>
    <row r="612" spans="1:13" x14ac:dyDescent="0.25">
      <c r="A612" s="497"/>
      <c r="B612" s="545">
        <v>42433</v>
      </c>
      <c r="C612" s="497">
        <v>600</v>
      </c>
      <c r="D612" s="498">
        <v>10.42</v>
      </c>
      <c r="E612" s="499">
        <v>0</v>
      </c>
      <c r="F612" s="499">
        <f t="shared" si="109"/>
        <v>6252</v>
      </c>
      <c r="G612" s="496">
        <v>42495</v>
      </c>
      <c r="H612" s="513">
        <v>1000</v>
      </c>
      <c r="I612" s="498">
        <v>12.05</v>
      </c>
      <c r="J612" s="499">
        <v>0.26</v>
      </c>
      <c r="K612" s="499">
        <f t="shared" si="108"/>
        <v>12049.74</v>
      </c>
      <c r="L612" s="497"/>
      <c r="M612" s="499"/>
    </row>
    <row r="613" spans="1:13" x14ac:dyDescent="0.25">
      <c r="A613" s="497"/>
      <c r="B613" s="545">
        <v>42440</v>
      </c>
      <c r="C613" s="497">
        <v>400</v>
      </c>
      <c r="D613" s="498">
        <v>11.12</v>
      </c>
      <c r="E613" s="499">
        <v>0</v>
      </c>
      <c r="F613" s="499">
        <f t="shared" si="109"/>
        <v>4448</v>
      </c>
      <c r="G613" s="496">
        <v>42495</v>
      </c>
      <c r="H613" s="513">
        <v>2000</v>
      </c>
      <c r="I613" s="498">
        <v>12.63</v>
      </c>
      <c r="J613" s="499">
        <v>0.55000000000000004</v>
      </c>
      <c r="K613" s="499">
        <f t="shared" si="108"/>
        <v>25259.45</v>
      </c>
      <c r="L613" s="497"/>
      <c r="M613" s="499"/>
    </row>
    <row r="614" spans="1:13" x14ac:dyDescent="0.25">
      <c r="A614" s="497"/>
      <c r="B614" s="545">
        <v>42446</v>
      </c>
      <c r="C614" s="497">
        <v>1500</v>
      </c>
      <c r="D614" s="498">
        <v>11.445</v>
      </c>
      <c r="E614" s="499">
        <v>0</v>
      </c>
      <c r="F614" s="499">
        <f t="shared" si="109"/>
        <v>17167.5</v>
      </c>
      <c r="G614" s="496">
        <v>42500</v>
      </c>
      <c r="H614" s="513">
        <v>1000</v>
      </c>
      <c r="I614" s="498">
        <v>11.66</v>
      </c>
      <c r="J614" s="499">
        <v>5.25</v>
      </c>
      <c r="K614" s="499">
        <f t="shared" si="108"/>
        <v>11654.75</v>
      </c>
      <c r="L614" s="497"/>
      <c r="M614" s="499"/>
    </row>
    <row r="615" spans="1:13" x14ac:dyDescent="0.25">
      <c r="A615" s="497"/>
      <c r="B615" s="608">
        <v>42447</v>
      </c>
      <c r="C615" s="497">
        <v>1500</v>
      </c>
      <c r="D615" s="498">
        <v>11.42</v>
      </c>
      <c r="E615" s="499">
        <v>0</v>
      </c>
      <c r="F615" s="499">
        <f t="shared" si="109"/>
        <v>17130</v>
      </c>
      <c r="G615" s="496">
        <v>42502</v>
      </c>
      <c r="H615" s="513">
        <v>1500</v>
      </c>
      <c r="I615" s="498">
        <v>12.36</v>
      </c>
      <c r="J615" s="499">
        <v>0.4</v>
      </c>
      <c r="K615" s="499">
        <f t="shared" si="108"/>
        <v>18539.599999999999</v>
      </c>
      <c r="L615" s="497"/>
      <c r="M615" s="499"/>
    </row>
    <row r="616" spans="1:13" x14ac:dyDescent="0.25">
      <c r="A616" s="497"/>
      <c r="B616" s="613"/>
      <c r="C616" s="497">
        <v>500</v>
      </c>
      <c r="D616" s="498">
        <v>11.42</v>
      </c>
      <c r="E616" s="499">
        <v>0</v>
      </c>
      <c r="F616" s="499">
        <f t="shared" si="109"/>
        <v>5710</v>
      </c>
      <c r="G616" s="496">
        <v>42503</v>
      </c>
      <c r="H616" s="513">
        <v>500</v>
      </c>
      <c r="I616" s="498">
        <v>12.49</v>
      </c>
      <c r="J616" s="499">
        <v>0.14000000000000001</v>
      </c>
      <c r="K616" s="499">
        <f t="shared" si="108"/>
        <v>6244.86</v>
      </c>
      <c r="L616" s="497"/>
      <c r="M616" s="499"/>
    </row>
    <row r="617" spans="1:13" x14ac:dyDescent="0.25">
      <c r="A617" s="497"/>
      <c r="B617" s="545">
        <v>42447</v>
      </c>
      <c r="C617" s="497">
        <v>650</v>
      </c>
      <c r="D617" s="498">
        <v>11.545</v>
      </c>
      <c r="E617" s="499">
        <v>0.75</v>
      </c>
      <c r="F617" s="499">
        <f t="shared" si="109"/>
        <v>7505</v>
      </c>
      <c r="G617" s="496">
        <v>42506</v>
      </c>
      <c r="H617" s="513">
        <v>300</v>
      </c>
      <c r="I617" s="498">
        <v>12.85</v>
      </c>
      <c r="J617" s="499">
        <v>0.08</v>
      </c>
      <c r="K617" s="499">
        <f t="shared" si="108"/>
        <v>3854.92</v>
      </c>
      <c r="L617" s="497"/>
      <c r="M617" s="499"/>
    </row>
    <row r="618" spans="1:13" x14ac:dyDescent="0.25">
      <c r="A618" s="497"/>
      <c r="B618" s="545">
        <v>42450</v>
      </c>
      <c r="C618" s="497">
        <v>1350</v>
      </c>
      <c r="D618" s="498">
        <v>11.42</v>
      </c>
      <c r="E618" s="499">
        <v>0</v>
      </c>
      <c r="F618" s="499">
        <f t="shared" si="109"/>
        <v>15417</v>
      </c>
      <c r="G618" s="496">
        <v>42513</v>
      </c>
      <c r="H618" s="513">
        <v>500</v>
      </c>
      <c r="I618" s="498">
        <v>13.05</v>
      </c>
      <c r="J618" s="499">
        <v>0.14000000000000001</v>
      </c>
      <c r="K618" s="499">
        <f t="shared" si="108"/>
        <v>6524.86</v>
      </c>
      <c r="L618" s="497"/>
      <c r="M618" s="499"/>
    </row>
    <row r="619" spans="1:13" x14ac:dyDescent="0.25">
      <c r="A619" s="497"/>
      <c r="B619" s="545">
        <v>42451</v>
      </c>
      <c r="C619" s="497">
        <v>1000</v>
      </c>
      <c r="D619" s="498">
        <v>11.38</v>
      </c>
      <c r="E619" s="499">
        <v>0</v>
      </c>
      <c r="F619" s="499">
        <f t="shared" si="109"/>
        <v>11380</v>
      </c>
      <c r="G619" s="496">
        <v>42515</v>
      </c>
      <c r="H619" s="513">
        <v>500</v>
      </c>
      <c r="I619" s="498">
        <v>13.59</v>
      </c>
      <c r="J619" s="499">
        <v>0.15</v>
      </c>
      <c r="K619" s="499">
        <f t="shared" si="108"/>
        <v>6794.85</v>
      </c>
      <c r="L619" s="497"/>
      <c r="M619" s="499"/>
    </row>
    <row r="620" spans="1:13" x14ac:dyDescent="0.25">
      <c r="A620" s="497"/>
      <c r="B620" s="608">
        <v>42451</v>
      </c>
      <c r="C620" s="497">
        <v>50</v>
      </c>
      <c r="D620" s="498">
        <v>11.22</v>
      </c>
      <c r="E620" s="499">
        <v>0</v>
      </c>
      <c r="F620" s="499">
        <f t="shared" si="109"/>
        <v>561</v>
      </c>
      <c r="G620" s="496">
        <v>42515</v>
      </c>
      <c r="H620" s="513">
        <v>500</v>
      </c>
      <c r="I620" s="498">
        <v>13.57</v>
      </c>
      <c r="J620" s="499">
        <v>0.15</v>
      </c>
      <c r="K620" s="499">
        <f t="shared" si="108"/>
        <v>6784.85</v>
      </c>
      <c r="L620" s="497"/>
      <c r="M620" s="499"/>
    </row>
    <row r="621" spans="1:13" x14ac:dyDescent="0.25">
      <c r="A621" s="497"/>
      <c r="B621" s="608"/>
      <c r="C621" s="497">
        <v>350</v>
      </c>
      <c r="D621" s="498">
        <v>11.22</v>
      </c>
      <c r="E621" s="499">
        <v>0</v>
      </c>
      <c r="F621" s="499">
        <f t="shared" si="109"/>
        <v>3927</v>
      </c>
      <c r="G621" s="496">
        <v>42517</v>
      </c>
      <c r="H621" s="513">
        <v>500</v>
      </c>
      <c r="I621" s="498">
        <v>12.87</v>
      </c>
      <c r="J621" s="499">
        <v>0.14000000000000001</v>
      </c>
      <c r="K621" s="499">
        <f t="shared" si="108"/>
        <v>6434.86</v>
      </c>
      <c r="L621" s="497"/>
      <c r="M621" s="499"/>
    </row>
    <row r="622" spans="1:13" ht="45" x14ac:dyDescent="0.25">
      <c r="A622" s="497"/>
      <c r="B622" s="612" t="s">
        <v>192</v>
      </c>
      <c r="C622" s="497">
        <v>650</v>
      </c>
      <c r="D622" s="498">
        <v>11.22</v>
      </c>
      <c r="E622" s="499">
        <v>0</v>
      </c>
      <c r="F622" s="499">
        <f t="shared" si="109"/>
        <v>7293</v>
      </c>
      <c r="G622" s="496">
        <v>42524</v>
      </c>
      <c r="H622" s="513">
        <v>400</v>
      </c>
      <c r="I622" s="498">
        <v>13.38</v>
      </c>
      <c r="J622" s="499">
        <v>0.12</v>
      </c>
      <c r="K622" s="499">
        <f t="shared" si="108"/>
        <v>5351.88</v>
      </c>
      <c r="L622" s="497"/>
      <c r="M622" s="499"/>
    </row>
    <row r="623" spans="1:13" x14ac:dyDescent="0.25">
      <c r="A623" s="497"/>
      <c r="B623" s="612"/>
      <c r="C623" s="497">
        <v>500</v>
      </c>
      <c r="D623" s="498">
        <v>11.01</v>
      </c>
      <c r="E623" s="499">
        <v>0</v>
      </c>
      <c r="F623" s="499">
        <f t="shared" si="109"/>
        <v>5505</v>
      </c>
      <c r="G623" s="496">
        <v>42527</v>
      </c>
      <c r="H623" s="513">
        <v>1000</v>
      </c>
      <c r="I623" s="498">
        <v>13.82</v>
      </c>
      <c r="J623" s="499">
        <v>0.3</v>
      </c>
      <c r="K623" s="499">
        <f t="shared" si="108"/>
        <v>13819.7</v>
      </c>
      <c r="L623" s="497"/>
      <c r="M623" s="499"/>
    </row>
    <row r="624" spans="1:13" x14ac:dyDescent="0.25">
      <c r="A624" s="497"/>
      <c r="B624" s="612"/>
      <c r="C624" s="497">
        <v>500</v>
      </c>
      <c r="D624" s="498">
        <v>10.75</v>
      </c>
      <c r="E624" s="499">
        <v>0</v>
      </c>
      <c r="F624" s="499">
        <f t="shared" si="109"/>
        <v>5375</v>
      </c>
      <c r="G624" s="496">
        <v>42527</v>
      </c>
      <c r="H624" s="513">
        <v>500</v>
      </c>
      <c r="I624" s="498">
        <v>13.97</v>
      </c>
      <c r="J624" s="499">
        <v>1.1499999999999999</v>
      </c>
      <c r="K624" s="499">
        <f t="shared" si="108"/>
        <v>6983.85</v>
      </c>
      <c r="L624" s="497"/>
      <c r="M624" s="499"/>
    </row>
    <row r="625" spans="1:13" x14ac:dyDescent="0.25">
      <c r="A625" s="497"/>
      <c r="B625" s="612"/>
      <c r="C625" s="497">
        <v>1000</v>
      </c>
      <c r="D625" s="498">
        <v>10.4</v>
      </c>
      <c r="E625" s="499">
        <v>0</v>
      </c>
      <c r="F625" s="499">
        <f t="shared" si="109"/>
        <v>10400</v>
      </c>
      <c r="G625" s="496">
        <v>42528</v>
      </c>
      <c r="H625" s="513">
        <v>500</v>
      </c>
      <c r="I625" s="498">
        <v>14.65</v>
      </c>
      <c r="J625" s="499">
        <v>0.16</v>
      </c>
      <c r="K625" s="499">
        <f t="shared" si="108"/>
        <v>7324.84</v>
      </c>
      <c r="L625" s="497"/>
      <c r="M625" s="499"/>
    </row>
    <row r="626" spans="1:13" x14ac:dyDescent="0.25">
      <c r="A626" s="497"/>
      <c r="B626" s="612"/>
      <c r="C626" s="497">
        <v>1000</v>
      </c>
      <c r="D626" s="498">
        <v>10.185</v>
      </c>
      <c r="E626" s="499">
        <v>0</v>
      </c>
      <c r="F626" s="499">
        <f t="shared" si="109"/>
        <v>10185</v>
      </c>
      <c r="G626" s="496">
        <v>42536</v>
      </c>
      <c r="H626" s="513">
        <v>400</v>
      </c>
      <c r="I626" s="498">
        <v>13.43</v>
      </c>
      <c r="J626" s="499">
        <v>0.12</v>
      </c>
      <c r="K626" s="499">
        <f t="shared" si="108"/>
        <v>5371.88</v>
      </c>
      <c r="L626" s="497"/>
      <c r="M626" s="499"/>
    </row>
    <row r="627" spans="1:13" x14ac:dyDescent="0.25">
      <c r="A627" s="497"/>
      <c r="B627" s="545">
        <v>42461</v>
      </c>
      <c r="C627" s="497">
        <v>2000</v>
      </c>
      <c r="D627" s="498">
        <v>10.43</v>
      </c>
      <c r="E627" s="499">
        <v>0</v>
      </c>
      <c r="F627" s="499">
        <f t="shared" si="109"/>
        <v>20860</v>
      </c>
      <c r="G627" s="496">
        <v>42537</v>
      </c>
      <c r="H627" s="513">
        <v>400</v>
      </c>
      <c r="I627" s="498">
        <v>12.69</v>
      </c>
      <c r="J627" s="499">
        <v>0.11</v>
      </c>
      <c r="K627" s="499">
        <f t="shared" si="108"/>
        <v>5075.8900000000003</v>
      </c>
      <c r="L627" s="497"/>
      <c r="M627" s="499"/>
    </row>
    <row r="628" spans="1:13" x14ac:dyDescent="0.25">
      <c r="A628" s="497"/>
      <c r="B628" s="545">
        <v>42461</v>
      </c>
      <c r="C628" s="497">
        <v>2000</v>
      </c>
      <c r="D628" s="498">
        <v>10.42</v>
      </c>
      <c r="E628" s="499">
        <v>0</v>
      </c>
      <c r="F628" s="499">
        <f t="shared" si="109"/>
        <v>20840</v>
      </c>
      <c r="G628" s="496">
        <v>42538</v>
      </c>
      <c r="H628" s="513">
        <v>500</v>
      </c>
      <c r="I628" s="498">
        <v>13.34</v>
      </c>
      <c r="J628" s="499">
        <v>0.15</v>
      </c>
      <c r="K628" s="499">
        <f t="shared" si="108"/>
        <v>6669.85</v>
      </c>
      <c r="L628" s="497"/>
      <c r="M628" s="499"/>
    </row>
    <row r="629" spans="1:13" ht="45" x14ac:dyDescent="0.25">
      <c r="A629" s="497"/>
      <c r="B629" s="545">
        <v>42465</v>
      </c>
      <c r="C629" s="497">
        <v>100</v>
      </c>
      <c r="D629" s="498">
        <v>10.4</v>
      </c>
      <c r="E629" s="499">
        <v>0</v>
      </c>
      <c r="F629" s="499">
        <f t="shared" si="109"/>
        <v>1040</v>
      </c>
      <c r="G629" s="614" t="s">
        <v>216</v>
      </c>
      <c r="H629" s="513">
        <v>500</v>
      </c>
      <c r="I629" s="498">
        <v>13.91</v>
      </c>
      <c r="J629" s="499">
        <v>0.15</v>
      </c>
      <c r="K629" s="499">
        <f t="shared" si="108"/>
        <v>6954.85</v>
      </c>
      <c r="L629" s="497"/>
      <c r="M629" s="499"/>
    </row>
    <row r="630" spans="1:13" x14ac:dyDescent="0.25">
      <c r="A630" s="497"/>
      <c r="B630" s="545">
        <v>42471</v>
      </c>
      <c r="C630" s="497">
        <v>500</v>
      </c>
      <c r="D630" s="498">
        <v>11.77</v>
      </c>
      <c r="E630" s="499">
        <v>0</v>
      </c>
      <c r="F630" s="499">
        <f t="shared" si="109"/>
        <v>5885</v>
      </c>
      <c r="G630" s="614"/>
      <c r="H630" s="513">
        <v>600</v>
      </c>
      <c r="I630" s="498">
        <v>14.36</v>
      </c>
      <c r="J630" s="499">
        <v>0.19</v>
      </c>
      <c r="K630" s="499">
        <f t="shared" si="108"/>
        <v>8615.81</v>
      </c>
      <c r="L630" s="497"/>
      <c r="M630" s="499"/>
    </row>
    <row r="631" spans="1:13" x14ac:dyDescent="0.25">
      <c r="A631" s="497"/>
      <c r="B631" s="545">
        <v>42471</v>
      </c>
      <c r="C631" s="497">
        <v>500</v>
      </c>
      <c r="D631" s="498">
        <v>11.55</v>
      </c>
      <c r="E631" s="499">
        <v>0</v>
      </c>
      <c r="F631" s="499">
        <f t="shared" si="109"/>
        <v>5775</v>
      </c>
      <c r="G631" s="614"/>
      <c r="H631" s="513">
        <v>500</v>
      </c>
      <c r="I631" s="498">
        <v>14.65</v>
      </c>
      <c r="J631" s="499">
        <v>0.16</v>
      </c>
      <c r="K631" s="499">
        <f t="shared" si="108"/>
        <v>7324.84</v>
      </c>
      <c r="L631" s="497"/>
      <c r="M631" s="499"/>
    </row>
    <row r="632" spans="1:13" x14ac:dyDescent="0.25">
      <c r="A632" s="497"/>
      <c r="B632" s="545">
        <v>42472</v>
      </c>
      <c r="C632" s="497">
        <v>610</v>
      </c>
      <c r="D632" s="498">
        <v>12.95</v>
      </c>
      <c r="E632" s="499">
        <v>0</v>
      </c>
      <c r="F632" s="499">
        <f t="shared" si="109"/>
        <v>7899.5</v>
      </c>
      <c r="G632" s="496">
        <v>42542</v>
      </c>
      <c r="H632" s="513">
        <v>500</v>
      </c>
      <c r="I632" s="498">
        <v>14.95</v>
      </c>
      <c r="J632" s="499">
        <v>0.16</v>
      </c>
      <c r="K632" s="499">
        <f t="shared" si="108"/>
        <v>7474.84</v>
      </c>
      <c r="L632" s="497"/>
      <c r="M632" s="499"/>
    </row>
    <row r="633" spans="1:13" x14ac:dyDescent="0.25">
      <c r="A633" s="497"/>
      <c r="B633" s="545">
        <v>42473</v>
      </c>
      <c r="C633" s="497">
        <v>970</v>
      </c>
      <c r="D633" s="498">
        <v>12.76</v>
      </c>
      <c r="E633" s="499">
        <v>4.0999999999999996</v>
      </c>
      <c r="F633" s="499">
        <f t="shared" si="109"/>
        <v>12381.3</v>
      </c>
      <c r="G633" s="496">
        <v>42542</v>
      </c>
      <c r="H633" s="513">
        <v>378</v>
      </c>
      <c r="I633" s="498">
        <v>15.2</v>
      </c>
      <c r="J633" s="499">
        <v>0.13</v>
      </c>
      <c r="K633" s="499">
        <f t="shared" si="108"/>
        <v>5745.4699999999993</v>
      </c>
      <c r="L633" s="497"/>
      <c r="M633" s="499"/>
    </row>
    <row r="634" spans="1:13" x14ac:dyDescent="0.25">
      <c r="A634" s="497"/>
      <c r="B634" s="545">
        <v>42474</v>
      </c>
      <c r="C634" s="497">
        <v>420</v>
      </c>
      <c r="D634" s="498">
        <v>12.755000000000001</v>
      </c>
      <c r="E634" s="499">
        <v>0.34</v>
      </c>
      <c r="F634" s="499">
        <f t="shared" si="109"/>
        <v>5357.4400000000005</v>
      </c>
      <c r="G634" s="497"/>
      <c r="H634" s="513"/>
      <c r="I634" s="498"/>
      <c r="J634" s="499"/>
      <c r="K634" s="499"/>
      <c r="L634" s="497"/>
      <c r="M634" s="499"/>
    </row>
    <row r="635" spans="1:13" x14ac:dyDescent="0.25">
      <c r="A635" s="497"/>
      <c r="B635" s="545">
        <v>42475</v>
      </c>
      <c r="C635" s="497">
        <v>500</v>
      </c>
      <c r="D635" s="498">
        <v>13.02</v>
      </c>
      <c r="E635" s="499">
        <v>-1.75</v>
      </c>
      <c r="F635" s="499">
        <f t="shared" si="109"/>
        <v>6508.25</v>
      </c>
      <c r="G635" s="497"/>
      <c r="H635" s="513"/>
      <c r="I635" s="498"/>
      <c r="J635" s="499"/>
      <c r="K635" s="499"/>
      <c r="L635" s="497"/>
      <c r="M635" s="499"/>
    </row>
    <row r="636" spans="1:13" x14ac:dyDescent="0.25">
      <c r="A636" s="497"/>
      <c r="B636" s="545">
        <v>42485</v>
      </c>
      <c r="C636" s="497">
        <v>500</v>
      </c>
      <c r="D636" s="498">
        <v>13.95</v>
      </c>
      <c r="E636" s="499">
        <v>0</v>
      </c>
      <c r="F636" s="499">
        <f t="shared" si="109"/>
        <v>6975</v>
      </c>
      <c r="G636" s="497"/>
      <c r="H636" s="513"/>
      <c r="I636" s="498"/>
      <c r="J636" s="499"/>
      <c r="K636" s="499"/>
      <c r="L636" s="497"/>
      <c r="M636" s="499"/>
    </row>
    <row r="637" spans="1:13" x14ac:dyDescent="0.25">
      <c r="A637" s="497"/>
      <c r="B637" s="545">
        <v>42487</v>
      </c>
      <c r="C637" s="497">
        <v>600</v>
      </c>
      <c r="D637" s="498">
        <v>14.63</v>
      </c>
      <c r="E637" s="499">
        <v>0</v>
      </c>
      <c r="F637" s="499">
        <f t="shared" si="109"/>
        <v>8778</v>
      </c>
      <c r="G637" s="497"/>
      <c r="H637" s="513"/>
      <c r="I637" s="498"/>
      <c r="J637" s="499"/>
      <c r="K637" s="499"/>
      <c r="L637" s="497"/>
      <c r="M637" s="499"/>
    </row>
    <row r="638" spans="1:13" x14ac:dyDescent="0.25">
      <c r="A638" s="497"/>
      <c r="B638" s="545">
        <v>42488</v>
      </c>
      <c r="C638" s="497">
        <v>500</v>
      </c>
      <c r="D638" s="498">
        <v>14.52</v>
      </c>
      <c r="E638" s="499">
        <v>0</v>
      </c>
      <c r="F638" s="499">
        <f t="shared" si="109"/>
        <v>7260</v>
      </c>
      <c r="G638" s="497"/>
      <c r="H638" s="513"/>
      <c r="I638" s="498"/>
      <c r="J638" s="499"/>
      <c r="K638" s="499"/>
      <c r="L638" s="497"/>
      <c r="M638" s="499"/>
    </row>
    <row r="639" spans="1:13" ht="30" x14ac:dyDescent="0.25">
      <c r="A639" s="615" t="s">
        <v>197</v>
      </c>
      <c r="B639" s="545">
        <v>42489</v>
      </c>
      <c r="C639" s="497">
        <v>500</v>
      </c>
      <c r="D639" s="498">
        <v>14.35</v>
      </c>
      <c r="E639" s="499">
        <v>0</v>
      </c>
      <c r="F639" s="499">
        <f t="shared" si="109"/>
        <v>7175</v>
      </c>
      <c r="G639" s="497"/>
      <c r="H639" s="513"/>
      <c r="I639" s="498"/>
      <c r="J639" s="499"/>
      <c r="K639" s="499"/>
      <c r="L639" s="497"/>
      <c r="M639" s="499"/>
    </row>
    <row r="640" spans="1:13" x14ac:dyDescent="0.25">
      <c r="A640" s="615"/>
      <c r="B640" s="545">
        <v>42489</v>
      </c>
      <c r="C640" s="497">
        <v>500</v>
      </c>
      <c r="D640" s="498">
        <v>14.15</v>
      </c>
      <c r="E640" s="499">
        <v>0</v>
      </c>
      <c r="F640" s="499">
        <f t="shared" si="109"/>
        <v>7075</v>
      </c>
      <c r="G640" s="497"/>
      <c r="H640" s="513"/>
      <c r="I640" s="498"/>
      <c r="J640" s="499"/>
      <c r="K640" s="499"/>
      <c r="L640" s="497"/>
      <c r="M640" s="499"/>
    </row>
    <row r="641" spans="1:13" x14ac:dyDescent="0.25">
      <c r="A641" s="615"/>
      <c r="B641" s="545">
        <v>42489</v>
      </c>
      <c r="C641" s="497">
        <v>1000</v>
      </c>
      <c r="D641" s="498">
        <v>13.92</v>
      </c>
      <c r="E641" s="499">
        <v>0</v>
      </c>
      <c r="F641" s="499">
        <f t="shared" si="109"/>
        <v>13920</v>
      </c>
      <c r="G641" s="497"/>
      <c r="H641" s="513"/>
      <c r="I641" s="498"/>
      <c r="J641" s="499"/>
      <c r="K641" s="499"/>
      <c r="L641" s="497"/>
      <c r="M641" s="499"/>
    </row>
    <row r="642" spans="1:13" x14ac:dyDescent="0.25">
      <c r="A642" s="615"/>
      <c r="B642" s="545">
        <v>42489</v>
      </c>
      <c r="C642" s="497">
        <v>1000</v>
      </c>
      <c r="D642" s="498">
        <v>13.8</v>
      </c>
      <c r="E642" s="499">
        <v>0</v>
      </c>
      <c r="F642" s="499">
        <f t="shared" si="109"/>
        <v>13800</v>
      </c>
      <c r="G642" s="497"/>
      <c r="H642" s="513"/>
      <c r="I642" s="498"/>
      <c r="J642" s="499"/>
      <c r="K642" s="499"/>
      <c r="L642" s="497"/>
      <c r="M642" s="499"/>
    </row>
    <row r="643" spans="1:13" x14ac:dyDescent="0.25">
      <c r="A643" s="497"/>
      <c r="B643" s="545">
        <v>42492</v>
      </c>
      <c r="C643" s="497">
        <v>1500</v>
      </c>
      <c r="D643" s="498">
        <v>13.25</v>
      </c>
      <c r="E643" s="499">
        <v>0</v>
      </c>
      <c r="F643" s="499">
        <f t="shared" si="109"/>
        <v>19875</v>
      </c>
      <c r="G643" s="497"/>
      <c r="H643" s="513"/>
      <c r="I643" s="498"/>
      <c r="J643" s="499"/>
      <c r="K643" s="499"/>
      <c r="L643" s="497"/>
      <c r="M643" s="499"/>
    </row>
    <row r="644" spans="1:13" x14ac:dyDescent="0.25">
      <c r="A644" s="497"/>
      <c r="B644" s="545">
        <v>42492</v>
      </c>
      <c r="C644" s="497">
        <v>500</v>
      </c>
      <c r="D644" s="498">
        <v>13.6</v>
      </c>
      <c r="E644" s="499">
        <v>0</v>
      </c>
      <c r="F644" s="499">
        <f t="shared" si="109"/>
        <v>6800</v>
      </c>
      <c r="G644" s="497"/>
      <c r="H644" s="513"/>
      <c r="I644" s="498"/>
      <c r="J644" s="499"/>
      <c r="K644" s="499"/>
      <c r="L644" s="497"/>
      <c r="M644" s="499"/>
    </row>
    <row r="645" spans="1:13" x14ac:dyDescent="0.25">
      <c r="A645" s="497"/>
      <c r="B645" s="545">
        <v>42493</v>
      </c>
      <c r="C645" s="497">
        <v>322</v>
      </c>
      <c r="D645" s="498">
        <v>12.85</v>
      </c>
      <c r="E645" s="499">
        <v>0</v>
      </c>
      <c r="F645" s="499">
        <f t="shared" si="109"/>
        <v>4137.7</v>
      </c>
      <c r="G645" s="497"/>
      <c r="H645" s="513"/>
      <c r="I645" s="498"/>
      <c r="J645" s="499"/>
      <c r="K645" s="499"/>
      <c r="L645" s="497"/>
      <c r="M645" s="499"/>
    </row>
    <row r="646" spans="1:13" ht="30" x14ac:dyDescent="0.25">
      <c r="A646" s="599" t="s">
        <v>200</v>
      </c>
      <c r="B646" s="545">
        <v>42494</v>
      </c>
      <c r="C646" s="497">
        <v>1000</v>
      </c>
      <c r="D646" s="498">
        <v>12.25</v>
      </c>
      <c r="E646" s="499">
        <v>0</v>
      </c>
      <c r="F646" s="499">
        <f t="shared" si="109"/>
        <v>12250</v>
      </c>
      <c r="G646" s="497"/>
      <c r="H646" s="513"/>
      <c r="I646" s="498"/>
      <c r="J646" s="499"/>
      <c r="K646" s="499"/>
      <c r="L646" s="497"/>
      <c r="M646" s="499"/>
    </row>
    <row r="647" spans="1:13" x14ac:dyDescent="0.25">
      <c r="A647" s="599"/>
      <c r="B647" s="545">
        <v>42494</v>
      </c>
      <c r="C647" s="497">
        <v>500</v>
      </c>
      <c r="D647" s="498">
        <v>12.53</v>
      </c>
      <c r="E647" s="499">
        <v>0</v>
      </c>
      <c r="F647" s="499">
        <f t="shared" si="109"/>
        <v>6265</v>
      </c>
      <c r="G647" s="497"/>
      <c r="H647" s="513"/>
      <c r="I647" s="498"/>
      <c r="J647" s="499"/>
      <c r="K647" s="499"/>
      <c r="L647" s="497"/>
      <c r="M647" s="499"/>
    </row>
    <row r="648" spans="1:13" x14ac:dyDescent="0.25">
      <c r="A648" s="599"/>
      <c r="B648" s="545">
        <v>42494</v>
      </c>
      <c r="C648" s="497">
        <v>500</v>
      </c>
      <c r="D648" s="498">
        <v>12.65</v>
      </c>
      <c r="E648" s="499">
        <v>0</v>
      </c>
      <c r="F648" s="499">
        <f t="shared" si="109"/>
        <v>6325</v>
      </c>
      <c r="G648" s="497"/>
      <c r="H648" s="513"/>
      <c r="I648" s="498"/>
      <c r="J648" s="499"/>
      <c r="K648" s="499"/>
      <c r="L648" s="497"/>
      <c r="M648" s="499"/>
    </row>
    <row r="649" spans="1:13" x14ac:dyDescent="0.25">
      <c r="A649" s="497"/>
      <c r="B649" s="545">
        <v>42495</v>
      </c>
      <c r="C649" s="497">
        <v>1000</v>
      </c>
      <c r="D649" s="498">
        <v>11.95</v>
      </c>
      <c r="E649" s="499">
        <v>0</v>
      </c>
      <c r="F649" s="499">
        <f t="shared" si="109"/>
        <v>11950</v>
      </c>
      <c r="G649" s="497"/>
      <c r="H649" s="513"/>
      <c r="I649" s="498"/>
      <c r="J649" s="499"/>
      <c r="K649" s="499"/>
      <c r="L649" s="497"/>
      <c r="M649" s="499"/>
    </row>
    <row r="650" spans="1:13" x14ac:dyDescent="0.25">
      <c r="A650" s="497"/>
      <c r="B650" s="545">
        <v>42499</v>
      </c>
      <c r="C650" s="497">
        <v>500</v>
      </c>
      <c r="D650" s="498">
        <v>11.48</v>
      </c>
      <c r="E650" s="499">
        <v>0</v>
      </c>
      <c r="F650" s="499">
        <f t="shared" si="109"/>
        <v>5740</v>
      </c>
      <c r="G650" s="497"/>
      <c r="H650" s="513"/>
      <c r="I650" s="498"/>
      <c r="J650" s="499"/>
      <c r="K650" s="499"/>
      <c r="L650" s="497"/>
      <c r="M650" s="499"/>
    </row>
    <row r="651" spans="1:13" x14ac:dyDescent="0.25">
      <c r="A651" s="497"/>
      <c r="B651" s="545">
        <v>42499</v>
      </c>
      <c r="C651" s="497">
        <v>500</v>
      </c>
      <c r="D651" s="498">
        <v>11.32</v>
      </c>
      <c r="E651" s="499">
        <v>0</v>
      </c>
      <c r="F651" s="499">
        <f t="shared" si="109"/>
        <v>5660</v>
      </c>
      <c r="G651" s="497"/>
      <c r="H651" s="513"/>
      <c r="I651" s="498"/>
      <c r="J651" s="499"/>
      <c r="K651" s="499"/>
      <c r="L651" s="497"/>
      <c r="M651" s="499"/>
    </row>
    <row r="652" spans="1:13" ht="30" x14ac:dyDescent="0.25">
      <c r="A652" s="615" t="s">
        <v>203</v>
      </c>
      <c r="B652" s="545">
        <v>42502</v>
      </c>
      <c r="C652" s="497">
        <v>500</v>
      </c>
      <c r="D652" s="498">
        <v>12.38</v>
      </c>
      <c r="E652" s="499">
        <v>0</v>
      </c>
      <c r="F652" s="499">
        <f t="shared" si="109"/>
        <v>6190</v>
      </c>
      <c r="G652" s="497"/>
      <c r="H652" s="513"/>
      <c r="I652" s="498"/>
      <c r="J652" s="499"/>
      <c r="K652" s="499"/>
      <c r="L652" s="497"/>
      <c r="M652" s="499"/>
    </row>
    <row r="653" spans="1:13" x14ac:dyDescent="0.25">
      <c r="A653" s="615"/>
      <c r="B653" s="545">
        <v>42502</v>
      </c>
      <c r="C653" s="497">
        <v>500</v>
      </c>
      <c r="D653" s="498">
        <v>12.3</v>
      </c>
      <c r="E653" s="499">
        <v>0</v>
      </c>
      <c r="F653" s="499">
        <f t="shared" si="109"/>
        <v>6150</v>
      </c>
      <c r="G653" s="497"/>
      <c r="H653" s="513"/>
      <c r="I653" s="498"/>
      <c r="J653" s="499"/>
      <c r="K653" s="499"/>
      <c r="L653" s="497"/>
      <c r="M653" s="499"/>
    </row>
    <row r="654" spans="1:13" x14ac:dyDescent="0.25">
      <c r="A654" s="615"/>
      <c r="B654" s="545">
        <v>42502</v>
      </c>
      <c r="C654" s="497">
        <v>500</v>
      </c>
      <c r="D654" s="498">
        <v>12.23</v>
      </c>
      <c r="E654" s="499">
        <v>0</v>
      </c>
      <c r="F654" s="499">
        <f t="shared" si="109"/>
        <v>6115</v>
      </c>
      <c r="G654" s="497"/>
      <c r="H654" s="513"/>
      <c r="I654" s="498"/>
      <c r="J654" s="499"/>
      <c r="K654" s="499"/>
      <c r="L654" s="497"/>
      <c r="M654" s="499"/>
    </row>
    <row r="655" spans="1:13" x14ac:dyDescent="0.25">
      <c r="A655" s="497"/>
      <c r="B655" s="545">
        <v>42503</v>
      </c>
      <c r="C655" s="497">
        <v>500</v>
      </c>
      <c r="D655" s="498">
        <v>12.41</v>
      </c>
      <c r="E655" s="499">
        <v>0</v>
      </c>
      <c r="F655" s="499">
        <f t="shared" si="109"/>
        <v>6205</v>
      </c>
      <c r="G655" s="497"/>
      <c r="H655" s="513"/>
      <c r="I655" s="498"/>
      <c r="J655" s="499"/>
      <c r="K655" s="499"/>
      <c r="L655" s="497"/>
      <c r="M655" s="499"/>
    </row>
    <row r="656" spans="1:13" x14ac:dyDescent="0.25">
      <c r="A656" s="497"/>
      <c r="B656" s="545">
        <v>42506</v>
      </c>
      <c r="C656" s="497">
        <v>300</v>
      </c>
      <c r="D656" s="498">
        <v>12.8</v>
      </c>
      <c r="E656" s="499">
        <v>0</v>
      </c>
      <c r="F656" s="499">
        <f t="shared" si="109"/>
        <v>3840</v>
      </c>
      <c r="G656" s="497"/>
      <c r="H656" s="513"/>
      <c r="I656" s="498"/>
      <c r="J656" s="499"/>
      <c r="K656" s="499"/>
      <c r="L656" s="497"/>
      <c r="M656" s="499"/>
    </row>
    <row r="657" spans="1:13" x14ac:dyDescent="0.25">
      <c r="A657" s="497"/>
      <c r="B657" s="545">
        <v>42514</v>
      </c>
      <c r="C657" s="497">
        <v>500</v>
      </c>
      <c r="D657" s="498">
        <v>13.02</v>
      </c>
      <c r="E657" s="499">
        <v>-1.65</v>
      </c>
      <c r="F657" s="499">
        <f t="shared" ref="F657:F720" si="110">C657*D657+E657</f>
        <v>6508.35</v>
      </c>
      <c r="G657" s="497"/>
      <c r="H657" s="513"/>
      <c r="I657" s="498"/>
      <c r="J657" s="499"/>
      <c r="K657" s="499"/>
      <c r="L657" s="497"/>
      <c r="M657" s="499"/>
    </row>
    <row r="658" spans="1:13" x14ac:dyDescent="0.25">
      <c r="A658" s="497"/>
      <c r="B658" s="545">
        <v>42515</v>
      </c>
      <c r="C658" s="497">
        <v>500</v>
      </c>
      <c r="D658" s="498">
        <v>13.45</v>
      </c>
      <c r="E658" s="499">
        <v>1</v>
      </c>
      <c r="F658" s="499">
        <f t="shared" si="110"/>
        <v>6726</v>
      </c>
      <c r="G658" s="497"/>
      <c r="H658" s="513"/>
      <c r="I658" s="498"/>
      <c r="J658" s="499"/>
      <c r="K658" s="499"/>
      <c r="L658" s="497"/>
      <c r="M658" s="499"/>
    </row>
    <row r="659" spans="1:13" x14ac:dyDescent="0.25">
      <c r="A659" s="497"/>
      <c r="B659" s="545">
        <v>42516</v>
      </c>
      <c r="C659" s="497">
        <v>500</v>
      </c>
      <c r="D659" s="498">
        <v>13.28</v>
      </c>
      <c r="E659" s="499">
        <v>-1.04</v>
      </c>
      <c r="F659" s="499">
        <f t="shared" si="110"/>
        <v>6638.96</v>
      </c>
      <c r="G659" s="497"/>
      <c r="H659" s="513"/>
      <c r="I659" s="498"/>
      <c r="J659" s="499"/>
      <c r="K659" s="499"/>
      <c r="L659" s="497"/>
      <c r="M659" s="499"/>
    </row>
    <row r="660" spans="1:13" x14ac:dyDescent="0.25">
      <c r="A660" s="497"/>
      <c r="B660" s="545">
        <v>42517</v>
      </c>
      <c r="C660" s="497">
        <v>500</v>
      </c>
      <c r="D660" s="498">
        <v>12.79</v>
      </c>
      <c r="E660" s="499">
        <v>0</v>
      </c>
      <c r="F660" s="499">
        <f t="shared" si="110"/>
        <v>6395</v>
      </c>
      <c r="G660" s="497"/>
      <c r="H660" s="513"/>
      <c r="I660" s="498"/>
      <c r="J660" s="499"/>
      <c r="K660" s="499"/>
      <c r="L660" s="497"/>
      <c r="M660" s="499"/>
    </row>
    <row r="661" spans="1:13" x14ac:dyDescent="0.25">
      <c r="A661" s="497"/>
      <c r="B661" s="545">
        <v>42524</v>
      </c>
      <c r="C661" s="497">
        <v>400</v>
      </c>
      <c r="D661" s="498">
        <v>13.28</v>
      </c>
      <c r="E661" s="499">
        <v>0</v>
      </c>
      <c r="F661" s="499">
        <f t="shared" si="110"/>
        <v>5312</v>
      </c>
      <c r="G661" s="497"/>
      <c r="H661" s="513"/>
      <c r="I661" s="498"/>
      <c r="J661" s="499"/>
      <c r="K661" s="499"/>
      <c r="L661" s="497"/>
      <c r="M661" s="499"/>
    </row>
    <row r="662" spans="1:13" x14ac:dyDescent="0.25">
      <c r="A662" s="497"/>
      <c r="B662" s="545">
        <v>42529</v>
      </c>
      <c r="C662" s="497">
        <v>500</v>
      </c>
      <c r="D662" s="498">
        <v>14.59</v>
      </c>
      <c r="E662" s="499">
        <v>0</v>
      </c>
      <c r="F662" s="499">
        <f t="shared" si="110"/>
        <v>7295</v>
      </c>
      <c r="G662" s="497"/>
      <c r="H662" s="513"/>
      <c r="I662" s="498"/>
      <c r="J662" s="499"/>
      <c r="K662" s="499"/>
      <c r="L662" s="497"/>
      <c r="M662" s="499"/>
    </row>
    <row r="663" spans="1:13" x14ac:dyDescent="0.25">
      <c r="A663" s="497"/>
      <c r="B663" s="545">
        <v>42531</v>
      </c>
      <c r="C663" s="497">
        <v>800</v>
      </c>
      <c r="D663" s="498">
        <v>13.79</v>
      </c>
      <c r="E663" s="499">
        <v>0</v>
      </c>
      <c r="F663" s="499">
        <f t="shared" si="110"/>
        <v>11032</v>
      </c>
      <c r="G663" s="497"/>
      <c r="H663" s="513"/>
      <c r="I663" s="498"/>
      <c r="J663" s="499"/>
      <c r="K663" s="499"/>
      <c r="L663" s="497"/>
      <c r="M663" s="499"/>
    </row>
    <row r="664" spans="1:13" x14ac:dyDescent="0.25">
      <c r="A664" s="497"/>
      <c r="B664" s="545">
        <v>42531</v>
      </c>
      <c r="C664" s="497">
        <v>300</v>
      </c>
      <c r="D664" s="498">
        <v>13.4</v>
      </c>
      <c r="E664" s="499">
        <v>0</v>
      </c>
      <c r="F664" s="499">
        <f t="shared" si="110"/>
        <v>4020</v>
      </c>
      <c r="G664" s="497"/>
      <c r="H664" s="513"/>
      <c r="I664" s="498"/>
      <c r="J664" s="499"/>
      <c r="K664" s="499"/>
      <c r="L664" s="497"/>
      <c r="M664" s="499"/>
    </row>
    <row r="665" spans="1:13" x14ac:dyDescent="0.25">
      <c r="A665" s="497"/>
      <c r="B665" s="545">
        <v>42535</v>
      </c>
      <c r="C665" s="497">
        <v>400</v>
      </c>
      <c r="D665" s="498">
        <v>12.85</v>
      </c>
      <c r="E665" s="499">
        <v>0</v>
      </c>
      <c r="F665" s="499">
        <f t="shared" si="110"/>
        <v>5140</v>
      </c>
      <c r="G665" s="497"/>
      <c r="H665" s="513"/>
      <c r="I665" s="498"/>
      <c r="J665" s="499"/>
      <c r="K665" s="499"/>
      <c r="L665" s="497"/>
      <c r="M665" s="499"/>
    </row>
    <row r="666" spans="1:13" x14ac:dyDescent="0.25">
      <c r="A666" s="497"/>
      <c r="B666" s="545">
        <v>42537</v>
      </c>
      <c r="C666" s="497">
        <v>400</v>
      </c>
      <c r="D666" s="498">
        <v>12.43</v>
      </c>
      <c r="E666" s="499">
        <v>-0.04</v>
      </c>
      <c r="F666" s="499">
        <f t="shared" si="110"/>
        <v>4971.96</v>
      </c>
      <c r="G666" s="497"/>
      <c r="H666" s="513"/>
      <c r="I666" s="498"/>
      <c r="J666" s="499"/>
      <c r="K666" s="499"/>
      <c r="L666" s="497"/>
      <c r="M666" s="499"/>
    </row>
    <row r="667" spans="1:13" x14ac:dyDescent="0.25">
      <c r="A667" s="497"/>
      <c r="B667" s="545">
        <v>42538</v>
      </c>
      <c r="C667" s="497">
        <v>500</v>
      </c>
      <c r="D667" s="498">
        <v>13.14</v>
      </c>
      <c r="E667" s="499">
        <v>0</v>
      </c>
      <c r="F667" s="499">
        <f t="shared" si="110"/>
        <v>6570</v>
      </c>
      <c r="G667" s="497"/>
      <c r="H667" s="513"/>
      <c r="I667" s="498"/>
      <c r="J667" s="499"/>
      <c r="K667" s="499"/>
      <c r="L667" s="497"/>
      <c r="M667" s="499"/>
    </row>
    <row r="668" spans="1:13" x14ac:dyDescent="0.25">
      <c r="A668" s="497"/>
      <c r="B668" s="545">
        <v>42543</v>
      </c>
      <c r="C668" s="497">
        <v>500</v>
      </c>
      <c r="D668" s="498">
        <v>14.75</v>
      </c>
      <c r="E668" s="499">
        <v>0</v>
      </c>
      <c r="F668" s="499">
        <f t="shared" si="110"/>
        <v>7375</v>
      </c>
      <c r="G668" s="496">
        <v>42544</v>
      </c>
      <c r="H668" s="513">
        <v>500</v>
      </c>
      <c r="I668" s="498">
        <v>15.24</v>
      </c>
      <c r="J668" s="499">
        <v>0.17</v>
      </c>
      <c r="K668" s="499">
        <f>H668*I668-J668</f>
        <v>7619.83</v>
      </c>
      <c r="L668" s="497"/>
      <c r="M668" s="499"/>
    </row>
    <row r="669" spans="1:13" x14ac:dyDescent="0.25">
      <c r="A669" s="497"/>
      <c r="B669" s="545">
        <v>42545</v>
      </c>
      <c r="C669" s="497">
        <v>878</v>
      </c>
      <c r="D669" s="498">
        <v>14.41</v>
      </c>
      <c r="E669" s="499">
        <v>0</v>
      </c>
      <c r="F669" s="499">
        <f t="shared" si="110"/>
        <v>12651.98</v>
      </c>
      <c r="G669" s="497"/>
      <c r="H669" s="513"/>
      <c r="I669" s="498"/>
      <c r="J669" s="499"/>
      <c r="K669" s="499"/>
      <c r="L669" s="497"/>
      <c r="M669" s="499"/>
    </row>
    <row r="670" spans="1:13" x14ac:dyDescent="0.25">
      <c r="A670" s="497"/>
      <c r="B670" s="545">
        <v>42545</v>
      </c>
      <c r="C670" s="497">
        <v>335</v>
      </c>
      <c r="D670" s="498">
        <v>14.08</v>
      </c>
      <c r="E670" s="499">
        <v>0</v>
      </c>
      <c r="F670" s="499">
        <f t="shared" si="110"/>
        <v>4716.8</v>
      </c>
      <c r="G670" s="497"/>
      <c r="H670" s="513"/>
      <c r="I670" s="498"/>
      <c r="J670" s="499"/>
      <c r="K670" s="499"/>
      <c r="L670" s="497"/>
      <c r="M670" s="499"/>
    </row>
    <row r="671" spans="1:13" x14ac:dyDescent="0.25">
      <c r="A671" s="497"/>
      <c r="B671" s="545">
        <v>42548</v>
      </c>
      <c r="C671" s="497">
        <v>965</v>
      </c>
      <c r="D671" s="498">
        <v>13.81</v>
      </c>
      <c r="E671" s="499">
        <v>0</v>
      </c>
      <c r="F671" s="499">
        <f t="shared" si="110"/>
        <v>13326.65</v>
      </c>
      <c r="G671" s="497"/>
      <c r="H671" s="513"/>
      <c r="I671" s="498"/>
      <c r="J671" s="499"/>
      <c r="K671" s="499"/>
      <c r="L671" s="497"/>
      <c r="M671" s="499"/>
    </row>
    <row r="672" spans="1:13" x14ac:dyDescent="0.25">
      <c r="A672" s="497"/>
      <c r="B672" s="545">
        <v>42548</v>
      </c>
      <c r="C672" s="497">
        <v>300</v>
      </c>
      <c r="D672" s="498">
        <v>13.58</v>
      </c>
      <c r="E672" s="499">
        <v>0</v>
      </c>
      <c r="F672" s="499">
        <f t="shared" si="110"/>
        <v>4074</v>
      </c>
      <c r="G672" s="496">
        <v>42549</v>
      </c>
      <c r="H672" s="513">
        <v>1100</v>
      </c>
      <c r="I672" s="498">
        <v>14.68</v>
      </c>
      <c r="J672" s="499">
        <v>0.35</v>
      </c>
      <c r="K672" s="499">
        <f t="shared" ref="K672:K757" si="111">H672*I672-J672</f>
        <v>16147.65</v>
      </c>
      <c r="L672" s="497"/>
      <c r="M672" s="499"/>
    </row>
    <row r="673" spans="1:13" ht="45" x14ac:dyDescent="0.25">
      <c r="A673" s="497"/>
      <c r="B673" s="545">
        <v>42556</v>
      </c>
      <c r="C673" s="497">
        <v>2178</v>
      </c>
      <c r="D673" s="498">
        <v>15.08</v>
      </c>
      <c r="E673" s="499">
        <v>0</v>
      </c>
      <c r="F673" s="499">
        <f t="shared" si="110"/>
        <v>32844.239999999998</v>
      </c>
      <c r="G673" s="611" t="s">
        <v>224</v>
      </c>
      <c r="H673" s="513">
        <v>500</v>
      </c>
      <c r="I673" s="498">
        <v>15.48</v>
      </c>
      <c r="J673" s="499">
        <v>0.17</v>
      </c>
      <c r="K673" s="499">
        <f t="shared" si="111"/>
        <v>7739.83</v>
      </c>
      <c r="L673" s="497"/>
      <c r="M673" s="499"/>
    </row>
    <row r="674" spans="1:13" x14ac:dyDescent="0.25">
      <c r="A674" s="497"/>
      <c r="B674" s="545">
        <v>42556</v>
      </c>
      <c r="C674" s="497">
        <v>500</v>
      </c>
      <c r="D674" s="498">
        <v>14.62</v>
      </c>
      <c r="E674" s="499">
        <v>0</v>
      </c>
      <c r="F674" s="499">
        <f t="shared" si="110"/>
        <v>7310</v>
      </c>
      <c r="G674" s="611"/>
      <c r="H674" s="513">
        <v>378</v>
      </c>
      <c r="I674" s="498">
        <v>15.65</v>
      </c>
      <c r="J674" s="499">
        <v>0.13</v>
      </c>
      <c r="K674" s="499">
        <f t="shared" si="111"/>
        <v>5915.57</v>
      </c>
      <c r="L674" s="497"/>
      <c r="M674" s="499"/>
    </row>
    <row r="675" spans="1:13" x14ac:dyDescent="0.25">
      <c r="A675" s="497"/>
      <c r="B675" s="545">
        <v>42557</v>
      </c>
      <c r="C675" s="497">
        <v>500</v>
      </c>
      <c r="D675" s="498">
        <v>14.78</v>
      </c>
      <c r="E675" s="499">
        <v>0</v>
      </c>
      <c r="F675" s="499">
        <f t="shared" si="110"/>
        <v>7390</v>
      </c>
      <c r="G675" s="611"/>
      <c r="H675" s="513">
        <v>500</v>
      </c>
      <c r="I675" s="498">
        <v>15.51</v>
      </c>
      <c r="J675" s="499">
        <v>0.17</v>
      </c>
      <c r="K675" s="499">
        <f t="shared" si="111"/>
        <v>7754.83</v>
      </c>
      <c r="L675" s="497"/>
      <c r="M675" s="499"/>
    </row>
    <row r="676" spans="1:13" x14ac:dyDescent="0.25">
      <c r="A676" s="497"/>
      <c r="B676" s="597">
        <v>42564</v>
      </c>
      <c r="C676" s="497">
        <v>320</v>
      </c>
      <c r="D676" s="498">
        <v>15.48</v>
      </c>
      <c r="E676" s="499">
        <v>0</v>
      </c>
      <c r="F676" s="499">
        <f t="shared" si="110"/>
        <v>4953.6000000000004</v>
      </c>
      <c r="G676" s="611"/>
      <c r="H676" s="513">
        <v>800</v>
      </c>
      <c r="I676" s="498">
        <v>15.78</v>
      </c>
      <c r="J676" s="499">
        <v>0.28000000000000003</v>
      </c>
      <c r="K676" s="499">
        <f t="shared" si="111"/>
        <v>12623.72</v>
      </c>
      <c r="L676" s="497"/>
      <c r="M676" s="499"/>
    </row>
    <row r="677" spans="1:13" x14ac:dyDescent="0.25">
      <c r="A677" s="598"/>
      <c r="B677" s="597">
        <v>42564</v>
      </c>
      <c r="C677" s="497">
        <v>160</v>
      </c>
      <c r="D677" s="498">
        <v>15.48</v>
      </c>
      <c r="E677" s="499">
        <v>0</v>
      </c>
      <c r="F677" s="499">
        <f t="shared" si="110"/>
        <v>2476.8000000000002</v>
      </c>
      <c r="G677" s="496">
        <v>42557</v>
      </c>
      <c r="H677" s="513">
        <v>500</v>
      </c>
      <c r="I677" s="498">
        <v>14.92</v>
      </c>
      <c r="J677" s="499">
        <v>0.16</v>
      </c>
      <c r="K677" s="499">
        <f t="shared" si="111"/>
        <v>7459.84</v>
      </c>
      <c r="L677" s="497"/>
      <c r="M677" s="499"/>
    </row>
    <row r="678" spans="1:13" x14ac:dyDescent="0.25">
      <c r="A678" s="598"/>
      <c r="B678" s="545">
        <v>42570</v>
      </c>
      <c r="C678" s="497">
        <v>200</v>
      </c>
      <c r="D678" s="498">
        <v>15.18</v>
      </c>
      <c r="E678" s="499">
        <v>0</v>
      </c>
      <c r="F678" s="499">
        <f t="shared" si="110"/>
        <v>3036</v>
      </c>
      <c r="G678" s="496">
        <v>42564</v>
      </c>
      <c r="H678" s="513">
        <v>420</v>
      </c>
      <c r="I678" s="498">
        <v>15.68</v>
      </c>
      <c r="J678" s="499">
        <v>0.14000000000000001</v>
      </c>
      <c r="K678" s="499">
        <f t="shared" si="111"/>
        <v>6585.4599999999991</v>
      </c>
      <c r="L678" s="497"/>
      <c r="M678" s="499"/>
    </row>
    <row r="679" spans="1:13" x14ac:dyDescent="0.25">
      <c r="A679" s="598"/>
      <c r="B679" s="545">
        <v>42570</v>
      </c>
      <c r="C679" s="497">
        <v>200</v>
      </c>
      <c r="D679" s="498">
        <v>14.68</v>
      </c>
      <c r="E679" s="499">
        <v>0</v>
      </c>
      <c r="F679" s="499">
        <f t="shared" si="110"/>
        <v>2936</v>
      </c>
      <c r="G679" s="496">
        <v>42571</v>
      </c>
      <c r="H679" s="513">
        <v>200</v>
      </c>
      <c r="I679" s="498">
        <v>14.82</v>
      </c>
      <c r="J679" s="499">
        <v>0.06</v>
      </c>
      <c r="K679" s="499">
        <f t="shared" si="111"/>
        <v>2963.94</v>
      </c>
      <c r="L679" s="497"/>
      <c r="M679" s="499"/>
    </row>
    <row r="680" spans="1:13" x14ac:dyDescent="0.25">
      <c r="A680" s="497"/>
      <c r="B680" s="545">
        <v>42571</v>
      </c>
      <c r="C680" s="497">
        <v>200</v>
      </c>
      <c r="D680" s="498">
        <v>14.33</v>
      </c>
      <c r="E680" s="499">
        <v>-1</v>
      </c>
      <c r="F680" s="499">
        <f t="shared" si="110"/>
        <v>2865</v>
      </c>
      <c r="G680" s="496">
        <v>42572</v>
      </c>
      <c r="H680" s="513">
        <v>200</v>
      </c>
      <c r="I680" s="498">
        <v>14.8</v>
      </c>
      <c r="J680" s="499">
        <v>0.06</v>
      </c>
      <c r="K680" s="499">
        <f t="shared" si="111"/>
        <v>2959.94</v>
      </c>
      <c r="L680" s="497"/>
      <c r="M680" s="499"/>
    </row>
    <row r="681" spans="1:13" x14ac:dyDescent="0.25">
      <c r="A681" s="497"/>
      <c r="B681" s="545">
        <v>42572</v>
      </c>
      <c r="C681" s="497">
        <v>60</v>
      </c>
      <c r="D681" s="498">
        <v>14.58</v>
      </c>
      <c r="E681" s="499">
        <v>0</v>
      </c>
      <c r="F681" s="499">
        <f t="shared" si="110"/>
        <v>874.8</v>
      </c>
      <c r="G681" s="496">
        <v>42577</v>
      </c>
      <c r="H681" s="513">
        <v>200</v>
      </c>
      <c r="I681" s="498">
        <v>13.78</v>
      </c>
      <c r="J681" s="499">
        <v>0.06</v>
      </c>
      <c r="K681" s="499">
        <f t="shared" si="111"/>
        <v>2755.94</v>
      </c>
      <c r="L681" s="497"/>
      <c r="M681" s="499"/>
    </row>
    <row r="682" spans="1:13" x14ac:dyDescent="0.25">
      <c r="A682" s="497"/>
      <c r="B682" s="545">
        <v>42572</v>
      </c>
      <c r="C682" s="497">
        <v>140</v>
      </c>
      <c r="D682" s="498">
        <v>14.65</v>
      </c>
      <c r="E682" s="499">
        <v>0</v>
      </c>
      <c r="F682" s="499">
        <f t="shared" si="110"/>
        <v>2051</v>
      </c>
      <c r="G682" s="496">
        <v>42580</v>
      </c>
      <c r="H682" s="513">
        <v>200</v>
      </c>
      <c r="I682" s="498">
        <v>13.224</v>
      </c>
      <c r="J682" s="499">
        <v>0.08</v>
      </c>
      <c r="K682" s="499">
        <f t="shared" si="111"/>
        <v>2644.7200000000003</v>
      </c>
      <c r="L682" s="497"/>
      <c r="M682" s="499"/>
    </row>
    <row r="683" spans="1:13" x14ac:dyDescent="0.25">
      <c r="A683" s="497"/>
      <c r="B683" s="545">
        <v>42573</v>
      </c>
      <c r="C683" s="497">
        <v>140</v>
      </c>
      <c r="D683" s="498">
        <v>14.08</v>
      </c>
      <c r="E683" s="499">
        <v>0</v>
      </c>
      <c r="F683" s="499">
        <f t="shared" si="110"/>
        <v>1971.2</v>
      </c>
      <c r="G683" s="496">
        <v>42580</v>
      </c>
      <c r="H683" s="513">
        <v>200</v>
      </c>
      <c r="I683" s="498">
        <v>13.58</v>
      </c>
      <c r="J683" s="499">
        <v>0.06</v>
      </c>
      <c r="K683" s="499">
        <f t="shared" si="111"/>
        <v>2715.94</v>
      </c>
      <c r="L683" s="497"/>
      <c r="M683" s="499"/>
    </row>
    <row r="684" spans="1:13" x14ac:dyDescent="0.25">
      <c r="A684" s="497"/>
      <c r="B684" s="545">
        <v>42576</v>
      </c>
      <c r="C684" s="497">
        <v>200</v>
      </c>
      <c r="D684" s="498">
        <v>13.55</v>
      </c>
      <c r="E684" s="499">
        <v>0</v>
      </c>
      <c r="F684" s="499">
        <f t="shared" si="110"/>
        <v>2710</v>
      </c>
      <c r="G684" s="496">
        <v>42586</v>
      </c>
      <c r="H684" s="513">
        <v>400</v>
      </c>
      <c r="I684" s="498">
        <v>13.78</v>
      </c>
      <c r="J684" s="499">
        <v>0.12</v>
      </c>
      <c r="K684" s="499">
        <f t="shared" si="111"/>
        <v>5511.88</v>
      </c>
      <c r="L684" s="497"/>
      <c r="M684" s="499"/>
    </row>
    <row r="685" spans="1:13" x14ac:dyDescent="0.25">
      <c r="A685" s="497"/>
      <c r="B685" s="545">
        <v>42578</v>
      </c>
      <c r="C685" s="497">
        <v>200</v>
      </c>
      <c r="D685" s="498">
        <v>13.18</v>
      </c>
      <c r="E685" s="499">
        <v>0</v>
      </c>
      <c r="F685" s="499">
        <f t="shared" si="110"/>
        <v>2636</v>
      </c>
      <c r="G685" s="496">
        <v>42586</v>
      </c>
      <c r="H685" s="513">
        <v>400</v>
      </c>
      <c r="I685" s="498">
        <v>13.72</v>
      </c>
      <c r="J685" s="499">
        <v>0.12</v>
      </c>
      <c r="K685" s="499">
        <f t="shared" si="111"/>
        <v>5487.88</v>
      </c>
      <c r="L685" s="497"/>
      <c r="M685" s="499"/>
    </row>
    <row r="686" spans="1:13" x14ac:dyDescent="0.25">
      <c r="A686" s="497"/>
      <c r="B686" s="545">
        <v>42580</v>
      </c>
      <c r="C686" s="497">
        <v>200</v>
      </c>
      <c r="D686" s="498">
        <v>13.15</v>
      </c>
      <c r="E686" s="499">
        <v>0</v>
      </c>
      <c r="F686" s="499">
        <f t="shared" si="110"/>
        <v>2630</v>
      </c>
      <c r="G686" s="496">
        <v>42586</v>
      </c>
      <c r="H686" s="513">
        <v>140</v>
      </c>
      <c r="I686" s="498">
        <v>13.88</v>
      </c>
      <c r="J686" s="499">
        <v>0.04</v>
      </c>
      <c r="K686" s="499">
        <f t="shared" si="111"/>
        <v>1943.16</v>
      </c>
      <c r="L686" s="497"/>
      <c r="M686" s="499"/>
    </row>
    <row r="687" spans="1:13" x14ac:dyDescent="0.25">
      <c r="A687" s="497"/>
      <c r="B687" s="545">
        <v>42583</v>
      </c>
      <c r="C687" s="594">
        <v>20</v>
      </c>
      <c r="D687" s="498">
        <v>13.02</v>
      </c>
      <c r="E687" s="499">
        <v>0</v>
      </c>
      <c r="F687" s="499">
        <f t="shared" si="110"/>
        <v>260.39999999999998</v>
      </c>
      <c r="G687" s="496">
        <v>42593</v>
      </c>
      <c r="H687" s="513">
        <v>460</v>
      </c>
      <c r="I687" s="498">
        <v>14.59</v>
      </c>
      <c r="J687" s="499">
        <v>0.15</v>
      </c>
      <c r="K687" s="499">
        <f t="shared" si="111"/>
        <v>6711.25</v>
      </c>
      <c r="L687" s="497"/>
      <c r="M687" s="499"/>
    </row>
    <row r="688" spans="1:13" x14ac:dyDescent="0.25">
      <c r="A688" s="497"/>
      <c r="B688" s="545">
        <v>42583</v>
      </c>
      <c r="C688" s="497">
        <v>180</v>
      </c>
      <c r="D688" s="498">
        <v>13.02</v>
      </c>
      <c r="E688" s="499">
        <v>0</v>
      </c>
      <c r="F688" s="499">
        <f t="shared" si="110"/>
        <v>2343.6</v>
      </c>
      <c r="G688" s="496">
        <v>42594</v>
      </c>
      <c r="H688" s="513">
        <v>500</v>
      </c>
      <c r="I688" s="498">
        <v>14.88</v>
      </c>
      <c r="J688" s="499">
        <v>0.16</v>
      </c>
      <c r="K688" s="499">
        <f t="shared" si="111"/>
        <v>7439.84</v>
      </c>
      <c r="L688" s="497"/>
      <c r="M688" s="499"/>
    </row>
    <row r="689" spans="1:13" x14ac:dyDescent="0.25">
      <c r="A689" s="497"/>
      <c r="B689" s="545">
        <v>42584</v>
      </c>
      <c r="C689" s="497">
        <v>120</v>
      </c>
      <c r="D689" s="498">
        <v>12.68</v>
      </c>
      <c r="E689" s="499">
        <v>0</v>
      </c>
      <c r="F689" s="499">
        <f t="shared" si="110"/>
        <v>1521.6</v>
      </c>
      <c r="G689" s="496">
        <v>42598</v>
      </c>
      <c r="H689" s="513">
        <v>500</v>
      </c>
      <c r="I689" s="498">
        <v>15.18</v>
      </c>
      <c r="J689" s="499">
        <v>0.17</v>
      </c>
      <c r="K689" s="499">
        <f t="shared" si="111"/>
        <v>7589.83</v>
      </c>
      <c r="L689" s="497"/>
      <c r="M689" s="499"/>
    </row>
    <row r="690" spans="1:13" x14ac:dyDescent="0.25">
      <c r="A690" s="497"/>
      <c r="B690" s="545">
        <v>42584</v>
      </c>
      <c r="C690" s="497">
        <v>80</v>
      </c>
      <c r="D690" s="498">
        <v>12.68</v>
      </c>
      <c r="E690" s="499">
        <v>0</v>
      </c>
      <c r="F690" s="499">
        <f t="shared" si="110"/>
        <v>1014.4</v>
      </c>
      <c r="G690" s="496">
        <v>42599</v>
      </c>
      <c r="H690" s="513">
        <v>500</v>
      </c>
      <c r="I690" s="498">
        <v>15.18</v>
      </c>
      <c r="J690" s="499">
        <v>0.17</v>
      </c>
      <c r="K690" s="499">
        <f t="shared" si="111"/>
        <v>7589.83</v>
      </c>
      <c r="L690" s="497"/>
      <c r="M690" s="499"/>
    </row>
    <row r="691" spans="1:13" x14ac:dyDescent="0.25">
      <c r="A691" s="497"/>
      <c r="B691" s="545">
        <v>42585</v>
      </c>
      <c r="C691" s="497">
        <v>242</v>
      </c>
      <c r="D691" s="498">
        <v>13.38</v>
      </c>
      <c r="E691" s="499">
        <v>0</v>
      </c>
      <c r="F691" s="499">
        <f t="shared" si="110"/>
        <v>3237.96</v>
      </c>
      <c r="G691" s="496">
        <v>42599</v>
      </c>
      <c r="H691" s="513">
        <v>500</v>
      </c>
      <c r="I691" s="498">
        <v>15.41</v>
      </c>
      <c r="J691" s="499">
        <v>0.17</v>
      </c>
      <c r="K691" s="499">
        <f t="shared" si="111"/>
        <v>7704.83</v>
      </c>
      <c r="L691" s="497"/>
      <c r="M691" s="499"/>
    </row>
    <row r="692" spans="1:13" x14ac:dyDescent="0.25">
      <c r="A692" s="497"/>
      <c r="B692" s="545">
        <v>42585</v>
      </c>
      <c r="C692" s="497">
        <v>158</v>
      </c>
      <c r="D692" s="498">
        <v>13.38</v>
      </c>
      <c r="E692" s="499">
        <v>0</v>
      </c>
      <c r="F692" s="499">
        <f t="shared" si="110"/>
        <v>2114.04</v>
      </c>
      <c r="G692" s="496">
        <v>42599</v>
      </c>
      <c r="H692" s="513">
        <v>500</v>
      </c>
      <c r="I692" s="498">
        <v>15.65</v>
      </c>
      <c r="J692" s="499">
        <v>0.17</v>
      </c>
      <c r="K692" s="499">
        <f t="shared" si="111"/>
        <v>7824.83</v>
      </c>
      <c r="L692" s="497"/>
      <c r="M692" s="499"/>
    </row>
    <row r="693" spans="1:13" ht="45" x14ac:dyDescent="0.25">
      <c r="A693" s="497"/>
      <c r="B693" s="545">
        <v>42594</v>
      </c>
      <c r="C693" s="497">
        <v>500</v>
      </c>
      <c r="D693" s="498">
        <v>14.65</v>
      </c>
      <c r="E693" s="499">
        <v>0</v>
      </c>
      <c r="F693" s="499">
        <f t="shared" si="110"/>
        <v>7325</v>
      </c>
      <c r="G693" s="616" t="s">
        <v>252</v>
      </c>
      <c r="H693" s="513">
        <v>500</v>
      </c>
      <c r="I693" s="498">
        <v>16.18</v>
      </c>
      <c r="J693" s="499">
        <v>0.18</v>
      </c>
      <c r="K693" s="499">
        <f t="shared" si="111"/>
        <v>8089.82</v>
      </c>
      <c r="L693" s="497"/>
      <c r="M693" s="499"/>
    </row>
    <row r="694" spans="1:13" x14ac:dyDescent="0.25">
      <c r="A694" s="497"/>
      <c r="B694" s="545">
        <v>42599</v>
      </c>
      <c r="C694" s="497">
        <v>242</v>
      </c>
      <c r="D694" s="498">
        <v>14.95</v>
      </c>
      <c r="E694" s="499">
        <v>0</v>
      </c>
      <c r="F694" s="499">
        <f t="shared" si="110"/>
        <v>3617.8999999999996</v>
      </c>
      <c r="G694" s="616"/>
      <c r="H694" s="513">
        <v>500</v>
      </c>
      <c r="I694" s="498">
        <v>16.38</v>
      </c>
      <c r="J694" s="499">
        <v>0.18</v>
      </c>
      <c r="K694" s="499">
        <f t="shared" si="111"/>
        <v>8189.8199999999988</v>
      </c>
      <c r="L694" s="497"/>
      <c r="M694" s="499"/>
    </row>
    <row r="695" spans="1:13" x14ac:dyDescent="0.25">
      <c r="A695" s="497"/>
      <c r="B695" s="545">
        <v>42599</v>
      </c>
      <c r="C695" s="497">
        <v>200</v>
      </c>
      <c r="D695" s="498">
        <v>14.95</v>
      </c>
      <c r="E695" s="499">
        <v>0</v>
      </c>
      <c r="F695" s="499">
        <f t="shared" si="110"/>
        <v>2990</v>
      </c>
      <c r="G695" s="616"/>
      <c r="H695" s="513">
        <v>178</v>
      </c>
      <c r="I695" s="498">
        <v>16.5</v>
      </c>
      <c r="J695" s="499">
        <v>0.06</v>
      </c>
      <c r="K695" s="499">
        <f t="shared" si="111"/>
        <v>2936.94</v>
      </c>
      <c r="L695" s="497"/>
      <c r="M695" s="499"/>
    </row>
    <row r="696" spans="1:13" x14ac:dyDescent="0.25">
      <c r="A696" s="497"/>
      <c r="B696" s="545">
        <v>42599</v>
      </c>
      <c r="C696" s="497">
        <v>36</v>
      </c>
      <c r="D696" s="498">
        <v>14.95</v>
      </c>
      <c r="E696" s="499">
        <v>0</v>
      </c>
      <c r="F696" s="499">
        <f t="shared" si="110"/>
        <v>538.19999999999993</v>
      </c>
      <c r="G696" s="616"/>
      <c r="H696" s="513">
        <v>500</v>
      </c>
      <c r="I696" s="498">
        <v>16.72</v>
      </c>
      <c r="J696" s="499">
        <v>0.18</v>
      </c>
      <c r="K696" s="499">
        <f t="shared" si="111"/>
        <v>8359.82</v>
      </c>
      <c r="L696" s="497"/>
      <c r="M696" s="499"/>
    </row>
    <row r="697" spans="1:13" x14ac:dyDescent="0.25">
      <c r="A697" s="497"/>
      <c r="B697" s="545">
        <v>42599</v>
      </c>
      <c r="C697" s="497">
        <v>22</v>
      </c>
      <c r="D697" s="498">
        <v>14.95</v>
      </c>
      <c r="E697" s="499">
        <v>0</v>
      </c>
      <c r="F697" s="499">
        <f t="shared" si="110"/>
        <v>328.9</v>
      </c>
      <c r="G697" s="496">
        <v>42601</v>
      </c>
      <c r="H697" s="513">
        <v>500</v>
      </c>
      <c r="I697" s="498">
        <v>16.82</v>
      </c>
      <c r="J697" s="499">
        <v>0.18</v>
      </c>
      <c r="K697" s="499">
        <f t="shared" si="111"/>
        <v>8409.82</v>
      </c>
      <c r="L697" s="497"/>
      <c r="M697" s="499"/>
    </row>
    <row r="698" spans="1:13" x14ac:dyDescent="0.25">
      <c r="A698" s="497"/>
      <c r="B698" s="545">
        <v>42604</v>
      </c>
      <c r="C698" s="497">
        <v>1000</v>
      </c>
      <c r="D698" s="498">
        <v>15.68</v>
      </c>
      <c r="E698" s="499">
        <v>0</v>
      </c>
      <c r="F698" s="499">
        <f t="shared" si="110"/>
        <v>15680</v>
      </c>
      <c r="G698" s="496">
        <v>42605</v>
      </c>
      <c r="H698" s="513">
        <v>500</v>
      </c>
      <c r="I698" s="498">
        <v>15.98</v>
      </c>
      <c r="J698" s="499">
        <v>0.17</v>
      </c>
      <c r="K698" s="499">
        <f t="shared" si="111"/>
        <v>7989.83</v>
      </c>
      <c r="L698" s="497"/>
      <c r="M698" s="499"/>
    </row>
    <row r="699" spans="1:13" x14ac:dyDescent="0.25">
      <c r="A699" s="497"/>
      <c r="B699" s="545">
        <v>42604</v>
      </c>
      <c r="C699" s="497">
        <v>500</v>
      </c>
      <c r="D699" s="498">
        <v>15.48</v>
      </c>
      <c r="E699" s="499">
        <v>0</v>
      </c>
      <c r="F699" s="499">
        <f t="shared" si="110"/>
        <v>7740</v>
      </c>
      <c r="G699" s="496">
        <v>42605</v>
      </c>
      <c r="H699" s="513">
        <v>500</v>
      </c>
      <c r="I699" s="498">
        <v>16.25</v>
      </c>
      <c r="J699" s="499">
        <v>0.18</v>
      </c>
      <c r="K699" s="499">
        <f t="shared" si="111"/>
        <v>8124.82</v>
      </c>
      <c r="L699" s="497"/>
      <c r="M699" s="499"/>
    </row>
    <row r="700" spans="1:13" x14ac:dyDescent="0.25">
      <c r="A700" s="497"/>
      <c r="B700" s="545">
        <v>42606</v>
      </c>
      <c r="C700" s="497">
        <v>178</v>
      </c>
      <c r="D700" s="498">
        <v>16.059999999999999</v>
      </c>
      <c r="E700" s="499">
        <v>0</v>
      </c>
      <c r="F700" s="499">
        <f t="shared" si="110"/>
        <v>2858.68</v>
      </c>
      <c r="G700" s="496">
        <v>42605</v>
      </c>
      <c r="H700" s="513">
        <v>500</v>
      </c>
      <c r="I700" s="498">
        <v>16.48</v>
      </c>
      <c r="J700" s="499">
        <v>0.18</v>
      </c>
      <c r="K700" s="499">
        <f t="shared" si="111"/>
        <v>8239.82</v>
      </c>
      <c r="L700" s="497"/>
      <c r="M700" s="499"/>
    </row>
    <row r="701" spans="1:13" x14ac:dyDescent="0.25">
      <c r="A701" s="497"/>
      <c r="B701" s="545">
        <v>42608</v>
      </c>
      <c r="C701" s="497">
        <v>500</v>
      </c>
      <c r="D701" s="498">
        <v>15.98</v>
      </c>
      <c r="E701" s="499">
        <v>0</v>
      </c>
      <c r="F701" s="499">
        <f t="shared" si="110"/>
        <v>7990</v>
      </c>
      <c r="G701" s="496">
        <v>42615</v>
      </c>
      <c r="H701" s="513">
        <v>500</v>
      </c>
      <c r="I701" s="498">
        <v>15.65</v>
      </c>
      <c r="J701" s="499">
        <v>0.17</v>
      </c>
      <c r="K701" s="499">
        <f t="shared" si="111"/>
        <v>7824.83</v>
      </c>
      <c r="L701" s="497"/>
      <c r="M701" s="499"/>
    </row>
    <row r="702" spans="1:13" ht="30" x14ac:dyDescent="0.25">
      <c r="A702" s="497"/>
      <c r="B702" s="545">
        <v>42608</v>
      </c>
      <c r="C702" s="497">
        <v>500</v>
      </c>
      <c r="D702" s="498">
        <v>15.85</v>
      </c>
      <c r="E702" s="499">
        <v>0</v>
      </c>
      <c r="F702" s="499">
        <f t="shared" si="110"/>
        <v>7925</v>
      </c>
      <c r="G702" s="496">
        <v>42621</v>
      </c>
      <c r="H702" s="513">
        <v>500</v>
      </c>
      <c r="I702" s="498">
        <v>16.72</v>
      </c>
      <c r="J702" s="499">
        <v>0.18</v>
      </c>
      <c r="K702" s="499">
        <f t="shared" si="111"/>
        <v>8359.82</v>
      </c>
      <c r="L702" s="617" t="s">
        <v>265</v>
      </c>
      <c r="M702" s="499"/>
    </row>
    <row r="703" spans="1:13" x14ac:dyDescent="0.25">
      <c r="A703" s="497"/>
      <c r="B703" s="545">
        <v>42612</v>
      </c>
      <c r="C703" s="497">
        <v>500</v>
      </c>
      <c r="D703" s="498">
        <v>15.68</v>
      </c>
      <c r="E703" s="499">
        <v>0</v>
      </c>
      <c r="F703" s="499">
        <f t="shared" si="110"/>
        <v>7840</v>
      </c>
      <c r="G703" s="496">
        <v>42621</v>
      </c>
      <c r="H703" s="513">
        <v>500</v>
      </c>
      <c r="I703" s="498">
        <v>16.28</v>
      </c>
      <c r="J703" s="499">
        <v>0.18</v>
      </c>
      <c r="K703" s="499">
        <f t="shared" si="111"/>
        <v>8139.8200000000006</v>
      </c>
      <c r="L703" s="617"/>
      <c r="M703" s="499"/>
    </row>
    <row r="704" spans="1:13" x14ac:dyDescent="0.25">
      <c r="A704" s="497"/>
      <c r="B704" s="545">
        <v>42612</v>
      </c>
      <c r="C704" s="497">
        <v>500</v>
      </c>
      <c r="D704" s="498">
        <v>15.55</v>
      </c>
      <c r="E704" s="499">
        <v>0</v>
      </c>
      <c r="F704" s="499">
        <f t="shared" si="110"/>
        <v>7775</v>
      </c>
      <c r="G704" s="496">
        <v>42621</v>
      </c>
      <c r="H704" s="513">
        <v>220</v>
      </c>
      <c r="I704" s="498">
        <v>16.77</v>
      </c>
      <c r="J704" s="499">
        <v>0.08</v>
      </c>
      <c r="K704" s="499">
        <f t="shared" si="111"/>
        <v>3689.32</v>
      </c>
      <c r="L704" s="617"/>
      <c r="M704" s="499"/>
    </row>
    <row r="705" spans="1:13" x14ac:dyDescent="0.25">
      <c r="A705" s="497"/>
      <c r="B705" s="545">
        <v>42613</v>
      </c>
      <c r="C705" s="497">
        <v>500</v>
      </c>
      <c r="D705" s="498">
        <v>15.244999999999999</v>
      </c>
      <c r="E705" s="499">
        <v>0</v>
      </c>
      <c r="F705" s="499">
        <f t="shared" si="110"/>
        <v>7622.5</v>
      </c>
      <c r="G705" s="496">
        <v>42625</v>
      </c>
      <c r="H705" s="513">
        <v>500</v>
      </c>
      <c r="I705" s="498">
        <v>15.5</v>
      </c>
      <c r="J705" s="499">
        <v>0.17</v>
      </c>
      <c r="K705" s="499">
        <f t="shared" si="111"/>
        <v>7749.83</v>
      </c>
      <c r="L705" s="497"/>
      <c r="M705" s="499"/>
    </row>
    <row r="706" spans="1:13" x14ac:dyDescent="0.25">
      <c r="A706" s="497"/>
      <c r="B706" s="545">
        <v>42613</v>
      </c>
      <c r="C706" s="497">
        <v>500</v>
      </c>
      <c r="D706" s="498">
        <v>15.08</v>
      </c>
      <c r="E706" s="499">
        <v>0</v>
      </c>
      <c r="F706" s="499">
        <f t="shared" si="110"/>
        <v>7540</v>
      </c>
      <c r="G706" s="496">
        <v>42628</v>
      </c>
      <c r="H706" s="513">
        <v>300</v>
      </c>
      <c r="I706" s="498">
        <v>14.46</v>
      </c>
      <c r="J706" s="499">
        <v>0.09</v>
      </c>
      <c r="K706" s="499">
        <f t="shared" si="111"/>
        <v>4337.91</v>
      </c>
      <c r="L706" s="497"/>
      <c r="M706" s="499"/>
    </row>
    <row r="707" spans="1:13" x14ac:dyDescent="0.25">
      <c r="A707" s="497"/>
      <c r="B707" s="545">
        <v>42622</v>
      </c>
      <c r="C707" s="497">
        <v>220</v>
      </c>
      <c r="D707" s="498">
        <v>16.25</v>
      </c>
      <c r="E707" s="499">
        <v>0</v>
      </c>
      <c r="F707" s="499">
        <f t="shared" si="110"/>
        <v>3575</v>
      </c>
      <c r="G707" s="496">
        <v>42634</v>
      </c>
      <c r="H707" s="513">
        <v>322</v>
      </c>
      <c r="I707" s="498">
        <v>14.28</v>
      </c>
      <c r="J707" s="499">
        <v>0.1</v>
      </c>
      <c r="K707" s="499">
        <f t="shared" si="111"/>
        <v>4598.0599999999995</v>
      </c>
      <c r="L707" s="497"/>
      <c r="M707" s="499"/>
    </row>
    <row r="708" spans="1:13" x14ac:dyDescent="0.25">
      <c r="A708" s="497"/>
      <c r="B708" s="545">
        <v>42622</v>
      </c>
      <c r="C708" s="497">
        <v>500</v>
      </c>
      <c r="D708" s="498">
        <v>15.98</v>
      </c>
      <c r="E708" s="499">
        <v>0</v>
      </c>
      <c r="F708" s="499">
        <f t="shared" si="110"/>
        <v>7990</v>
      </c>
      <c r="G708" s="496">
        <v>42634</v>
      </c>
      <c r="H708" s="513">
        <v>400</v>
      </c>
      <c r="I708" s="498">
        <v>14.64</v>
      </c>
      <c r="J708" s="499">
        <v>0.13</v>
      </c>
      <c r="K708" s="499">
        <f t="shared" si="111"/>
        <v>5855.87</v>
      </c>
      <c r="L708" s="497"/>
      <c r="M708" s="499"/>
    </row>
    <row r="709" spans="1:13" x14ac:dyDescent="0.25">
      <c r="A709" s="497"/>
      <c r="B709" s="545">
        <v>42622</v>
      </c>
      <c r="C709" s="497">
        <v>500</v>
      </c>
      <c r="D709" s="498">
        <v>15.75</v>
      </c>
      <c r="E709" s="499">
        <v>0</v>
      </c>
      <c r="F709" s="499">
        <f t="shared" si="110"/>
        <v>7875</v>
      </c>
      <c r="G709" s="496">
        <v>42639</v>
      </c>
      <c r="H709" s="513">
        <v>200</v>
      </c>
      <c r="I709" s="498">
        <v>14.72</v>
      </c>
      <c r="J709" s="499">
        <v>0.06</v>
      </c>
      <c r="K709" s="499">
        <f t="shared" si="111"/>
        <v>2943.94</v>
      </c>
      <c r="L709" s="497"/>
      <c r="M709" s="499"/>
    </row>
    <row r="710" spans="1:13" x14ac:dyDescent="0.25">
      <c r="A710" s="497"/>
      <c r="B710" s="545">
        <v>42625</v>
      </c>
      <c r="C710" s="497">
        <v>500</v>
      </c>
      <c r="D710" s="498">
        <v>15.22</v>
      </c>
      <c r="E710" s="499">
        <v>0</v>
      </c>
      <c r="F710" s="499">
        <f t="shared" si="110"/>
        <v>7610</v>
      </c>
      <c r="G710" s="496">
        <v>42641</v>
      </c>
      <c r="H710" s="513">
        <v>300</v>
      </c>
      <c r="I710" s="498">
        <v>15.28</v>
      </c>
      <c r="J710" s="499">
        <v>0.1</v>
      </c>
      <c r="K710" s="499">
        <f t="shared" si="111"/>
        <v>4583.8999999999996</v>
      </c>
      <c r="L710" s="497"/>
      <c r="M710" s="499"/>
    </row>
    <row r="711" spans="1:13" ht="30" x14ac:dyDescent="0.25">
      <c r="A711" s="599" t="s">
        <v>274</v>
      </c>
      <c r="B711" s="545">
        <v>42626</v>
      </c>
      <c r="C711" s="497">
        <v>600</v>
      </c>
      <c r="D711" s="498">
        <v>14.91</v>
      </c>
      <c r="E711" s="499">
        <v>-3</v>
      </c>
      <c r="F711" s="499">
        <f t="shared" si="110"/>
        <v>8943</v>
      </c>
      <c r="G711" s="496">
        <v>42641</v>
      </c>
      <c r="H711" s="513">
        <v>400</v>
      </c>
      <c r="I711" s="498">
        <v>15.06</v>
      </c>
      <c r="J711" s="499">
        <v>0.13</v>
      </c>
      <c r="K711" s="499">
        <f t="shared" si="111"/>
        <v>6023.87</v>
      </c>
      <c r="L711" s="497"/>
      <c r="M711" s="499"/>
    </row>
    <row r="712" spans="1:13" x14ac:dyDescent="0.25">
      <c r="A712" s="599"/>
      <c r="B712" s="545">
        <v>42626</v>
      </c>
      <c r="C712" s="497">
        <v>400</v>
      </c>
      <c r="D712" s="498">
        <v>14.75</v>
      </c>
      <c r="E712" s="499">
        <v>0</v>
      </c>
      <c r="F712" s="499">
        <f t="shared" si="110"/>
        <v>5900</v>
      </c>
      <c r="G712" s="496">
        <v>42641</v>
      </c>
      <c r="H712" s="513">
        <v>322</v>
      </c>
      <c r="I712" s="498">
        <v>14.39</v>
      </c>
      <c r="J712" s="499">
        <v>0.1</v>
      </c>
      <c r="K712" s="499">
        <f t="shared" si="111"/>
        <v>4633.4799999999996</v>
      </c>
      <c r="L712" s="497"/>
      <c r="M712" s="499"/>
    </row>
    <row r="713" spans="1:13" x14ac:dyDescent="0.25">
      <c r="A713" s="599"/>
      <c r="B713" s="545">
        <v>42626</v>
      </c>
      <c r="C713" s="497">
        <v>300</v>
      </c>
      <c r="D713" s="498">
        <v>14.48</v>
      </c>
      <c r="E713" s="499">
        <v>0</v>
      </c>
      <c r="F713" s="499">
        <f t="shared" si="110"/>
        <v>4344</v>
      </c>
      <c r="G713" s="496">
        <v>42641</v>
      </c>
      <c r="H713" s="513">
        <v>500</v>
      </c>
      <c r="I713" s="498">
        <v>14.26</v>
      </c>
      <c r="J713" s="499">
        <v>0.16</v>
      </c>
      <c r="K713" s="499">
        <f t="shared" si="111"/>
        <v>7129.84</v>
      </c>
      <c r="L713" s="497"/>
      <c r="M713" s="499"/>
    </row>
    <row r="714" spans="1:13" x14ac:dyDescent="0.25">
      <c r="A714" s="599"/>
      <c r="B714" s="545">
        <v>42626</v>
      </c>
      <c r="C714" s="497">
        <v>300</v>
      </c>
      <c r="D714" s="498">
        <v>14.25</v>
      </c>
      <c r="E714" s="499">
        <v>0</v>
      </c>
      <c r="F714" s="499">
        <f t="shared" si="110"/>
        <v>4275</v>
      </c>
      <c r="G714" s="496">
        <v>42642</v>
      </c>
      <c r="H714" s="513">
        <v>300</v>
      </c>
      <c r="I714" s="498">
        <v>15.28</v>
      </c>
      <c r="J714" s="499">
        <v>0.1</v>
      </c>
      <c r="K714" s="499">
        <f t="shared" si="111"/>
        <v>4583.8999999999996</v>
      </c>
      <c r="L714" s="497"/>
      <c r="M714" s="499"/>
    </row>
    <row r="715" spans="1:13" x14ac:dyDescent="0.25">
      <c r="A715" s="599"/>
      <c r="B715" s="545">
        <v>42627</v>
      </c>
      <c r="C715" s="497">
        <v>200</v>
      </c>
      <c r="D715" s="498">
        <v>14.02</v>
      </c>
      <c r="E715" s="499">
        <v>-1</v>
      </c>
      <c r="F715" s="499">
        <f t="shared" si="110"/>
        <v>2803</v>
      </c>
      <c r="G715" s="496">
        <v>42642</v>
      </c>
      <c r="H715" s="513">
        <v>700</v>
      </c>
      <c r="I715" s="498">
        <v>15.78</v>
      </c>
      <c r="J715" s="499">
        <v>0.24</v>
      </c>
      <c r="K715" s="499">
        <f t="shared" si="111"/>
        <v>11045.76</v>
      </c>
      <c r="L715" s="497"/>
      <c r="M715" s="499"/>
    </row>
    <row r="716" spans="1:13" x14ac:dyDescent="0.25">
      <c r="A716" s="497"/>
      <c r="B716" s="545">
        <v>42628</v>
      </c>
      <c r="C716" s="497">
        <v>300</v>
      </c>
      <c r="D716" s="498">
        <v>14.3</v>
      </c>
      <c r="E716" s="499">
        <v>0</v>
      </c>
      <c r="F716" s="499">
        <f t="shared" si="110"/>
        <v>4290</v>
      </c>
      <c r="G716" s="496">
        <v>42642</v>
      </c>
      <c r="H716" s="513">
        <v>214</v>
      </c>
      <c r="I716" s="498">
        <v>15.98</v>
      </c>
      <c r="J716" s="499">
        <v>7.0000000000000007E-2</v>
      </c>
      <c r="K716" s="499">
        <f t="shared" si="111"/>
        <v>3419.65</v>
      </c>
      <c r="L716" s="497"/>
      <c r="M716" s="499"/>
    </row>
    <row r="717" spans="1:13" x14ac:dyDescent="0.25">
      <c r="A717" s="497"/>
      <c r="B717" s="545">
        <v>42632</v>
      </c>
      <c r="C717" s="497">
        <v>200</v>
      </c>
      <c r="D717" s="498">
        <v>14.06</v>
      </c>
      <c r="E717" s="499">
        <v>0</v>
      </c>
      <c r="F717" s="499">
        <f t="shared" si="110"/>
        <v>2812</v>
      </c>
      <c r="G717" s="496">
        <v>42648</v>
      </c>
      <c r="H717" s="513">
        <v>1000</v>
      </c>
      <c r="I717" s="498">
        <v>16.079999999999998</v>
      </c>
      <c r="J717" s="499">
        <v>0.35</v>
      </c>
      <c r="K717" s="499">
        <f t="shared" si="111"/>
        <v>16079.649999999998</v>
      </c>
      <c r="L717" s="497"/>
      <c r="M717" s="499"/>
    </row>
    <row r="718" spans="1:13" x14ac:dyDescent="0.25">
      <c r="A718" s="497"/>
      <c r="B718" s="545">
        <v>42633</v>
      </c>
      <c r="C718" s="497">
        <v>200</v>
      </c>
      <c r="D718" s="498">
        <v>14.11</v>
      </c>
      <c r="E718" s="499">
        <v>0</v>
      </c>
      <c r="F718" s="499">
        <f t="shared" si="110"/>
        <v>2822</v>
      </c>
      <c r="G718" s="496">
        <v>42648</v>
      </c>
      <c r="H718" s="513">
        <v>500</v>
      </c>
      <c r="I718" s="498">
        <v>16.38</v>
      </c>
      <c r="J718" s="499">
        <v>0.18</v>
      </c>
      <c r="K718" s="499">
        <f t="shared" si="111"/>
        <v>8189.8199999999988</v>
      </c>
      <c r="L718" s="497"/>
      <c r="M718" s="499"/>
    </row>
    <row r="719" spans="1:13" x14ac:dyDescent="0.25">
      <c r="A719" s="497"/>
      <c r="B719" s="545">
        <v>42633</v>
      </c>
      <c r="C719" s="497">
        <v>122</v>
      </c>
      <c r="D719" s="498">
        <v>14.1</v>
      </c>
      <c r="E719" s="499">
        <v>0</v>
      </c>
      <c r="F719" s="499">
        <f t="shared" si="110"/>
        <v>1720.2</v>
      </c>
      <c r="G719" s="496">
        <v>42649</v>
      </c>
      <c r="H719" s="513">
        <v>500</v>
      </c>
      <c r="I719" s="498">
        <v>16.16</v>
      </c>
      <c r="J719" s="499">
        <v>0.18</v>
      </c>
      <c r="K719" s="499">
        <f t="shared" si="111"/>
        <v>8079.82</v>
      </c>
      <c r="L719" s="497"/>
      <c r="M719" s="499"/>
    </row>
    <row r="720" spans="1:13" x14ac:dyDescent="0.25">
      <c r="A720" s="497"/>
      <c r="B720" s="545">
        <v>42636</v>
      </c>
      <c r="C720" s="497">
        <v>200</v>
      </c>
      <c r="D720" s="498">
        <v>14.38</v>
      </c>
      <c r="E720" s="499">
        <v>0</v>
      </c>
      <c r="F720" s="499">
        <f t="shared" si="110"/>
        <v>2876</v>
      </c>
      <c r="G720" s="496">
        <v>42671</v>
      </c>
      <c r="H720" s="513">
        <v>1000</v>
      </c>
      <c r="I720" s="498">
        <v>14.22</v>
      </c>
      <c r="J720" s="499">
        <v>0.31</v>
      </c>
      <c r="K720" s="499">
        <f t="shared" si="111"/>
        <v>14219.69</v>
      </c>
      <c r="L720" s="497"/>
      <c r="M720" s="499"/>
    </row>
    <row r="721" spans="1:13" x14ac:dyDescent="0.25">
      <c r="A721" s="497"/>
      <c r="B721" s="545">
        <v>42639</v>
      </c>
      <c r="C721" s="497">
        <v>200</v>
      </c>
      <c r="D721" s="498">
        <v>14.5</v>
      </c>
      <c r="E721" s="499">
        <v>0</v>
      </c>
      <c r="F721" s="499">
        <f t="shared" ref="F721:F735" si="112">C721*D721+E721</f>
        <v>2900</v>
      </c>
      <c r="G721" s="496">
        <v>42674</v>
      </c>
      <c r="H721" s="513">
        <v>300</v>
      </c>
      <c r="I721" s="498">
        <v>13.42</v>
      </c>
      <c r="J721" s="499">
        <v>0.09</v>
      </c>
      <c r="K721" s="499">
        <f t="shared" si="111"/>
        <v>4025.91</v>
      </c>
      <c r="L721" s="497"/>
      <c r="M721" s="499"/>
    </row>
    <row r="722" spans="1:13" x14ac:dyDescent="0.25">
      <c r="A722" s="497"/>
      <c r="B722" s="545">
        <v>42639</v>
      </c>
      <c r="C722" s="497">
        <v>200</v>
      </c>
      <c r="D722" s="498">
        <v>14.38</v>
      </c>
      <c r="E722" s="499">
        <v>0</v>
      </c>
      <c r="F722" s="499">
        <f t="shared" si="112"/>
        <v>2876</v>
      </c>
      <c r="G722" s="496">
        <v>42674</v>
      </c>
      <c r="H722" s="513">
        <v>200</v>
      </c>
      <c r="I722" s="498">
        <v>13.25</v>
      </c>
      <c r="J722" s="499">
        <v>-0.74</v>
      </c>
      <c r="K722" s="499">
        <f t="shared" si="111"/>
        <v>2650.74</v>
      </c>
      <c r="L722" s="497"/>
      <c r="M722" s="499"/>
    </row>
    <row r="723" spans="1:13" x14ac:dyDescent="0.25">
      <c r="A723" s="497"/>
      <c r="B723" s="545">
        <v>42640</v>
      </c>
      <c r="C723" s="497">
        <v>322</v>
      </c>
      <c r="D723" s="498">
        <v>13.97</v>
      </c>
      <c r="E723" s="499">
        <v>0</v>
      </c>
      <c r="F723" s="499">
        <f t="shared" si="112"/>
        <v>4498.34</v>
      </c>
      <c r="G723" s="496">
        <v>42676</v>
      </c>
      <c r="H723" s="513">
        <v>200</v>
      </c>
      <c r="I723" s="498">
        <v>13.05</v>
      </c>
      <c r="J723" s="499">
        <v>0.06</v>
      </c>
      <c r="K723" s="499">
        <f t="shared" si="111"/>
        <v>2609.94</v>
      </c>
      <c r="L723" s="497"/>
      <c r="M723" s="499"/>
    </row>
    <row r="724" spans="1:13" x14ac:dyDescent="0.25">
      <c r="A724" s="497"/>
      <c r="B724" s="545">
        <v>42641</v>
      </c>
      <c r="C724" s="497">
        <v>300</v>
      </c>
      <c r="D724" s="498">
        <v>14.02</v>
      </c>
      <c r="E724" s="499">
        <v>-1.26</v>
      </c>
      <c r="F724" s="499">
        <f t="shared" si="112"/>
        <v>4204.74</v>
      </c>
      <c r="G724" s="496">
        <v>42677</v>
      </c>
      <c r="H724" s="513">
        <v>500</v>
      </c>
      <c r="I724" s="498">
        <v>13.96</v>
      </c>
      <c r="J724" s="499">
        <v>0.15</v>
      </c>
      <c r="K724" s="499">
        <f t="shared" si="111"/>
        <v>6979.85</v>
      </c>
      <c r="L724" s="497"/>
      <c r="M724" s="499"/>
    </row>
    <row r="725" spans="1:13" x14ac:dyDescent="0.25">
      <c r="A725" s="497"/>
      <c r="B725" s="545">
        <v>42641</v>
      </c>
      <c r="C725" s="497">
        <v>200</v>
      </c>
      <c r="D725" s="498">
        <v>14.17</v>
      </c>
      <c r="E725" s="499">
        <v>0</v>
      </c>
      <c r="F725" s="499">
        <f t="shared" si="112"/>
        <v>2834</v>
      </c>
      <c r="G725" s="496">
        <v>42677</v>
      </c>
      <c r="H725" s="513">
        <v>2000</v>
      </c>
      <c r="I725" s="498">
        <v>14.5</v>
      </c>
      <c r="J725" s="499">
        <v>0.63</v>
      </c>
      <c r="K725" s="499">
        <f t="shared" si="111"/>
        <v>28999.37</v>
      </c>
      <c r="L725" s="497"/>
      <c r="M725" s="499"/>
    </row>
    <row r="726" spans="1:13" x14ac:dyDescent="0.25">
      <c r="A726" s="497"/>
      <c r="B726" s="545">
        <v>42642</v>
      </c>
      <c r="C726" s="497">
        <v>414</v>
      </c>
      <c r="D726" s="498">
        <v>15.66</v>
      </c>
      <c r="E726" s="499">
        <v>0</v>
      </c>
      <c r="F726" s="499">
        <f t="shared" si="112"/>
        <v>6483.24</v>
      </c>
      <c r="G726" s="496">
        <v>42682</v>
      </c>
      <c r="H726" s="513">
        <v>1000</v>
      </c>
      <c r="I726" s="498">
        <v>14.28</v>
      </c>
      <c r="J726" s="499">
        <v>0.31</v>
      </c>
      <c r="K726" s="499">
        <f t="shared" si="111"/>
        <v>14279.69</v>
      </c>
      <c r="L726" s="497"/>
      <c r="M726" s="499"/>
    </row>
    <row r="727" spans="1:13" ht="30" x14ac:dyDescent="0.25">
      <c r="A727" s="599" t="s">
        <v>289</v>
      </c>
      <c r="B727" s="545">
        <v>42647</v>
      </c>
      <c r="C727" s="497">
        <v>500</v>
      </c>
      <c r="D727" s="498">
        <v>15.86</v>
      </c>
      <c r="E727" s="499">
        <v>0</v>
      </c>
      <c r="F727" s="499">
        <f t="shared" si="112"/>
        <v>7930</v>
      </c>
      <c r="G727" s="496">
        <v>42685</v>
      </c>
      <c r="H727" s="513">
        <v>500</v>
      </c>
      <c r="I727" s="498">
        <v>15.88</v>
      </c>
      <c r="J727" s="499">
        <v>0.17</v>
      </c>
      <c r="K727" s="499">
        <f t="shared" si="111"/>
        <v>7939.83</v>
      </c>
      <c r="L727" s="497"/>
      <c r="M727" s="499"/>
    </row>
    <row r="728" spans="1:13" x14ac:dyDescent="0.25">
      <c r="A728" s="599"/>
      <c r="B728" s="545">
        <v>42647</v>
      </c>
      <c r="C728" s="497">
        <v>500</v>
      </c>
      <c r="D728" s="498">
        <v>15.62</v>
      </c>
      <c r="E728" s="499">
        <v>0</v>
      </c>
      <c r="F728" s="499">
        <f t="shared" si="112"/>
        <v>7810</v>
      </c>
      <c r="G728" s="496">
        <v>42695</v>
      </c>
      <c r="H728" s="513">
        <v>2272</v>
      </c>
      <c r="I728" s="498">
        <v>16.28</v>
      </c>
      <c r="J728" s="499">
        <v>0.81</v>
      </c>
      <c r="K728" s="499">
        <f t="shared" si="111"/>
        <v>36987.350000000006</v>
      </c>
      <c r="L728" s="497"/>
      <c r="M728" s="499"/>
    </row>
    <row r="729" spans="1:13" x14ac:dyDescent="0.25">
      <c r="A729" s="599"/>
      <c r="B729" s="545">
        <v>42649</v>
      </c>
      <c r="C729" s="497">
        <v>500</v>
      </c>
      <c r="D729" s="498">
        <v>15.97</v>
      </c>
      <c r="E729" s="499">
        <v>0</v>
      </c>
      <c r="F729" s="499">
        <f t="shared" si="112"/>
        <v>7985</v>
      </c>
      <c r="G729" s="496">
        <v>42695</v>
      </c>
      <c r="H729" s="513">
        <v>500</v>
      </c>
      <c r="I729" s="498">
        <v>16.45</v>
      </c>
      <c r="J729" s="499">
        <v>0.18</v>
      </c>
      <c r="K729" s="499">
        <f t="shared" si="111"/>
        <v>8224.82</v>
      </c>
      <c r="L729" s="497"/>
      <c r="M729" s="499"/>
    </row>
    <row r="730" spans="1:13" x14ac:dyDescent="0.25">
      <c r="A730" s="599"/>
      <c r="B730" s="545">
        <v>42649</v>
      </c>
      <c r="C730" s="497">
        <v>500</v>
      </c>
      <c r="D730" s="498">
        <v>15.84</v>
      </c>
      <c r="E730" s="499">
        <v>0</v>
      </c>
      <c r="F730" s="499">
        <f t="shared" si="112"/>
        <v>7920</v>
      </c>
      <c r="G730" s="496">
        <v>42696</v>
      </c>
      <c r="H730" s="513">
        <v>500</v>
      </c>
      <c r="I730" s="498">
        <v>16.54</v>
      </c>
      <c r="J730" s="499">
        <v>0.18</v>
      </c>
      <c r="K730" s="499">
        <f t="shared" si="111"/>
        <v>8269.82</v>
      </c>
      <c r="L730" s="497"/>
      <c r="M730" s="499"/>
    </row>
    <row r="731" spans="1:13" x14ac:dyDescent="0.25">
      <c r="A731" s="497"/>
      <c r="B731" s="545">
        <v>42649</v>
      </c>
      <c r="C731" s="497">
        <v>500</v>
      </c>
      <c r="D731" s="498">
        <v>16.079999999999998</v>
      </c>
      <c r="E731" s="499">
        <v>0</v>
      </c>
      <c r="F731" s="499">
        <f t="shared" si="112"/>
        <v>8039.9999999999991</v>
      </c>
      <c r="G731" s="496">
        <v>42697</v>
      </c>
      <c r="H731" s="513">
        <v>200</v>
      </c>
      <c r="I731" s="498">
        <v>16.79</v>
      </c>
      <c r="J731" s="499">
        <v>7.0000000000000007E-2</v>
      </c>
      <c r="K731" s="499">
        <f t="shared" si="111"/>
        <v>3357.93</v>
      </c>
      <c r="L731" s="497"/>
      <c r="M731" s="499"/>
    </row>
    <row r="732" spans="1:13" x14ac:dyDescent="0.25">
      <c r="A732" s="497"/>
      <c r="B732" s="545">
        <v>42650</v>
      </c>
      <c r="C732" s="497">
        <v>300</v>
      </c>
      <c r="D732" s="498">
        <v>15.75</v>
      </c>
      <c r="E732" s="499">
        <v>0</v>
      </c>
      <c r="F732" s="499">
        <f t="shared" si="112"/>
        <v>4725</v>
      </c>
      <c r="G732" s="496">
        <v>42697</v>
      </c>
      <c r="H732" s="513">
        <v>500</v>
      </c>
      <c r="I732" s="498">
        <v>16.59</v>
      </c>
      <c r="J732" s="499">
        <v>0.18</v>
      </c>
      <c r="K732" s="499">
        <f t="shared" si="111"/>
        <v>8294.82</v>
      </c>
      <c r="L732" s="497"/>
      <c r="M732" s="499"/>
    </row>
    <row r="733" spans="1:13" x14ac:dyDescent="0.25">
      <c r="A733" s="497"/>
      <c r="B733" s="545">
        <v>42650</v>
      </c>
      <c r="C733" s="497">
        <v>300</v>
      </c>
      <c r="D733" s="498">
        <v>15.58</v>
      </c>
      <c r="E733" s="499">
        <v>0</v>
      </c>
      <c r="F733" s="499">
        <f t="shared" si="112"/>
        <v>4674</v>
      </c>
      <c r="G733" s="496">
        <v>42704</v>
      </c>
      <c r="H733" s="513">
        <v>1000</v>
      </c>
      <c r="I733" s="498">
        <v>16.420000000000002</v>
      </c>
      <c r="J733" s="499">
        <v>0.36</v>
      </c>
      <c r="K733" s="499">
        <f t="shared" si="111"/>
        <v>16419.64</v>
      </c>
      <c r="L733" s="497"/>
      <c r="M733" s="499"/>
    </row>
    <row r="734" spans="1:13" x14ac:dyDescent="0.25">
      <c r="A734" s="497"/>
      <c r="B734" s="545">
        <v>42653</v>
      </c>
      <c r="C734" s="497">
        <v>394</v>
      </c>
      <c r="D734" s="498">
        <v>15.72</v>
      </c>
      <c r="E734" s="499">
        <v>0</v>
      </c>
      <c r="F734" s="499">
        <f t="shared" si="112"/>
        <v>6193.68</v>
      </c>
      <c r="G734" s="496">
        <v>42704</v>
      </c>
      <c r="H734" s="513">
        <v>300</v>
      </c>
      <c r="I734" s="498">
        <v>16.78</v>
      </c>
      <c r="J734" s="499">
        <v>1.61</v>
      </c>
      <c r="K734" s="499">
        <f t="shared" si="111"/>
        <v>5032.3900000000003</v>
      </c>
      <c r="L734" s="497"/>
      <c r="M734" s="499"/>
    </row>
    <row r="735" spans="1:13" x14ac:dyDescent="0.25">
      <c r="A735" s="497"/>
      <c r="B735" s="545">
        <v>42653</v>
      </c>
      <c r="C735" s="497">
        <v>6</v>
      </c>
      <c r="D735" s="498">
        <v>15.72</v>
      </c>
      <c r="E735" s="499">
        <v>0</v>
      </c>
      <c r="F735" s="499">
        <f t="shared" si="112"/>
        <v>94.320000000000007</v>
      </c>
      <c r="G735" s="496">
        <v>42704</v>
      </c>
      <c r="H735" s="513">
        <v>1000</v>
      </c>
      <c r="I735" s="498">
        <v>17.079999999999998</v>
      </c>
      <c r="J735" s="499">
        <v>0.37</v>
      </c>
      <c r="K735" s="499">
        <f t="shared" si="111"/>
        <v>17079.63</v>
      </c>
      <c r="L735" s="497"/>
      <c r="M735" s="499"/>
    </row>
    <row r="736" spans="1:13" x14ac:dyDescent="0.25">
      <c r="A736" s="497"/>
      <c r="B736" s="545">
        <v>42655</v>
      </c>
      <c r="C736" s="497">
        <v>22</v>
      </c>
      <c r="D736" s="498">
        <v>15.48</v>
      </c>
      <c r="E736" s="499">
        <v>0</v>
      </c>
      <c r="F736" s="499">
        <f>C736*D736+E736</f>
        <v>340.56</v>
      </c>
      <c r="G736" s="496">
        <v>42704</v>
      </c>
      <c r="H736" s="513">
        <v>1000</v>
      </c>
      <c r="I736" s="498">
        <v>17.32</v>
      </c>
      <c r="J736" s="499">
        <v>0.38</v>
      </c>
      <c r="K736" s="499">
        <f t="shared" si="111"/>
        <v>17319.62</v>
      </c>
      <c r="L736" s="497"/>
      <c r="M736" s="499"/>
    </row>
    <row r="737" spans="1:13" x14ac:dyDescent="0.25">
      <c r="A737" s="497"/>
      <c r="B737" s="545">
        <v>42655</v>
      </c>
      <c r="C737" s="497">
        <v>300</v>
      </c>
      <c r="D737" s="498">
        <v>15.48</v>
      </c>
      <c r="E737" s="499">
        <v>0</v>
      </c>
      <c r="F737" s="499">
        <f>C737*D737+E737</f>
        <v>4644</v>
      </c>
      <c r="G737" s="496">
        <v>42704</v>
      </c>
      <c r="H737" s="513">
        <v>500</v>
      </c>
      <c r="I737" s="498">
        <v>17.64</v>
      </c>
      <c r="J737" s="499">
        <v>0.19</v>
      </c>
      <c r="K737" s="499">
        <f t="shared" si="111"/>
        <v>8819.81</v>
      </c>
      <c r="L737" s="497"/>
      <c r="M737" s="499"/>
    </row>
    <row r="738" spans="1:13" x14ac:dyDescent="0.25">
      <c r="A738" s="600"/>
      <c r="B738" s="545">
        <v>42668</v>
      </c>
      <c r="C738" s="497">
        <v>500</v>
      </c>
      <c r="D738" s="498">
        <v>14.26</v>
      </c>
      <c r="E738" s="499">
        <v>-2.5</v>
      </c>
      <c r="F738" s="499">
        <f t="shared" ref="F738:F747" si="113">C738*D738+E738</f>
        <v>7127.5</v>
      </c>
      <c r="G738" s="496">
        <v>42705</v>
      </c>
      <c r="H738" s="513">
        <v>528</v>
      </c>
      <c r="I738" s="498">
        <v>18.7</v>
      </c>
      <c r="J738" s="499">
        <v>0.22</v>
      </c>
      <c r="K738" s="499">
        <f t="shared" si="111"/>
        <v>9873.380000000001</v>
      </c>
      <c r="L738" s="497"/>
      <c r="M738" s="499"/>
    </row>
    <row r="739" spans="1:13" x14ac:dyDescent="0.25">
      <c r="A739" s="600"/>
      <c r="B739" s="545">
        <v>42668</v>
      </c>
      <c r="C739" s="497">
        <v>500</v>
      </c>
      <c r="D739" s="498">
        <v>14.16</v>
      </c>
      <c r="E739" s="499">
        <v>0</v>
      </c>
      <c r="F739" s="499">
        <f t="shared" si="113"/>
        <v>7080</v>
      </c>
      <c r="G739" s="496">
        <v>42711</v>
      </c>
      <c r="H739" s="513">
        <v>500</v>
      </c>
      <c r="I739" s="498">
        <v>18.329999999999998</v>
      </c>
      <c r="J739" s="499">
        <v>0.2</v>
      </c>
      <c r="K739" s="499">
        <f t="shared" si="111"/>
        <v>9164.7999999999993</v>
      </c>
      <c r="L739" s="497"/>
      <c r="M739" s="499"/>
    </row>
    <row r="740" spans="1:13" x14ac:dyDescent="0.25">
      <c r="A740" s="600"/>
      <c r="B740" s="545">
        <v>42670</v>
      </c>
      <c r="C740" s="497">
        <v>500</v>
      </c>
      <c r="D740" s="498">
        <v>14.18</v>
      </c>
      <c r="E740" s="499">
        <v>0</v>
      </c>
      <c r="F740" s="499">
        <f t="shared" si="113"/>
        <v>7090</v>
      </c>
      <c r="G740" s="496">
        <v>42713</v>
      </c>
      <c r="H740" s="513">
        <v>500</v>
      </c>
      <c r="I740" s="498">
        <v>18.28</v>
      </c>
      <c r="J740" s="499">
        <v>0.2</v>
      </c>
      <c r="K740" s="499">
        <f t="shared" si="111"/>
        <v>9139.7999999999993</v>
      </c>
      <c r="L740" s="497"/>
      <c r="M740" s="499"/>
    </row>
    <row r="741" spans="1:13" x14ac:dyDescent="0.25">
      <c r="A741" s="600"/>
      <c r="B741" s="545">
        <v>42670</v>
      </c>
      <c r="C741" s="497">
        <v>500</v>
      </c>
      <c r="D741" s="498">
        <v>14.05</v>
      </c>
      <c r="E741" s="499">
        <v>0</v>
      </c>
      <c r="F741" s="499">
        <f t="shared" si="113"/>
        <v>7025</v>
      </c>
      <c r="G741" s="496">
        <v>42718</v>
      </c>
      <c r="H741" s="513">
        <v>200</v>
      </c>
      <c r="I741" s="498">
        <v>18.78</v>
      </c>
      <c r="J741" s="499">
        <v>0.08</v>
      </c>
      <c r="K741" s="499">
        <f t="shared" si="111"/>
        <v>3755.92</v>
      </c>
      <c r="L741" s="497"/>
      <c r="M741" s="499"/>
    </row>
    <row r="742" spans="1:13" x14ac:dyDescent="0.25">
      <c r="A742" s="600"/>
      <c r="B742" s="545">
        <v>42670</v>
      </c>
      <c r="C742" s="497">
        <v>500</v>
      </c>
      <c r="D742" s="498">
        <v>13.88</v>
      </c>
      <c r="E742" s="499">
        <v>0</v>
      </c>
      <c r="F742" s="499">
        <f t="shared" si="113"/>
        <v>6940</v>
      </c>
      <c r="G742" s="496">
        <v>42734</v>
      </c>
      <c r="H742" s="513">
        <v>1000</v>
      </c>
      <c r="I742" s="498">
        <v>17.72</v>
      </c>
      <c r="J742" s="499">
        <v>0.39</v>
      </c>
      <c r="K742" s="499">
        <f t="shared" si="111"/>
        <v>17719.61</v>
      </c>
      <c r="L742" s="497"/>
      <c r="M742" s="499"/>
    </row>
    <row r="743" spans="1:13" x14ac:dyDescent="0.25">
      <c r="A743" s="497"/>
      <c r="B743" s="545">
        <v>42671</v>
      </c>
      <c r="C743" s="497">
        <v>1000</v>
      </c>
      <c r="D743" s="498">
        <v>14.15</v>
      </c>
      <c r="E743" s="499">
        <v>0</v>
      </c>
      <c r="F743" s="499">
        <f t="shared" si="113"/>
        <v>14150</v>
      </c>
      <c r="G743" s="496">
        <v>42739</v>
      </c>
      <c r="H743" s="513">
        <v>500</v>
      </c>
      <c r="I743" s="498">
        <v>18.079999999999998</v>
      </c>
      <c r="J743" s="499">
        <v>0.2</v>
      </c>
      <c r="K743" s="499">
        <f t="shared" si="111"/>
        <v>9039.7999999999993</v>
      </c>
      <c r="L743" s="497"/>
      <c r="M743" s="499"/>
    </row>
    <row r="744" spans="1:13" x14ac:dyDescent="0.25">
      <c r="A744" s="497"/>
      <c r="B744" s="545">
        <v>42674</v>
      </c>
      <c r="C744" s="497">
        <v>300</v>
      </c>
      <c r="D744" s="498">
        <v>13.28</v>
      </c>
      <c r="E744" s="499">
        <v>-1.5</v>
      </c>
      <c r="F744" s="499">
        <f t="shared" si="113"/>
        <v>3982.5</v>
      </c>
      <c r="G744" s="496">
        <v>42748</v>
      </c>
      <c r="H744" s="513">
        <v>500</v>
      </c>
      <c r="I744" s="498">
        <v>17.48</v>
      </c>
      <c r="J744" s="499">
        <v>0.19</v>
      </c>
      <c r="K744" s="499">
        <f t="shared" si="111"/>
        <v>8739.81</v>
      </c>
      <c r="L744" s="497"/>
      <c r="M744" s="499"/>
    </row>
    <row r="745" spans="1:13" x14ac:dyDescent="0.25">
      <c r="A745" s="497"/>
      <c r="B745" s="545">
        <v>42674</v>
      </c>
      <c r="C745" s="497">
        <v>200</v>
      </c>
      <c r="D745" s="498">
        <v>13.15</v>
      </c>
      <c r="E745" s="499">
        <v>0.02</v>
      </c>
      <c r="F745" s="499">
        <f t="shared" si="113"/>
        <v>2630.02</v>
      </c>
      <c r="G745" s="496">
        <v>42761</v>
      </c>
      <c r="H745" s="513">
        <v>1000</v>
      </c>
      <c r="I745" s="498">
        <v>17.899999999999999</v>
      </c>
      <c r="J745" s="499">
        <v>0.39</v>
      </c>
      <c r="K745" s="499">
        <f t="shared" si="111"/>
        <v>17899.61</v>
      </c>
      <c r="L745" s="497"/>
      <c r="M745" s="499"/>
    </row>
    <row r="746" spans="1:13" x14ac:dyDescent="0.25">
      <c r="A746" s="497"/>
      <c r="B746" s="545">
        <v>42676</v>
      </c>
      <c r="C746" s="497">
        <v>200</v>
      </c>
      <c r="D746" s="498">
        <v>12.89</v>
      </c>
      <c r="E746" s="499">
        <v>0</v>
      </c>
      <c r="F746" s="499">
        <f t="shared" si="113"/>
        <v>2578</v>
      </c>
      <c r="G746" s="496">
        <v>42766</v>
      </c>
      <c r="H746" s="513">
        <v>300</v>
      </c>
      <c r="I746" s="498">
        <v>16.649999999999999</v>
      </c>
      <c r="J746" s="499">
        <v>0.11</v>
      </c>
      <c r="K746" s="499">
        <f t="shared" si="111"/>
        <v>4994.8900000000003</v>
      </c>
      <c r="L746" s="497"/>
      <c r="M746" s="499"/>
    </row>
    <row r="747" spans="1:13" x14ac:dyDescent="0.25">
      <c r="A747" s="497"/>
      <c r="B747" s="545">
        <v>42678</v>
      </c>
      <c r="C747" s="497">
        <v>500</v>
      </c>
      <c r="D747" s="498">
        <v>13.69</v>
      </c>
      <c r="E747" s="499">
        <v>0</v>
      </c>
      <c r="F747" s="499">
        <f t="shared" si="113"/>
        <v>6845</v>
      </c>
      <c r="G747" s="496">
        <v>42767</v>
      </c>
      <c r="H747" s="513">
        <v>612</v>
      </c>
      <c r="I747" s="498">
        <v>17.03</v>
      </c>
      <c r="J747" s="499">
        <v>0.23</v>
      </c>
      <c r="K747" s="499">
        <f t="shared" si="111"/>
        <v>10422.130000000001</v>
      </c>
      <c r="L747" s="497"/>
      <c r="M747" s="499"/>
    </row>
    <row r="748" spans="1:13" x14ac:dyDescent="0.25">
      <c r="A748" s="497"/>
      <c r="B748" s="545">
        <v>42678</v>
      </c>
      <c r="C748" s="497">
        <v>500</v>
      </c>
      <c r="D748" s="498">
        <v>13.69</v>
      </c>
      <c r="E748" s="499">
        <v>0</v>
      </c>
      <c r="F748" s="499">
        <f>C748*D748+E748</f>
        <v>6845</v>
      </c>
      <c r="G748" s="496">
        <v>42767</v>
      </c>
      <c r="H748" s="513">
        <v>288</v>
      </c>
      <c r="I748" s="498">
        <v>17.12</v>
      </c>
      <c r="J748" s="499">
        <v>0.11</v>
      </c>
      <c r="K748" s="499">
        <f t="shared" si="111"/>
        <v>4930.4500000000007</v>
      </c>
      <c r="L748" s="497"/>
      <c r="M748" s="499"/>
    </row>
    <row r="749" spans="1:13" x14ac:dyDescent="0.25">
      <c r="A749" s="497"/>
      <c r="B749" s="545">
        <v>42691</v>
      </c>
      <c r="C749" s="497">
        <v>150</v>
      </c>
      <c r="D749" s="498">
        <v>15.48</v>
      </c>
      <c r="E749" s="499">
        <v>0</v>
      </c>
      <c r="F749" s="499">
        <f t="shared" ref="F749:F765" si="114">C749*D749+E749</f>
        <v>2322</v>
      </c>
      <c r="G749" s="496">
        <v>42767</v>
      </c>
      <c r="H749" s="513">
        <v>700</v>
      </c>
      <c r="I749" s="498">
        <v>16.57</v>
      </c>
      <c r="J749" s="499">
        <v>0.25</v>
      </c>
      <c r="K749" s="499">
        <f t="shared" si="111"/>
        <v>11598.75</v>
      </c>
      <c r="L749" s="497"/>
      <c r="M749" s="499"/>
    </row>
    <row r="750" spans="1:13" x14ac:dyDescent="0.25">
      <c r="A750" s="497"/>
      <c r="B750" s="545">
        <v>42691</v>
      </c>
      <c r="C750" s="497">
        <v>300</v>
      </c>
      <c r="D750" s="498">
        <v>15.48</v>
      </c>
      <c r="E750" s="499">
        <v>0</v>
      </c>
      <c r="F750" s="499">
        <f t="shared" si="114"/>
        <v>4644</v>
      </c>
      <c r="G750" s="496">
        <v>42768</v>
      </c>
      <c r="H750" s="513">
        <v>200</v>
      </c>
      <c r="I750" s="498">
        <v>16.7</v>
      </c>
      <c r="J750" s="499">
        <v>7.0000000000000007E-2</v>
      </c>
      <c r="K750" s="499">
        <f t="shared" si="111"/>
        <v>3339.93</v>
      </c>
      <c r="L750" s="497"/>
      <c r="M750" s="499"/>
    </row>
    <row r="751" spans="1:13" x14ac:dyDescent="0.25">
      <c r="A751" s="497"/>
      <c r="B751" s="545">
        <v>42696</v>
      </c>
      <c r="C751" s="497">
        <v>1000</v>
      </c>
      <c r="D751" s="498">
        <v>16.12</v>
      </c>
      <c r="E751" s="499">
        <v>0</v>
      </c>
      <c r="F751" s="499">
        <f t="shared" si="114"/>
        <v>16120.000000000002</v>
      </c>
      <c r="G751" s="496">
        <v>42768</v>
      </c>
      <c r="H751" s="513">
        <v>500</v>
      </c>
      <c r="I751" s="498">
        <v>16.600000000000001</v>
      </c>
      <c r="J751" s="499">
        <v>-1.82</v>
      </c>
      <c r="K751" s="499">
        <f t="shared" si="111"/>
        <v>8301.82</v>
      </c>
      <c r="L751" s="497"/>
      <c r="M751" s="499"/>
    </row>
    <row r="752" spans="1:13" x14ac:dyDescent="0.25">
      <c r="A752" s="497"/>
      <c r="B752" s="545">
        <v>42699</v>
      </c>
      <c r="C752" s="497">
        <v>200</v>
      </c>
      <c r="D752" s="498">
        <v>16.28</v>
      </c>
      <c r="E752" s="499">
        <v>0</v>
      </c>
      <c r="F752" s="499">
        <f t="shared" si="114"/>
        <v>3256</v>
      </c>
      <c r="G752" s="496">
        <v>42768</v>
      </c>
      <c r="H752" s="513">
        <v>500</v>
      </c>
      <c r="I752" s="498">
        <v>16.75</v>
      </c>
      <c r="J752" s="499">
        <v>0.18</v>
      </c>
      <c r="K752" s="499">
        <f t="shared" si="111"/>
        <v>8374.82</v>
      </c>
      <c r="L752" s="497"/>
      <c r="M752" s="499"/>
    </row>
    <row r="753" spans="1:13" x14ac:dyDescent="0.25">
      <c r="A753" s="600"/>
      <c r="B753" s="545">
        <v>42699</v>
      </c>
      <c r="C753" s="497">
        <v>500</v>
      </c>
      <c r="D753" s="498">
        <v>16.16</v>
      </c>
      <c r="E753" s="499">
        <v>0</v>
      </c>
      <c r="F753" s="499">
        <f t="shared" si="114"/>
        <v>8080</v>
      </c>
      <c r="G753" s="496">
        <v>42769</v>
      </c>
      <c r="H753" s="601">
        <v>400</v>
      </c>
      <c r="I753" s="602">
        <v>16.95</v>
      </c>
      <c r="J753" s="603">
        <v>0.15</v>
      </c>
      <c r="K753" s="603">
        <f t="shared" si="111"/>
        <v>6779.85</v>
      </c>
      <c r="L753" s="497"/>
      <c r="M753" s="499"/>
    </row>
    <row r="754" spans="1:13" x14ac:dyDescent="0.25">
      <c r="A754" s="600"/>
      <c r="B754" s="545">
        <v>42702</v>
      </c>
      <c r="C754" s="497">
        <v>500</v>
      </c>
      <c r="D754" s="498">
        <v>16.059999999999999</v>
      </c>
      <c r="E754" s="499">
        <v>0</v>
      </c>
      <c r="F754" s="499">
        <f t="shared" si="114"/>
        <v>8029.9999999999991</v>
      </c>
      <c r="G754" s="496">
        <v>42769</v>
      </c>
      <c r="H754" s="601">
        <v>300</v>
      </c>
      <c r="I754" s="602">
        <v>17.32</v>
      </c>
      <c r="J754" s="603">
        <v>0.11</v>
      </c>
      <c r="K754" s="603">
        <f t="shared" si="111"/>
        <v>5195.8900000000003</v>
      </c>
      <c r="L754" s="497"/>
      <c r="M754" s="499"/>
    </row>
    <row r="755" spans="1:13" x14ac:dyDescent="0.25">
      <c r="A755" s="600"/>
      <c r="B755" s="545">
        <v>42702</v>
      </c>
      <c r="C755" s="497">
        <v>200</v>
      </c>
      <c r="D755" s="498">
        <v>15.8</v>
      </c>
      <c r="E755" s="499">
        <v>0</v>
      </c>
      <c r="F755" s="499">
        <f t="shared" si="114"/>
        <v>3160</v>
      </c>
      <c r="G755" s="496">
        <v>42781</v>
      </c>
      <c r="H755" s="513">
        <v>600</v>
      </c>
      <c r="I755" s="498">
        <v>16.52</v>
      </c>
      <c r="J755" s="499">
        <v>0.22</v>
      </c>
      <c r="K755" s="499">
        <f t="shared" si="111"/>
        <v>9911.7800000000007</v>
      </c>
      <c r="L755" s="497"/>
      <c r="M755" s="499"/>
    </row>
    <row r="756" spans="1:13" x14ac:dyDescent="0.25">
      <c r="A756" s="600"/>
      <c r="B756" s="545">
        <v>42702</v>
      </c>
      <c r="C756" s="497">
        <v>300</v>
      </c>
      <c r="D756" s="498">
        <v>15.65</v>
      </c>
      <c r="E756" s="499">
        <v>0</v>
      </c>
      <c r="F756" s="499">
        <f t="shared" si="114"/>
        <v>4695</v>
      </c>
      <c r="G756" s="496">
        <v>42781</v>
      </c>
      <c r="H756" s="513">
        <v>300</v>
      </c>
      <c r="I756" s="498">
        <v>16.440000000000001</v>
      </c>
      <c r="J756" s="499">
        <v>0.11</v>
      </c>
      <c r="K756" s="499">
        <f t="shared" si="111"/>
        <v>4931.8900000000003</v>
      </c>
      <c r="L756" s="497"/>
      <c r="M756" s="499"/>
    </row>
    <row r="757" spans="1:13" x14ac:dyDescent="0.25">
      <c r="A757" s="497"/>
      <c r="B757" s="545">
        <v>42703</v>
      </c>
      <c r="C757" s="497">
        <v>300</v>
      </c>
      <c r="D757" s="498">
        <v>14.78</v>
      </c>
      <c r="E757" s="499">
        <v>0</v>
      </c>
      <c r="F757" s="499">
        <f t="shared" si="114"/>
        <v>4434</v>
      </c>
      <c r="G757" s="496">
        <v>42782</v>
      </c>
      <c r="H757" s="513">
        <v>300</v>
      </c>
      <c r="I757" s="498">
        <v>17</v>
      </c>
      <c r="J757" s="499">
        <v>0.11</v>
      </c>
      <c r="K757" s="499">
        <f t="shared" si="111"/>
        <v>5099.8900000000003</v>
      </c>
      <c r="L757" s="497"/>
      <c r="M757" s="499"/>
    </row>
    <row r="758" spans="1:13" x14ac:dyDescent="0.25">
      <c r="A758" s="497"/>
      <c r="B758" s="545">
        <v>42705</v>
      </c>
      <c r="C758" s="497">
        <v>350</v>
      </c>
      <c r="D758" s="498">
        <v>17.600000000000001</v>
      </c>
      <c r="E758" s="499">
        <v>0</v>
      </c>
      <c r="F758" s="499">
        <f t="shared" si="114"/>
        <v>6160.0000000000009</v>
      </c>
      <c r="G758" s="497"/>
      <c r="H758" s="513"/>
      <c r="I758" s="498"/>
      <c r="J758" s="499"/>
      <c r="K758" s="499"/>
      <c r="L758" s="497"/>
      <c r="M758" s="499"/>
    </row>
    <row r="759" spans="1:13" x14ac:dyDescent="0.25">
      <c r="A759" s="497"/>
      <c r="B759" s="545">
        <v>42711</v>
      </c>
      <c r="C759" s="497">
        <v>500</v>
      </c>
      <c r="D759" s="498">
        <v>18.12</v>
      </c>
      <c r="E759" s="499">
        <v>0</v>
      </c>
      <c r="F759" s="499">
        <f t="shared" si="114"/>
        <v>9060</v>
      </c>
      <c r="G759" s="497"/>
      <c r="H759" s="513"/>
      <c r="I759" s="498"/>
      <c r="J759" s="499"/>
      <c r="K759" s="499"/>
      <c r="L759" s="497"/>
      <c r="M759" s="499"/>
    </row>
    <row r="760" spans="1:13" x14ac:dyDescent="0.25">
      <c r="A760" s="497"/>
      <c r="B760" s="545">
        <v>42713</v>
      </c>
      <c r="C760" s="497">
        <v>500</v>
      </c>
      <c r="D760" s="498">
        <v>18.12</v>
      </c>
      <c r="E760" s="499">
        <v>0</v>
      </c>
      <c r="F760" s="499">
        <f t="shared" si="114"/>
        <v>9060</v>
      </c>
      <c r="G760" s="497"/>
      <c r="H760" s="513"/>
      <c r="I760" s="498"/>
      <c r="J760" s="499"/>
      <c r="K760" s="499"/>
      <c r="L760" s="497"/>
      <c r="M760" s="499"/>
    </row>
    <row r="761" spans="1:13" x14ac:dyDescent="0.25">
      <c r="A761" s="497"/>
      <c r="B761" s="545">
        <v>42718</v>
      </c>
      <c r="C761" s="497">
        <v>200</v>
      </c>
      <c r="D761" s="498">
        <v>18.73</v>
      </c>
      <c r="E761" s="499">
        <v>-1</v>
      </c>
      <c r="F761" s="499">
        <f t="shared" si="114"/>
        <v>3745</v>
      </c>
      <c r="G761" s="497"/>
      <c r="H761" s="513"/>
      <c r="I761" s="498"/>
      <c r="J761" s="499"/>
      <c r="K761" s="499"/>
      <c r="L761" s="497"/>
      <c r="M761" s="499"/>
    </row>
    <row r="762" spans="1:13" x14ac:dyDescent="0.25">
      <c r="A762" s="497"/>
      <c r="B762" s="545">
        <v>42733</v>
      </c>
      <c r="C762" s="497">
        <v>1000</v>
      </c>
      <c r="D762" s="498">
        <v>17.64</v>
      </c>
      <c r="E762" s="499">
        <v>-1.5</v>
      </c>
      <c r="F762" s="499">
        <f t="shared" si="114"/>
        <v>17638.5</v>
      </c>
      <c r="G762" s="497"/>
      <c r="H762" s="513"/>
      <c r="I762" s="498"/>
      <c r="J762" s="499"/>
      <c r="K762" s="499"/>
      <c r="L762" s="497"/>
      <c r="M762" s="499"/>
    </row>
    <row r="763" spans="1:13" x14ac:dyDescent="0.25">
      <c r="A763" s="497"/>
      <c r="B763" s="545">
        <v>42734</v>
      </c>
      <c r="C763" s="497">
        <v>1000</v>
      </c>
      <c r="D763" s="498">
        <v>17.329999999999998</v>
      </c>
      <c r="E763" s="499">
        <v>0</v>
      </c>
      <c r="F763" s="499">
        <f t="shared" si="114"/>
        <v>17330</v>
      </c>
      <c r="G763" s="497"/>
      <c r="H763" s="513"/>
      <c r="I763" s="498"/>
      <c r="J763" s="499"/>
      <c r="K763" s="499"/>
      <c r="L763" s="497"/>
      <c r="M763" s="499"/>
    </row>
    <row r="764" spans="1:13" x14ac:dyDescent="0.25">
      <c r="A764" s="497"/>
      <c r="B764" s="545">
        <v>42741</v>
      </c>
      <c r="C764" s="497">
        <v>500</v>
      </c>
      <c r="D764" s="498">
        <v>17.88</v>
      </c>
      <c r="E764" s="499">
        <v>0</v>
      </c>
      <c r="F764" s="499">
        <f t="shared" si="114"/>
        <v>8940</v>
      </c>
      <c r="G764" s="497"/>
      <c r="H764" s="513"/>
      <c r="I764" s="498"/>
      <c r="J764" s="499"/>
      <c r="K764" s="499"/>
      <c r="L764" s="497"/>
      <c r="M764" s="499"/>
    </row>
    <row r="765" spans="1:13" x14ac:dyDescent="0.25">
      <c r="A765" s="497"/>
      <c r="B765" s="545">
        <v>42748</v>
      </c>
      <c r="C765" s="497">
        <v>500</v>
      </c>
      <c r="D765" s="498">
        <v>17.260000000000002</v>
      </c>
      <c r="E765" s="499">
        <v>0</v>
      </c>
      <c r="F765" s="499">
        <f t="shared" si="114"/>
        <v>8630</v>
      </c>
      <c r="G765" s="497"/>
      <c r="H765" s="513"/>
      <c r="I765" s="498"/>
      <c r="J765" s="499"/>
      <c r="K765" s="499"/>
      <c r="L765" s="497"/>
      <c r="M765" s="499"/>
    </row>
    <row r="766" spans="1:13" x14ac:dyDescent="0.25">
      <c r="A766" s="497"/>
      <c r="B766" s="545"/>
      <c r="C766" s="497"/>
      <c r="D766" s="498"/>
      <c r="E766" s="499"/>
      <c r="F766" s="499"/>
      <c r="G766" s="497"/>
      <c r="H766" s="513"/>
      <c r="I766" s="498"/>
      <c r="J766" s="499"/>
      <c r="K766" s="499"/>
      <c r="L766" s="497"/>
      <c r="M766" s="499"/>
    </row>
    <row r="767" spans="1:13" x14ac:dyDescent="0.25">
      <c r="A767" s="497"/>
      <c r="B767" s="545"/>
      <c r="C767" s="497"/>
      <c r="D767" s="498"/>
      <c r="E767" s="499"/>
      <c r="F767" s="499"/>
      <c r="G767" s="497"/>
      <c r="H767" s="513"/>
      <c r="I767" s="498"/>
      <c r="J767" s="499"/>
      <c r="K767" s="499"/>
      <c r="L767" s="497"/>
      <c r="M767" s="499"/>
    </row>
    <row r="768" spans="1:13" x14ac:dyDescent="0.25">
      <c r="A768" s="599"/>
      <c r="B768" s="545"/>
      <c r="C768" s="497"/>
      <c r="D768" s="498"/>
      <c r="E768" s="499"/>
      <c r="F768" s="499"/>
      <c r="G768" s="497"/>
      <c r="H768" s="513"/>
      <c r="I768" s="498"/>
      <c r="J768" s="499"/>
      <c r="K768" s="499"/>
      <c r="L768" s="497"/>
      <c r="M768" s="499"/>
    </row>
    <row r="769" spans="1:13" x14ac:dyDescent="0.25">
      <c r="A769" s="599"/>
      <c r="B769" s="545"/>
      <c r="C769" s="497"/>
      <c r="D769" s="498"/>
      <c r="E769" s="499"/>
      <c r="F769" s="499"/>
      <c r="G769" s="497"/>
      <c r="H769" s="513"/>
      <c r="I769" s="498"/>
      <c r="J769" s="499"/>
      <c r="K769" s="499"/>
      <c r="L769" s="497"/>
      <c r="M769" s="499"/>
    </row>
    <row r="770" spans="1:13" x14ac:dyDescent="0.25">
      <c r="A770" s="599"/>
      <c r="B770" s="545"/>
      <c r="C770" s="497"/>
      <c r="D770" s="498"/>
      <c r="E770" s="499"/>
      <c r="F770" s="499"/>
      <c r="G770" s="497"/>
      <c r="H770" s="513"/>
      <c r="I770" s="498"/>
      <c r="J770" s="499"/>
      <c r="K770" s="499"/>
      <c r="L770" s="497"/>
      <c r="M770" s="499"/>
    </row>
    <row r="771" spans="1:13" x14ac:dyDescent="0.25">
      <c r="A771" s="599"/>
      <c r="B771" s="545"/>
      <c r="C771" s="497"/>
      <c r="D771" s="498"/>
      <c r="E771" s="499"/>
      <c r="F771" s="499"/>
      <c r="G771" s="497"/>
      <c r="H771" s="513"/>
      <c r="I771" s="498"/>
      <c r="J771" s="499"/>
      <c r="K771" s="499"/>
      <c r="L771" s="497"/>
      <c r="M771" s="499"/>
    </row>
    <row r="772" spans="1:13" x14ac:dyDescent="0.25">
      <c r="A772" s="497"/>
      <c r="B772" s="545"/>
      <c r="C772" s="497"/>
      <c r="D772" s="498"/>
      <c r="E772" s="499"/>
      <c r="F772" s="499"/>
      <c r="G772" s="497"/>
      <c r="H772" s="513"/>
      <c r="I772" s="498"/>
      <c r="J772" s="499"/>
      <c r="K772" s="499"/>
      <c r="L772" s="497"/>
      <c r="M772" s="499"/>
    </row>
    <row r="773" spans="1:13" x14ac:dyDescent="0.25">
      <c r="A773" s="497"/>
      <c r="B773" s="545"/>
      <c r="C773" s="497"/>
      <c r="D773" s="498"/>
      <c r="E773" s="499"/>
      <c r="F773" s="499"/>
      <c r="G773" s="497"/>
      <c r="H773" s="513"/>
      <c r="I773" s="498"/>
      <c r="J773" s="499"/>
      <c r="K773" s="499"/>
      <c r="L773" s="497"/>
      <c r="M773" s="499"/>
    </row>
    <row r="774" spans="1:13" x14ac:dyDescent="0.25">
      <c r="A774" s="497"/>
      <c r="B774" s="545"/>
      <c r="C774" s="497"/>
      <c r="D774" s="498"/>
      <c r="E774" s="499"/>
      <c r="F774" s="499"/>
      <c r="G774" s="497"/>
      <c r="H774" s="513"/>
      <c r="I774" s="498"/>
      <c r="J774" s="499"/>
      <c r="K774" s="499"/>
      <c r="L774" s="497"/>
      <c r="M774" s="499"/>
    </row>
    <row r="775" spans="1:13" x14ac:dyDescent="0.25">
      <c r="A775" s="497"/>
      <c r="B775" s="545"/>
      <c r="C775" s="497"/>
      <c r="D775" s="498"/>
      <c r="E775" s="499"/>
      <c r="F775" s="499"/>
      <c r="G775" s="497"/>
      <c r="H775" s="513"/>
      <c r="I775" s="498"/>
      <c r="J775" s="499"/>
      <c r="K775" s="499"/>
      <c r="L775" s="497"/>
      <c r="M775" s="499"/>
    </row>
    <row r="776" spans="1:13" x14ac:dyDescent="0.25">
      <c r="A776" s="497"/>
      <c r="B776" s="545"/>
      <c r="C776" s="497"/>
      <c r="D776" s="498"/>
      <c r="E776" s="499"/>
      <c r="F776" s="499"/>
      <c r="G776" s="497"/>
      <c r="H776" s="513"/>
      <c r="I776" s="498"/>
      <c r="J776" s="499"/>
      <c r="K776" s="499"/>
      <c r="L776" s="497"/>
      <c r="M776" s="499"/>
    </row>
    <row r="777" spans="1:13" x14ac:dyDescent="0.25">
      <c r="A777" s="497"/>
      <c r="B777" s="545"/>
      <c r="C777" s="497"/>
      <c r="D777" s="498"/>
      <c r="E777" s="499"/>
      <c r="F777" s="499"/>
      <c r="G777" s="497"/>
      <c r="H777" s="513"/>
      <c r="I777" s="498"/>
      <c r="J777" s="499"/>
      <c r="K777" s="499"/>
      <c r="L777" s="497"/>
      <c r="M777" s="499"/>
    </row>
    <row r="778" spans="1:13" x14ac:dyDescent="0.25">
      <c r="A778" s="497"/>
      <c r="B778" s="545"/>
      <c r="C778" s="497"/>
      <c r="D778" s="498"/>
      <c r="E778" s="499"/>
      <c r="F778" s="499"/>
      <c r="G778" s="497"/>
      <c r="H778" s="513"/>
      <c r="I778" s="498"/>
      <c r="J778" s="499"/>
      <c r="K778" s="499"/>
      <c r="L778" s="497"/>
      <c r="M778" s="499"/>
    </row>
    <row r="779" spans="1:13" x14ac:dyDescent="0.25">
      <c r="A779" s="497"/>
      <c r="B779" s="545"/>
      <c r="C779" s="497"/>
      <c r="D779" s="498"/>
      <c r="E779" s="499"/>
      <c r="F779" s="499"/>
      <c r="G779" s="497"/>
      <c r="H779" s="513"/>
      <c r="I779" s="498"/>
      <c r="J779" s="499"/>
      <c r="K779" s="499"/>
      <c r="L779" s="497"/>
      <c r="M779" s="499"/>
    </row>
    <row r="780" spans="1:13" x14ac:dyDescent="0.25">
      <c r="A780" s="497"/>
      <c r="B780" s="545"/>
      <c r="C780" s="497"/>
      <c r="D780" s="498"/>
      <c r="E780" s="499"/>
      <c r="F780" s="499"/>
      <c r="G780" s="497"/>
      <c r="H780" s="513"/>
      <c r="I780" s="498"/>
      <c r="J780" s="499"/>
      <c r="K780" s="499"/>
      <c r="L780" s="497"/>
      <c r="M780" s="499"/>
    </row>
    <row r="781" spans="1:13" x14ac:dyDescent="0.25">
      <c r="A781" s="497"/>
      <c r="B781" s="545"/>
      <c r="C781" s="497"/>
      <c r="D781" s="498"/>
      <c r="E781" s="499"/>
      <c r="F781" s="499"/>
      <c r="G781" s="497"/>
      <c r="H781" s="513"/>
      <c r="I781" s="498"/>
      <c r="J781" s="499"/>
      <c r="K781" s="499"/>
      <c r="L781" s="497"/>
      <c r="M781" s="499"/>
    </row>
    <row r="782" spans="1:13" x14ac:dyDescent="0.25">
      <c r="A782" s="497"/>
      <c r="B782" s="545"/>
      <c r="C782" s="497"/>
      <c r="D782" s="498"/>
      <c r="E782" s="499"/>
      <c r="F782" s="499"/>
      <c r="G782" s="497"/>
      <c r="H782" s="513"/>
      <c r="I782" s="498"/>
      <c r="J782" s="499"/>
      <c r="K782" s="499"/>
      <c r="L782" s="497"/>
      <c r="M782" s="499"/>
    </row>
    <row r="783" spans="1:13" x14ac:dyDescent="0.25">
      <c r="A783" s="497"/>
      <c r="B783" s="545"/>
      <c r="C783" s="497"/>
      <c r="D783" s="498"/>
      <c r="E783" s="499"/>
      <c r="F783" s="499"/>
      <c r="G783" s="497"/>
      <c r="H783" s="513"/>
      <c r="I783" s="498"/>
      <c r="J783" s="499"/>
      <c r="K783" s="499"/>
      <c r="L783" s="497"/>
      <c r="M783" s="499"/>
    </row>
    <row r="784" spans="1:13" x14ac:dyDescent="0.25">
      <c r="A784" s="497"/>
      <c r="B784" s="545"/>
      <c r="C784" s="497"/>
      <c r="D784" s="498"/>
      <c r="E784" s="499"/>
      <c r="F784" s="499"/>
      <c r="G784" s="497"/>
      <c r="H784" s="513"/>
      <c r="I784" s="498"/>
      <c r="J784" s="499"/>
      <c r="K784" s="499"/>
      <c r="L784" s="497"/>
      <c r="M784" s="499"/>
    </row>
    <row r="785" spans="1:13" x14ac:dyDescent="0.25">
      <c r="A785" s="497"/>
      <c r="B785" s="545"/>
      <c r="C785" s="497"/>
      <c r="D785" s="498"/>
      <c r="E785" s="499"/>
      <c r="F785" s="499"/>
      <c r="G785" s="497"/>
      <c r="H785" s="513"/>
      <c r="I785" s="498"/>
      <c r="J785" s="499"/>
      <c r="K785" s="499"/>
      <c r="L785" s="497"/>
      <c r="M785" s="499"/>
    </row>
    <row r="786" spans="1:13" x14ac:dyDescent="0.25">
      <c r="A786" s="497"/>
      <c r="B786" s="545"/>
      <c r="C786" s="497"/>
      <c r="D786" s="498"/>
      <c r="E786" s="499"/>
      <c r="F786" s="499"/>
      <c r="G786" s="497"/>
      <c r="H786" s="513"/>
      <c r="I786" s="498"/>
      <c r="J786" s="499"/>
      <c r="K786" s="499"/>
      <c r="L786" s="497"/>
      <c r="M786" s="499"/>
    </row>
    <row r="787" spans="1:13" x14ac:dyDescent="0.25">
      <c r="A787" s="497"/>
      <c r="B787" s="545"/>
      <c r="C787" s="497"/>
      <c r="D787" s="498"/>
      <c r="E787" s="499"/>
      <c r="F787" s="499"/>
      <c r="G787" s="497"/>
      <c r="H787" s="513"/>
      <c r="I787" s="498"/>
      <c r="J787" s="499"/>
      <c r="K787" s="499"/>
      <c r="L787" s="497"/>
      <c r="M787" s="499"/>
    </row>
    <row r="788" spans="1:13" x14ac:dyDescent="0.25">
      <c r="A788" s="497"/>
      <c r="B788" s="545"/>
      <c r="C788" s="497"/>
      <c r="D788" s="498"/>
      <c r="E788" s="499"/>
      <c r="F788" s="499"/>
      <c r="G788" s="497"/>
      <c r="H788" s="513"/>
      <c r="I788" s="498"/>
      <c r="J788" s="499"/>
      <c r="K788" s="499"/>
      <c r="L788" s="497"/>
      <c r="M788" s="499"/>
    </row>
    <row r="789" spans="1:13" x14ac:dyDescent="0.25">
      <c r="A789" s="515" t="s">
        <v>81</v>
      </c>
      <c r="B789" s="604"/>
      <c r="C789" s="538">
        <f>SUM(C528:C788)</f>
        <v>133812</v>
      </c>
      <c r="D789" s="517"/>
      <c r="E789" s="517"/>
      <c r="F789" s="517">
        <f>SUM(F528:F788)</f>
        <v>1899450.8389999999</v>
      </c>
      <c r="G789" s="516"/>
      <c r="H789" s="538">
        <f>SUM(H528:H788)</f>
        <v>133812</v>
      </c>
      <c r="I789" s="605"/>
      <c r="J789" s="517"/>
      <c r="K789" s="517">
        <f>SUM(K528:K788)</f>
        <v>1911314.2100000016</v>
      </c>
      <c r="L789" s="516"/>
      <c r="M789" s="517">
        <f>SUM(M528:M538)</f>
        <v>2752.2000000000003</v>
      </c>
    </row>
    <row r="790" spans="1:13" ht="15.75" thickBot="1" x14ac:dyDescent="0.3">
      <c r="A790" s="518" t="s">
        <v>193</v>
      </c>
      <c r="B790" s="606"/>
      <c r="C790" s="520">
        <f>SumByColor($A$97, C528:C788)</f>
        <v>0</v>
      </c>
      <c r="D790" s="520"/>
      <c r="E790" s="520"/>
      <c r="F790" s="521">
        <f>SumByColor($A$97, F528:F788)</f>
        <v>0</v>
      </c>
      <c r="G790" s="520"/>
      <c r="H790" s="520">
        <f>SumByColor($A$97, H528:H788)</f>
        <v>0</v>
      </c>
      <c r="I790" s="520"/>
      <c r="J790" s="521"/>
      <c r="K790" s="521">
        <f>SumByColor($A$97, K528:K788)</f>
        <v>0</v>
      </c>
      <c r="L790" s="520"/>
      <c r="M790" s="521">
        <f>SumByColor($A$97, M528:M788)</f>
        <v>0</v>
      </c>
    </row>
    <row r="791" spans="1:13" x14ac:dyDescent="0.25">
      <c r="A791" s="497"/>
      <c r="B791" s="545"/>
      <c r="C791" s="497"/>
      <c r="D791" s="498"/>
      <c r="E791" s="499"/>
      <c r="F791" s="499"/>
      <c r="G791" s="497"/>
      <c r="H791" s="513"/>
      <c r="I791" s="498"/>
      <c r="J791" s="499"/>
      <c r="K791" s="499"/>
      <c r="L791" s="497"/>
      <c r="M791" s="499"/>
    </row>
  </sheetData>
  <mergeCells count="3">
    <mergeCell ref="O23:P23"/>
    <mergeCell ref="A80:A82"/>
    <mergeCell ref="A87:A89"/>
  </mergeCells>
  <conditionalFormatting sqref="F274:F292 H274:H292 H427 F427 H498:H522 F498:F522 K109:K207 F119:F208 H119:H208 K216 K263:K264 H263:H264 F263:F264">
    <cfRule type="expression" dxfId="2153" priority="163">
      <formula>F109&gt;0</formula>
    </cfRule>
    <cfRule type="expression" dxfId="2152" priority="164">
      <formula>F109&lt;0</formula>
    </cfRule>
  </conditionalFormatting>
  <conditionalFormatting sqref="O24:O61"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5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58">
      <iconSet iconSet="3Arrows">
        <cfvo type="percent" val="0"/>
        <cfvo type="num" val="0"/>
        <cfvo type="num" val="0"/>
      </iconSet>
    </cfRule>
  </conditionalFormatting>
  <conditionalFormatting sqref="F267:F273">
    <cfRule type="expression" dxfId="2151" priority="156">
      <formula>F267&gt;0</formula>
    </cfRule>
    <cfRule type="expression" dxfId="2150" priority="157">
      <formula>F267&lt;0</formula>
    </cfRule>
  </conditionalFormatting>
  <conditionalFormatting sqref="H267:H273">
    <cfRule type="expression" dxfId="2149" priority="152">
      <formula>H267&gt;0</formula>
    </cfRule>
    <cfRule type="expression" dxfId="2148" priority="153">
      <formula>H267&lt;0</formula>
    </cfRule>
  </conditionalFormatting>
  <conditionalFormatting sqref="Q8">
    <cfRule type="expression" dxfId="2147" priority="138">
      <formula>Q8&gt;0</formula>
    </cfRule>
    <cfRule type="expression" dxfId="2146" priority="139">
      <formula>Q8&lt;0</formula>
    </cfRule>
  </conditionalFormatting>
  <conditionalFormatting sqref="Q7">
    <cfRule type="expression" dxfId="2145" priority="140">
      <formula>Q7&gt;0</formula>
    </cfRule>
    <cfRule type="expression" dxfId="2144" priority="141">
      <formula>Q7&lt;0</formula>
    </cfRule>
  </conditionalFormatting>
  <conditionalFormatting sqref="F375:F381">
    <cfRule type="expression" dxfId="2143" priority="112">
      <formula>F375&gt;0</formula>
    </cfRule>
    <cfRule type="expression" dxfId="2142" priority="113">
      <formula>F375&lt;0</formula>
    </cfRule>
  </conditionalFormatting>
  <conditionalFormatting sqref="F300:F318 H300:H318">
    <cfRule type="expression" dxfId="2141" priority="134">
      <formula>F300&gt;0</formula>
    </cfRule>
    <cfRule type="expression" dxfId="2140" priority="135">
      <formula>F300&lt;0</formula>
    </cfRule>
  </conditionalFormatting>
  <conditionalFormatting sqref="F293:F299">
    <cfRule type="expression" dxfId="2139" priority="132">
      <formula>F293&gt;0</formula>
    </cfRule>
    <cfRule type="expression" dxfId="2138" priority="133">
      <formula>F293&lt;0</formula>
    </cfRule>
  </conditionalFormatting>
  <conditionalFormatting sqref="H293:H299">
    <cfRule type="expression" dxfId="2137" priority="130">
      <formula>H293&gt;0</formula>
    </cfRule>
    <cfRule type="expression" dxfId="2136" priority="131">
      <formula>H293&lt;0</formula>
    </cfRule>
  </conditionalFormatting>
  <conditionalFormatting sqref="F326:F344 H326:H344">
    <cfRule type="expression" dxfId="2135" priority="128">
      <formula>F326&gt;0</formula>
    </cfRule>
    <cfRule type="expression" dxfId="2134" priority="129">
      <formula>F326&lt;0</formula>
    </cfRule>
  </conditionalFormatting>
  <conditionalFormatting sqref="F319:F325">
    <cfRule type="expression" dxfId="2133" priority="126">
      <formula>F319&gt;0</formula>
    </cfRule>
    <cfRule type="expression" dxfId="2132" priority="127">
      <formula>F319&lt;0</formula>
    </cfRule>
  </conditionalFormatting>
  <conditionalFormatting sqref="H319:H325">
    <cfRule type="expression" dxfId="2131" priority="124">
      <formula>H319&gt;0</formula>
    </cfRule>
    <cfRule type="expression" dxfId="2130" priority="125">
      <formula>H319&lt;0</formula>
    </cfRule>
  </conditionalFormatting>
  <conditionalFormatting sqref="F352:F369 H352:H369">
    <cfRule type="expression" dxfId="2129" priority="122">
      <formula>F352&gt;0</formula>
    </cfRule>
    <cfRule type="expression" dxfId="2128" priority="123">
      <formula>F352&lt;0</formula>
    </cfRule>
  </conditionalFormatting>
  <conditionalFormatting sqref="F345:F351">
    <cfRule type="expression" dxfId="2127" priority="120">
      <formula>F345&gt;0</formula>
    </cfRule>
    <cfRule type="expression" dxfId="2126" priority="121">
      <formula>F345&lt;0</formula>
    </cfRule>
  </conditionalFormatting>
  <conditionalFormatting sqref="H345:H351">
    <cfRule type="expression" dxfId="2125" priority="118">
      <formula>H345&gt;0</formula>
    </cfRule>
    <cfRule type="expression" dxfId="2124" priority="119">
      <formula>H345&lt;0</formula>
    </cfRule>
  </conditionalFormatting>
  <conditionalFormatting sqref="F370:F374 H370:H374">
    <cfRule type="expression" dxfId="2123" priority="116">
      <formula>F370&gt;0</formula>
    </cfRule>
    <cfRule type="expression" dxfId="2122" priority="117">
      <formula>F370&lt;0</formula>
    </cfRule>
  </conditionalFormatting>
  <conditionalFormatting sqref="F382:F397 H382:H397">
    <cfRule type="expression" dxfId="2121" priority="114">
      <formula>F382&gt;0</formula>
    </cfRule>
    <cfRule type="expression" dxfId="2120" priority="115">
      <formula>F382&lt;0</formula>
    </cfRule>
  </conditionalFormatting>
  <conditionalFormatting sqref="H375:H381">
    <cfRule type="expression" dxfId="2119" priority="110">
      <formula>H375&gt;0</formula>
    </cfRule>
    <cfRule type="expression" dxfId="2118" priority="111">
      <formula>H375&lt;0</formula>
    </cfRule>
  </conditionalFormatting>
  <conditionalFormatting sqref="F398 H398">
    <cfRule type="expression" dxfId="2117" priority="108">
      <formula>F398&gt;0</formula>
    </cfRule>
    <cfRule type="expression" dxfId="2116" priority="109">
      <formula>F398&lt;0</formula>
    </cfRule>
  </conditionalFormatting>
  <conditionalFormatting sqref="F399:F403 H399:H403">
    <cfRule type="expression" dxfId="2115" priority="106">
      <formula>F399&gt;0</formula>
    </cfRule>
    <cfRule type="expression" dxfId="2114" priority="107">
      <formula>F399&lt;0</formula>
    </cfRule>
  </conditionalFormatting>
  <conditionalFormatting sqref="F411:F426 H411:H426">
    <cfRule type="expression" dxfId="2113" priority="104">
      <formula>F411&gt;0</formula>
    </cfRule>
    <cfRule type="expression" dxfId="2112" priority="105">
      <formula>F411&lt;0</formula>
    </cfRule>
  </conditionalFormatting>
  <conditionalFormatting sqref="F404:F410">
    <cfRule type="expression" dxfId="2111" priority="102">
      <formula>F404&gt;0</formula>
    </cfRule>
    <cfRule type="expression" dxfId="2110" priority="103">
      <formula>F404&lt;0</formula>
    </cfRule>
  </conditionalFormatting>
  <conditionalFormatting sqref="H404:H410">
    <cfRule type="expression" dxfId="2109" priority="100">
      <formula>H404&gt;0</formula>
    </cfRule>
    <cfRule type="expression" dxfId="2108" priority="101">
      <formula>H404&lt;0</formula>
    </cfRule>
  </conditionalFormatting>
  <conditionalFormatting sqref="F428:F433 H428:H433">
    <cfRule type="expression" dxfId="2107" priority="98">
      <formula>F428&gt;0</formula>
    </cfRule>
    <cfRule type="expression" dxfId="2106" priority="99">
      <formula>F428&lt;0</formula>
    </cfRule>
  </conditionalFormatting>
  <conditionalFormatting sqref="F434 H434">
    <cfRule type="expression" dxfId="2105" priority="96">
      <formula>F434&gt;0</formula>
    </cfRule>
    <cfRule type="expression" dxfId="2104" priority="97">
      <formula>F434&lt;0</formula>
    </cfRule>
  </conditionalFormatting>
  <conditionalFormatting sqref="F435:F439 H435:H439">
    <cfRule type="expression" dxfId="2103" priority="94">
      <formula>F435&gt;0</formula>
    </cfRule>
    <cfRule type="expression" dxfId="2102" priority="95">
      <formula>F435&lt;0</formula>
    </cfRule>
  </conditionalFormatting>
  <conditionalFormatting sqref="F447:F462 H447:H462">
    <cfRule type="expression" dxfId="2101" priority="92">
      <formula>F447&gt;0</formula>
    </cfRule>
    <cfRule type="expression" dxfId="2100" priority="93">
      <formula>F447&lt;0</formula>
    </cfRule>
  </conditionalFormatting>
  <conditionalFormatting sqref="F440:F446">
    <cfRule type="expression" dxfId="2099" priority="90">
      <formula>F440&gt;0</formula>
    </cfRule>
    <cfRule type="expression" dxfId="2098" priority="91">
      <formula>F440&lt;0</formula>
    </cfRule>
  </conditionalFormatting>
  <conditionalFormatting sqref="H440:H446">
    <cfRule type="expression" dxfId="2097" priority="88">
      <formula>H440&gt;0</formula>
    </cfRule>
    <cfRule type="expression" dxfId="2096" priority="89">
      <formula>H440&lt;0</formula>
    </cfRule>
  </conditionalFormatting>
  <conditionalFormatting sqref="F463:F468 H463:H468">
    <cfRule type="expression" dxfId="2095" priority="86">
      <formula>F463&gt;0</formula>
    </cfRule>
    <cfRule type="expression" dxfId="2094" priority="87">
      <formula>F463&lt;0</formula>
    </cfRule>
  </conditionalFormatting>
  <conditionalFormatting sqref="F469 H469">
    <cfRule type="expression" dxfId="2093" priority="84">
      <formula>F469&gt;0</formula>
    </cfRule>
    <cfRule type="expression" dxfId="2092" priority="85">
      <formula>F469&lt;0</formula>
    </cfRule>
  </conditionalFormatting>
  <conditionalFormatting sqref="F470:F474 H470:H474">
    <cfRule type="expression" dxfId="2091" priority="82">
      <formula>F470&gt;0</formula>
    </cfRule>
    <cfRule type="expression" dxfId="2090" priority="83">
      <formula>F470&lt;0</formula>
    </cfRule>
  </conditionalFormatting>
  <conditionalFormatting sqref="F482:F497 H482:H497">
    <cfRule type="expression" dxfId="2089" priority="80">
      <formula>F482&gt;0</formula>
    </cfRule>
    <cfRule type="expression" dxfId="2088" priority="81">
      <formula>F482&lt;0</formula>
    </cfRule>
  </conditionalFormatting>
  <conditionalFormatting sqref="F475:F481">
    <cfRule type="expression" dxfId="2087" priority="78">
      <formula>F475&gt;0</formula>
    </cfRule>
    <cfRule type="expression" dxfId="2086" priority="79">
      <formula>F475&lt;0</formula>
    </cfRule>
  </conditionalFormatting>
  <conditionalFormatting sqref="H475:H481">
    <cfRule type="expression" dxfId="2085" priority="76">
      <formula>H475&gt;0</formula>
    </cfRule>
    <cfRule type="expression" dxfId="2084" priority="77">
      <formula>H475&lt;0</formula>
    </cfRule>
  </conditionalFormatting>
  <conditionalFormatting sqref="M526">
    <cfRule type="expression" dxfId="2083" priority="74">
      <formula>M526&gt;0</formula>
    </cfRule>
    <cfRule type="expression" dxfId="2082" priority="75">
      <formula>M526&lt;0</formula>
    </cfRule>
  </conditionalFormatting>
  <conditionalFormatting sqref="F107:F118">
    <cfRule type="expression" dxfId="2081" priority="70">
      <formula>F107&gt;0</formula>
    </cfRule>
    <cfRule type="expression" dxfId="2080" priority="71">
      <formula>F107&lt;0</formula>
    </cfRule>
  </conditionalFormatting>
  <conditionalFormatting sqref="H107:H118">
    <cfRule type="expression" dxfId="2079" priority="68">
      <formula>H107&gt;0</formula>
    </cfRule>
    <cfRule type="expression" dxfId="2078" priority="69">
      <formula>H107&lt;0</formula>
    </cfRule>
  </conditionalFormatting>
  <conditionalFormatting sqref="F101:F106 H101:H106">
    <cfRule type="expression" dxfId="2077" priority="66">
      <formula>F101&gt;0</formula>
    </cfRule>
    <cfRule type="expression" dxfId="2076" priority="67">
      <formula>F101&lt;0</formula>
    </cfRule>
  </conditionalFormatting>
  <conditionalFormatting sqref="J103:K103">
    <cfRule type="expression" dxfId="2075" priority="64">
      <formula>J103&gt;0</formula>
    </cfRule>
    <cfRule type="expression" dxfId="2074" priority="65">
      <formula>J103&lt;0</formula>
    </cfRule>
  </conditionalFormatting>
  <conditionalFormatting sqref="J104:K110">
    <cfRule type="expression" dxfId="2073" priority="62">
      <formula>J104&gt;0</formula>
    </cfRule>
    <cfRule type="expression" dxfId="2072" priority="63">
      <formula>J104&lt;0</formula>
    </cfRule>
  </conditionalFormatting>
  <conditionalFormatting sqref="L103:L185 L192 L194">
    <cfRule type="expression" dxfId="2071" priority="58">
      <formula>L103&gt;0</formula>
    </cfRule>
    <cfRule type="expression" dxfId="2070" priority="59">
      <formula>L103&lt;0</formula>
    </cfRule>
  </conditionalFormatting>
  <conditionalFormatting sqref="Q10">
    <cfRule type="expression" dxfId="2069" priority="56">
      <formula>Q10&gt;0</formula>
    </cfRule>
    <cfRule type="expression" dxfId="2068" priority="57">
      <formula>Q10&lt;0</formula>
    </cfRule>
  </conditionalFormatting>
  <conditionalFormatting sqref="K214:K215 H214:H216 F214:F216">
    <cfRule type="expression" dxfId="2067" priority="53">
      <formula>F214&gt;0</formula>
    </cfRule>
    <cfRule type="expression" dxfId="2066" priority="54">
      <formula>F214&lt;0</formula>
    </cfRule>
  </conditionalFormatting>
  <conditionalFormatting sqref="K210:K212 H210:H212 F210:F212">
    <cfRule type="expression" dxfId="2065" priority="51">
      <formula>F210&gt;0</formula>
    </cfRule>
    <cfRule type="expression" dxfId="2064" priority="52">
      <formula>F210&lt;0</formula>
    </cfRule>
  </conditionalFormatting>
  <conditionalFormatting sqref="K208:K209 H209 F209">
    <cfRule type="expression" dxfId="2063" priority="49">
      <formula>F208&gt;0</formula>
    </cfRule>
    <cfRule type="expression" dxfId="2062" priority="50">
      <formula>F208&lt;0</formula>
    </cfRule>
  </conditionalFormatting>
  <conditionalFormatting sqref="K213 H213 F213">
    <cfRule type="expression" dxfId="2061" priority="47">
      <formula>F213&gt;0</formula>
    </cfRule>
    <cfRule type="expression" dxfId="2060" priority="48">
      <formula>F213&lt;0</formula>
    </cfRule>
  </conditionalFormatting>
  <conditionalFormatting sqref="K221:K222">
    <cfRule type="expression" dxfId="2059" priority="45">
      <formula>K221&gt;0</formula>
    </cfRule>
    <cfRule type="expression" dxfId="2058" priority="46">
      <formula>K221&lt;0</formula>
    </cfRule>
  </conditionalFormatting>
  <conditionalFormatting sqref="K219:K220 H219:H222 F219:F222">
    <cfRule type="expression" dxfId="2057" priority="43">
      <formula>F219&gt;0</formula>
    </cfRule>
    <cfRule type="expression" dxfId="2056" priority="44">
      <formula>F219&lt;0</formula>
    </cfRule>
  </conditionalFormatting>
  <conditionalFormatting sqref="H217:H218 F217:F218 K217:K218">
    <cfRule type="expression" dxfId="2055" priority="41">
      <formula>F217&gt;0</formula>
    </cfRule>
    <cfRule type="expression" dxfId="2054" priority="42">
      <formula>F217&lt;0</formula>
    </cfRule>
  </conditionalFormatting>
  <conditionalFormatting sqref="K243:K244 H244 F244">
    <cfRule type="expression" dxfId="2053" priority="39">
      <formula>F243&gt;0</formula>
    </cfRule>
    <cfRule type="expression" dxfId="2052" priority="40">
      <formula>F243&lt;0</formula>
    </cfRule>
  </conditionalFormatting>
  <conditionalFormatting sqref="K225:K226 H225:H227 F225:F227">
    <cfRule type="expression" dxfId="2051" priority="37">
      <formula>F225&gt;0</formula>
    </cfRule>
    <cfRule type="expression" dxfId="2050" priority="38">
      <formula>F225&lt;0</formula>
    </cfRule>
  </conditionalFormatting>
  <conditionalFormatting sqref="K223:K224 H223:H224 F223:F224">
    <cfRule type="expression" dxfId="2049" priority="35">
      <formula>F223&gt;0</formula>
    </cfRule>
    <cfRule type="expression" dxfId="2048" priority="36">
      <formula>F223&lt;0</formula>
    </cfRule>
  </conditionalFormatting>
  <conditionalFormatting sqref="K237:K238 H237:H239 F237:F239">
    <cfRule type="expression" dxfId="2047" priority="33">
      <formula>F237&gt;0</formula>
    </cfRule>
    <cfRule type="expression" dxfId="2046" priority="34">
      <formula>F237&lt;0</formula>
    </cfRule>
  </conditionalFormatting>
  <conditionalFormatting sqref="K235:K236 H236 F236">
    <cfRule type="expression" dxfId="2045" priority="31">
      <formula>F235&gt;0</formula>
    </cfRule>
    <cfRule type="expression" dxfId="2044" priority="32">
      <formula>F235&lt;0</formula>
    </cfRule>
  </conditionalFormatting>
  <conditionalFormatting sqref="K233:K234 H233:H235 F233:F235">
    <cfRule type="expression" dxfId="2043" priority="29">
      <formula>F233&gt;0</formula>
    </cfRule>
    <cfRule type="expression" dxfId="2042" priority="30">
      <formula>F233&lt;0</formula>
    </cfRule>
  </conditionalFormatting>
  <conditionalFormatting sqref="K231:K232 H232 F232">
    <cfRule type="expression" dxfId="2041" priority="27">
      <formula>F231&gt;0</formula>
    </cfRule>
    <cfRule type="expression" dxfId="2040" priority="28">
      <formula>F231&lt;0</formula>
    </cfRule>
  </conditionalFormatting>
  <conditionalFormatting sqref="K229:K230 H229:H231 F229:F231">
    <cfRule type="expression" dxfId="2039" priority="25">
      <formula>F229&gt;0</formula>
    </cfRule>
    <cfRule type="expression" dxfId="2038" priority="26">
      <formula>F229&lt;0</formula>
    </cfRule>
  </conditionalFormatting>
  <conditionalFormatting sqref="K227:K228 H228 F228">
    <cfRule type="expression" dxfId="2037" priority="23">
      <formula>F227&gt;0</formula>
    </cfRule>
    <cfRule type="expression" dxfId="2036" priority="24">
      <formula>F227&lt;0</formula>
    </cfRule>
  </conditionalFormatting>
  <conditionalFormatting sqref="K241:K242 H241:H243 F241:F243">
    <cfRule type="expression" dxfId="2035" priority="21">
      <formula>F241&gt;0</formula>
    </cfRule>
    <cfRule type="expression" dxfId="2034" priority="22">
      <formula>F241&lt;0</formula>
    </cfRule>
  </conditionalFormatting>
  <conditionalFormatting sqref="K239:K240 H240 F240">
    <cfRule type="expression" dxfId="2033" priority="19">
      <formula>F239&gt;0</formula>
    </cfRule>
    <cfRule type="expression" dxfId="2032" priority="20">
      <formula>F239&lt;0</formula>
    </cfRule>
  </conditionalFormatting>
  <conditionalFormatting sqref="K261:K262 H261:H262 F261:F262">
    <cfRule type="expression" dxfId="2031" priority="17">
      <formula>F261&gt;0</formula>
    </cfRule>
    <cfRule type="expression" dxfId="2030" priority="18">
      <formula>F261&lt;0</formula>
    </cfRule>
  </conditionalFormatting>
  <conditionalFormatting sqref="K247:K248 H248 F248">
    <cfRule type="expression" dxfId="2029" priority="15">
      <formula>F247&gt;0</formula>
    </cfRule>
    <cfRule type="expression" dxfId="2028" priority="16">
      <formula>F247&lt;0</formula>
    </cfRule>
  </conditionalFormatting>
  <conditionalFormatting sqref="K245:K246 H245:H247 F245:F247">
    <cfRule type="expression" dxfId="2027" priority="13">
      <formula>F245&gt;0</formula>
    </cfRule>
    <cfRule type="expression" dxfId="2026" priority="14">
      <formula>F245&lt;0</formula>
    </cfRule>
  </conditionalFormatting>
  <conditionalFormatting sqref="K259:K260 H259:H260 F259:F260">
    <cfRule type="expression" dxfId="2025" priority="11">
      <formula>F259&gt;0</formula>
    </cfRule>
    <cfRule type="expression" dxfId="2024" priority="12">
      <formula>F259&lt;0</formula>
    </cfRule>
  </conditionalFormatting>
  <conditionalFormatting sqref="K257:K258">
    <cfRule type="expression" dxfId="2023" priority="9">
      <formula>K257&gt;0</formula>
    </cfRule>
    <cfRule type="expression" dxfId="2022" priority="10">
      <formula>K257&lt;0</formula>
    </cfRule>
  </conditionalFormatting>
  <conditionalFormatting sqref="K255:K256 H255:H258 F255:F258">
    <cfRule type="expression" dxfId="2021" priority="7">
      <formula>F255&gt;0</formula>
    </cfRule>
    <cfRule type="expression" dxfId="2020" priority="8">
      <formula>F255&lt;0</formula>
    </cfRule>
  </conditionalFormatting>
  <conditionalFormatting sqref="K253:K254 H253:H254 F253:F254">
    <cfRule type="expression" dxfId="2019" priority="5">
      <formula>F253&gt;0</formula>
    </cfRule>
    <cfRule type="expression" dxfId="2018" priority="6">
      <formula>F253&lt;0</formula>
    </cfRule>
  </conditionalFormatting>
  <conditionalFormatting sqref="K251:K252">
    <cfRule type="expression" dxfId="2017" priority="3">
      <formula>K251&gt;0</formula>
    </cfRule>
    <cfRule type="expression" dxfId="2016" priority="4">
      <formula>K251&lt;0</formula>
    </cfRule>
  </conditionalFormatting>
  <conditionalFormatting sqref="K249:K250 H249:H252 F249:F252">
    <cfRule type="expression" dxfId="2015" priority="1">
      <formula>F249&gt;0</formula>
    </cfRule>
    <cfRule type="expression" dxfId="2014" priority="2">
      <formula>F249&lt;0</formula>
    </cfRule>
  </conditionalFormatting>
  <hyperlinks>
    <hyperlink ref="A3" location="ACTIVE!A1" display="Back"/>
    <hyperlink ref="A52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760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9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400</v>
      </c>
      <c r="T2" s="1">
        <v>43103</v>
      </c>
      <c r="U2" t="s">
        <v>821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229</v>
      </c>
      <c r="AJ2">
        <f>$Q$2*$Q$4</f>
        <v>5108</v>
      </c>
      <c r="AK2">
        <f ca="1">AJ2*EXP(-$X$2 * AI2/365.25)</f>
        <v>5108</v>
      </c>
      <c r="AM2" s="2">
        <f>Q10</f>
        <v>0</v>
      </c>
      <c r="AO2">
        <f ca="1" xml:space="preserve"> (SUM(AB:AB) - SUM(AE:AE) - SUM(AH:AH) - SUM(AK:AK))/SUM(AB:AB)</f>
        <v>5.8847506975615742E-2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>H3*I3-J3</f>
        <v>1508.97</v>
      </c>
      <c r="L3" s="72">
        <v>43306</v>
      </c>
      <c r="M3" s="43">
        <v>36</v>
      </c>
      <c r="O3" s="11" t="s">
        <v>58</v>
      </c>
      <c r="Q3" s="221">
        <f>IF(Q2=0, Q4, (F18-K18-M18)/Q2)</f>
        <v>14.589050000000002</v>
      </c>
      <c r="T3" s="1"/>
      <c r="U3" t="s">
        <v>822</v>
      </c>
      <c r="W3" s="134"/>
      <c r="Z3">
        <f t="shared" ref="Z3:Z17" si="1">B3-$B$2</f>
        <v>1</v>
      </c>
      <c r="AA3" s="2">
        <f t="shared" ref="AA3:AA17" si="2">F3</f>
        <v>872.5</v>
      </c>
      <c r="AB3">
        <f t="shared" ref="AB3:AB17" si="3">AA3*EXP(-Z3/365.25 * $X$2)</f>
        <v>872.5</v>
      </c>
      <c r="AC3">
        <f t="shared" ref="AC3:AC17" si="4">G3-$B$2</f>
        <v>141</v>
      </c>
      <c r="AD3" s="2">
        <f t="shared" ref="AD3:AD17" si="5">K3</f>
        <v>1508.97</v>
      </c>
      <c r="AE3">
        <f t="shared" ref="AE3:AE17" si="6">AD3*EXP(-AC3/365.25 * $X$2)</f>
        <v>1508.97</v>
      </c>
      <c r="AF3">
        <f t="shared" ref="AF3:AF17" si="7">L3-$B$2</f>
        <v>211</v>
      </c>
      <c r="AG3" s="2">
        <f t="shared" ref="AG3:AG17" si="8">M3</f>
        <v>36</v>
      </c>
      <c r="AH3">
        <f t="shared" ref="AH3:AH17" si="9">AG3*EXP(-AF3/365.25 * $X$2)</f>
        <v>36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>H4*I4-J4</f>
        <v>1379.98</v>
      </c>
      <c r="L4" s="4"/>
      <c r="M4" s="4"/>
      <c r="O4" s="11" t="s">
        <v>66</v>
      </c>
      <c r="Q4" s="54">
        <v>12.77</v>
      </c>
      <c r="R4" s="495">
        <v>-1.3100000000000001E-2</v>
      </c>
      <c r="T4" s="156"/>
      <c r="U4" s="1" t="s">
        <v>868</v>
      </c>
      <c r="W4" s="134"/>
      <c r="Z4">
        <f t="shared" si="1"/>
        <v>83</v>
      </c>
      <c r="AA4" s="2">
        <f t="shared" si="2"/>
        <v>2104.5</v>
      </c>
      <c r="AB4">
        <f t="shared" si="3"/>
        <v>2104.5</v>
      </c>
      <c r="AC4">
        <f t="shared" si="4"/>
        <v>192</v>
      </c>
      <c r="AD4" s="2">
        <f t="shared" si="5"/>
        <v>1379.98</v>
      </c>
      <c r="AE4">
        <f t="shared" si="6"/>
        <v>1379.98</v>
      </c>
      <c r="AF4">
        <f t="shared" si="7"/>
        <v>-43095</v>
      </c>
      <c r="AG4" s="2">
        <f t="shared" si="8"/>
        <v>0</v>
      </c>
      <c r="AH4">
        <f t="shared" si="9"/>
        <v>0</v>
      </c>
    </row>
    <row r="5" spans="1:41" x14ac:dyDescent="0.25">
      <c r="B5" s="72">
        <v>43178</v>
      </c>
      <c r="C5" s="7">
        <v>50</v>
      </c>
      <c r="D5" s="43">
        <v>14.03</v>
      </c>
      <c r="E5" s="43">
        <v>0</v>
      </c>
      <c r="F5" s="43">
        <f t="shared" si="0"/>
        <v>701.5</v>
      </c>
      <c r="G5" s="434">
        <v>43312</v>
      </c>
      <c r="H5" s="80">
        <v>100</v>
      </c>
      <c r="I5" s="43">
        <v>13.6</v>
      </c>
      <c r="J5" s="43">
        <v>0.02</v>
      </c>
      <c r="K5" s="43">
        <f>H5*I5-J5</f>
        <v>1359.98</v>
      </c>
      <c r="L5" s="4"/>
      <c r="M5" s="4"/>
      <c r="O5" s="11" t="s">
        <v>67</v>
      </c>
      <c r="Q5" s="3">
        <f>Q4*Q2</f>
        <v>5108</v>
      </c>
      <c r="T5" s="1">
        <v>43112</v>
      </c>
      <c r="U5" t="s">
        <v>866</v>
      </c>
      <c r="W5" s="134"/>
      <c r="Z5">
        <f t="shared" si="1"/>
        <v>83</v>
      </c>
      <c r="AA5" s="2">
        <f t="shared" si="2"/>
        <v>701.5</v>
      </c>
      <c r="AB5">
        <f t="shared" si="3"/>
        <v>701.5</v>
      </c>
      <c r="AC5">
        <f t="shared" si="4"/>
        <v>217</v>
      </c>
      <c r="AD5" s="2">
        <f t="shared" si="5"/>
        <v>1359.98</v>
      </c>
      <c r="AE5">
        <f t="shared" si="6"/>
        <v>1359.98</v>
      </c>
      <c r="AF5">
        <f t="shared" si="7"/>
        <v>-43095</v>
      </c>
      <c r="AG5" s="2">
        <f t="shared" si="8"/>
        <v>0</v>
      </c>
      <c r="AH5">
        <f t="shared" si="9"/>
        <v>0</v>
      </c>
    </row>
    <row r="6" spans="1:41" x14ac:dyDescent="0.25">
      <c r="B6" s="72">
        <v>43243</v>
      </c>
      <c r="C6" s="4">
        <v>150</v>
      </c>
      <c r="D6" s="3">
        <v>14.19</v>
      </c>
      <c r="E6" s="3">
        <v>0</v>
      </c>
      <c r="F6" s="3">
        <f t="shared" si="0"/>
        <v>2128.5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5835.6200000000008</v>
      </c>
      <c r="W6" s="134"/>
      <c r="Z6">
        <f t="shared" si="1"/>
        <v>148</v>
      </c>
      <c r="AA6" s="2">
        <f t="shared" si="2"/>
        <v>2128.5</v>
      </c>
      <c r="AB6">
        <f t="shared" si="3"/>
        <v>2128.5</v>
      </c>
      <c r="AC6">
        <f t="shared" si="4"/>
        <v>-43095</v>
      </c>
      <c r="AD6" s="2">
        <f t="shared" si="5"/>
        <v>0</v>
      </c>
      <c r="AE6">
        <f t="shared" si="6"/>
        <v>0</v>
      </c>
      <c r="AF6">
        <f t="shared" si="7"/>
        <v>-43095</v>
      </c>
      <c r="AG6" s="2">
        <f t="shared" si="8"/>
        <v>0</v>
      </c>
      <c r="AH6">
        <f t="shared" si="9"/>
        <v>0</v>
      </c>
    </row>
    <row r="7" spans="1:41" x14ac:dyDescent="0.25">
      <c r="B7" s="43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-727.6200000000008</v>
      </c>
      <c r="R7">
        <v>200</v>
      </c>
      <c r="T7" s="1">
        <v>43117</v>
      </c>
      <c r="U7" t="s">
        <v>873</v>
      </c>
      <c r="W7" s="134"/>
      <c r="Z7">
        <f t="shared" si="1"/>
        <v>171</v>
      </c>
      <c r="AA7" s="2">
        <f t="shared" si="2"/>
        <v>1334</v>
      </c>
      <c r="AB7">
        <f t="shared" si="3"/>
        <v>1334</v>
      </c>
      <c r="AC7">
        <f t="shared" si="4"/>
        <v>-43095</v>
      </c>
      <c r="AD7" s="2">
        <f t="shared" si="5"/>
        <v>0</v>
      </c>
      <c r="AE7">
        <f t="shared" si="6"/>
        <v>0</v>
      </c>
      <c r="AF7">
        <f t="shared" si="7"/>
        <v>-43095</v>
      </c>
      <c r="AG7" s="2">
        <f t="shared" si="8"/>
        <v>0</v>
      </c>
      <c r="AH7">
        <f t="shared" si="9"/>
        <v>0</v>
      </c>
    </row>
    <row r="8" spans="1:41" x14ac:dyDescent="0.25">
      <c r="B8" s="474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-727.6200000000008</v>
      </c>
      <c r="U8" t="s">
        <v>874</v>
      </c>
      <c r="W8" s="134"/>
      <c r="Z8">
        <f t="shared" si="1"/>
        <v>206</v>
      </c>
      <c r="AA8" s="2">
        <f t="shared" si="2"/>
        <v>1308</v>
      </c>
      <c r="AB8">
        <f t="shared" si="3"/>
        <v>1308</v>
      </c>
      <c r="AC8">
        <f t="shared" si="4"/>
        <v>-43095</v>
      </c>
      <c r="AD8" s="2">
        <f t="shared" si="5"/>
        <v>0</v>
      </c>
      <c r="AE8">
        <f t="shared" si="6"/>
        <v>0</v>
      </c>
      <c r="AF8">
        <f t="shared" si="7"/>
        <v>-43095</v>
      </c>
      <c r="AG8" s="2">
        <f t="shared" si="8"/>
        <v>0</v>
      </c>
      <c r="AH8">
        <f t="shared" si="9"/>
        <v>0</v>
      </c>
    </row>
    <row r="9" spans="1:41" x14ac:dyDescent="0.25">
      <c r="B9" s="474">
        <v>43320</v>
      </c>
      <c r="C9" s="4">
        <v>100</v>
      </c>
      <c r="D9" s="3">
        <v>12.98</v>
      </c>
      <c r="E9" s="3">
        <v>0</v>
      </c>
      <c r="F9" s="3">
        <f t="shared" si="0"/>
        <v>1298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-0.12468598023860374</v>
      </c>
      <c r="W9" s="134"/>
      <c r="Z9">
        <f t="shared" si="1"/>
        <v>225</v>
      </c>
      <c r="AA9" s="2">
        <f t="shared" si="2"/>
        <v>1298</v>
      </c>
      <c r="AB9">
        <f t="shared" si="3"/>
        <v>1298</v>
      </c>
      <c r="AC9">
        <f t="shared" si="4"/>
        <v>-43095</v>
      </c>
      <c r="AD9" s="2">
        <f t="shared" si="5"/>
        <v>0</v>
      </c>
      <c r="AE9">
        <f t="shared" si="6"/>
        <v>0</v>
      </c>
      <c r="AF9">
        <f t="shared" si="7"/>
        <v>-43095</v>
      </c>
      <c r="AG9" s="2">
        <f t="shared" si="8"/>
        <v>0</v>
      </c>
      <c r="AH9">
        <f t="shared" si="9"/>
        <v>0</v>
      </c>
    </row>
    <row r="10" spans="1:41" x14ac:dyDescent="0.25">
      <c r="H10" s="70"/>
      <c r="O10" s="11" t="s">
        <v>205</v>
      </c>
      <c r="P10" s="33"/>
      <c r="Q10" s="2">
        <f>M66</f>
        <v>0</v>
      </c>
      <c r="W10" s="134"/>
      <c r="Z10">
        <f t="shared" si="1"/>
        <v>-43095</v>
      </c>
      <c r="AA10" s="2">
        <f t="shared" si="2"/>
        <v>0</v>
      </c>
      <c r="AB10">
        <f t="shared" si="3"/>
        <v>0</v>
      </c>
      <c r="AC10">
        <f t="shared" si="4"/>
        <v>-43095</v>
      </c>
      <c r="AD10" s="2">
        <f t="shared" si="5"/>
        <v>0</v>
      </c>
      <c r="AE10">
        <f t="shared" si="6"/>
        <v>0</v>
      </c>
      <c r="AF10">
        <f t="shared" si="7"/>
        <v>-43095</v>
      </c>
      <c r="AG10" s="2">
        <f t="shared" si="8"/>
        <v>0</v>
      </c>
      <c r="AH10">
        <f t="shared" si="9"/>
        <v>0</v>
      </c>
    </row>
    <row r="11" spans="1:41" x14ac:dyDescent="0.25">
      <c r="H11" s="70"/>
      <c r="O11" s="11" t="s">
        <v>176</v>
      </c>
      <c r="P11" s="33"/>
      <c r="Q11" s="134">
        <f>R11*4/Q4</f>
        <v>3.7588097102584178E-2</v>
      </c>
      <c r="R11">
        <f>0.12</f>
        <v>0.12</v>
      </c>
      <c r="T11" s="817">
        <v>43124</v>
      </c>
      <c r="U11" t="s">
        <v>867</v>
      </c>
      <c r="W11" s="134"/>
      <c r="Z11">
        <f t="shared" si="1"/>
        <v>-43095</v>
      </c>
      <c r="AA11" s="2">
        <f t="shared" si="2"/>
        <v>0</v>
      </c>
      <c r="AB11">
        <f t="shared" si="3"/>
        <v>0</v>
      </c>
      <c r="AC11">
        <f t="shared" si="4"/>
        <v>-43095</v>
      </c>
      <c r="AD11" s="2">
        <f t="shared" si="5"/>
        <v>0</v>
      </c>
      <c r="AE11">
        <f t="shared" si="6"/>
        <v>0</v>
      </c>
      <c r="AF11">
        <f t="shared" si="7"/>
        <v>-43095</v>
      </c>
      <c r="AG11" s="2">
        <f t="shared" si="8"/>
        <v>0</v>
      </c>
      <c r="AH11">
        <f t="shared" si="9"/>
        <v>0</v>
      </c>
    </row>
    <row r="12" spans="1:41" x14ac:dyDescent="0.25">
      <c r="H12" s="70"/>
      <c r="O12" s="11" t="s">
        <v>82</v>
      </c>
      <c r="Q12" s="1"/>
      <c r="W12" s="134"/>
      <c r="Z12">
        <f t="shared" si="1"/>
        <v>-43095</v>
      </c>
      <c r="AA12" s="2">
        <f t="shared" si="2"/>
        <v>0</v>
      </c>
      <c r="AB12">
        <f t="shared" si="3"/>
        <v>0</v>
      </c>
      <c r="AC12">
        <f t="shared" si="4"/>
        <v>-43095</v>
      </c>
      <c r="AD12" s="2">
        <f t="shared" si="5"/>
        <v>0</v>
      </c>
      <c r="AE12">
        <f t="shared" si="6"/>
        <v>0</v>
      </c>
      <c r="AF12">
        <f t="shared" si="7"/>
        <v>-43095</v>
      </c>
      <c r="AG12" s="2">
        <f t="shared" si="8"/>
        <v>0</v>
      </c>
      <c r="AH12">
        <f t="shared" si="9"/>
        <v>0</v>
      </c>
    </row>
    <row r="13" spans="1:41" x14ac:dyDescent="0.25">
      <c r="H13" s="70"/>
      <c r="O13" s="11" t="s">
        <v>952</v>
      </c>
      <c r="Q13">
        <f>Q4/0.95</f>
        <v>13.442105263157895</v>
      </c>
      <c r="T13" s="1">
        <v>43210</v>
      </c>
      <c r="U13" t="s">
        <v>988</v>
      </c>
      <c r="W13" s="134"/>
      <c r="Z13">
        <f t="shared" si="1"/>
        <v>-43095</v>
      </c>
      <c r="AA13" s="2">
        <f t="shared" si="2"/>
        <v>0</v>
      </c>
      <c r="AB13">
        <f t="shared" si="3"/>
        <v>0</v>
      </c>
      <c r="AC13">
        <f t="shared" si="4"/>
        <v>-43095</v>
      </c>
      <c r="AD13" s="2">
        <f t="shared" si="5"/>
        <v>0</v>
      </c>
      <c r="AE13">
        <f t="shared" si="6"/>
        <v>0</v>
      </c>
      <c r="AF13">
        <f t="shared" si="7"/>
        <v>-43095</v>
      </c>
      <c r="AG13" s="2">
        <f t="shared" si="8"/>
        <v>0</v>
      </c>
      <c r="AH13">
        <f t="shared" si="9"/>
        <v>0</v>
      </c>
    </row>
    <row r="14" spans="1:41" x14ac:dyDescent="0.25">
      <c r="H14" s="70"/>
      <c r="O14" s="11" t="s">
        <v>1088</v>
      </c>
      <c r="Q14" s="134">
        <v>-0.17130000000000001</v>
      </c>
      <c r="W14" s="134"/>
      <c r="Z14">
        <f t="shared" si="1"/>
        <v>-43095</v>
      </c>
      <c r="AA14" s="2">
        <f t="shared" si="2"/>
        <v>0</v>
      </c>
      <c r="AB14">
        <f t="shared" si="3"/>
        <v>0</v>
      </c>
      <c r="AC14">
        <f t="shared" si="4"/>
        <v>-43095</v>
      </c>
      <c r="AD14" s="2">
        <f t="shared" si="5"/>
        <v>0</v>
      </c>
      <c r="AE14">
        <f t="shared" si="6"/>
        <v>0</v>
      </c>
      <c r="AF14">
        <f t="shared" si="7"/>
        <v>-43095</v>
      </c>
      <c r="AG14" s="2">
        <f t="shared" si="8"/>
        <v>0</v>
      </c>
      <c r="AH14">
        <f t="shared" si="9"/>
        <v>0</v>
      </c>
    </row>
    <row r="15" spans="1:41" x14ac:dyDescent="0.25">
      <c r="H15" s="70"/>
      <c r="T15" s="1">
        <v>43242</v>
      </c>
      <c r="U15" t="s">
        <v>1092</v>
      </c>
      <c r="W15" s="134"/>
      <c r="Z15">
        <f t="shared" si="1"/>
        <v>-43095</v>
      </c>
      <c r="AA15" s="2">
        <f t="shared" si="2"/>
        <v>0</v>
      </c>
      <c r="AB15">
        <f t="shared" si="3"/>
        <v>0</v>
      </c>
      <c r="AC15">
        <f t="shared" si="4"/>
        <v>-43095</v>
      </c>
      <c r="AD15" s="2">
        <f t="shared" si="5"/>
        <v>0</v>
      </c>
      <c r="AE15">
        <f t="shared" si="6"/>
        <v>0</v>
      </c>
      <c r="AF15">
        <f t="shared" si="7"/>
        <v>-43095</v>
      </c>
      <c r="AG15" s="2">
        <f t="shared" si="8"/>
        <v>0</v>
      </c>
      <c r="AH15">
        <f t="shared" si="9"/>
        <v>0</v>
      </c>
    </row>
    <row r="16" spans="1:41" x14ac:dyDescent="0.25">
      <c r="H16" s="70"/>
      <c r="W16" s="134"/>
      <c r="Z16">
        <f t="shared" si="1"/>
        <v>-43095</v>
      </c>
      <c r="AA16" s="2">
        <f t="shared" si="2"/>
        <v>0</v>
      </c>
      <c r="AB16">
        <f t="shared" si="3"/>
        <v>0</v>
      </c>
      <c r="AC16">
        <f t="shared" si="4"/>
        <v>-43095</v>
      </c>
      <c r="AD16" s="2">
        <f t="shared" si="5"/>
        <v>0</v>
      </c>
      <c r="AE16">
        <f t="shared" si="6"/>
        <v>0</v>
      </c>
      <c r="AF16">
        <f t="shared" si="7"/>
        <v>-43095</v>
      </c>
      <c r="AG16" s="2">
        <f t="shared" si="8"/>
        <v>0</v>
      </c>
      <c r="AH16">
        <f t="shared" si="9"/>
        <v>0</v>
      </c>
    </row>
    <row r="17" spans="1:34" x14ac:dyDescent="0.25">
      <c r="W17" s="134"/>
      <c r="Z17">
        <f t="shared" si="1"/>
        <v>-43095</v>
      </c>
      <c r="AA17" s="2">
        <f t="shared" si="2"/>
        <v>0</v>
      </c>
      <c r="AB17">
        <f t="shared" si="3"/>
        <v>0</v>
      </c>
      <c r="AC17">
        <f t="shared" si="4"/>
        <v>-43095</v>
      </c>
      <c r="AD17" s="2">
        <f t="shared" si="5"/>
        <v>0</v>
      </c>
      <c r="AE17">
        <f t="shared" si="6"/>
        <v>0</v>
      </c>
      <c r="AF17">
        <f t="shared" si="7"/>
        <v>-43095</v>
      </c>
      <c r="AG17" s="2">
        <f t="shared" si="8"/>
        <v>0</v>
      </c>
      <c r="AH17">
        <f t="shared" si="9"/>
        <v>0</v>
      </c>
    </row>
    <row r="18" spans="1:34" x14ac:dyDescent="0.25">
      <c r="A18" s="31" t="s">
        <v>81</v>
      </c>
      <c r="B18" s="14"/>
      <c r="C18" s="14">
        <f>SUM(C2:C9)</f>
        <v>850</v>
      </c>
      <c r="D18" s="18"/>
      <c r="E18" s="18"/>
      <c r="F18" s="18">
        <f>SUM(F2:F9)</f>
        <v>12364.5</v>
      </c>
      <c r="G18" s="14"/>
      <c r="H18" s="71">
        <f>SUM(H2:H6)</f>
        <v>450</v>
      </c>
      <c r="I18" s="18"/>
      <c r="J18" s="18"/>
      <c r="K18" s="18">
        <f>SUM(K2:K6)</f>
        <v>6468.8799999999992</v>
      </c>
      <c r="L18" s="14"/>
      <c r="M18" s="18">
        <f>SUM(M2:M10)</f>
        <v>60</v>
      </c>
      <c r="T18" s="1">
        <v>43305</v>
      </c>
      <c r="U18" t="s">
        <v>1262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450</v>
      </c>
      <c r="D19" s="343"/>
      <c r="E19" s="343"/>
      <c r="F19" s="344">
        <f>SumByColor($A$19,F2:F17)</f>
        <v>6320</v>
      </c>
      <c r="G19" s="343"/>
      <c r="H19" s="343">
        <f>SumByColor($A$19,H2:H17)</f>
        <v>450</v>
      </c>
      <c r="I19" s="343"/>
      <c r="J19" s="343"/>
      <c r="K19" s="344">
        <f>SumByColor($A$19,K2:K17)</f>
        <v>6469</v>
      </c>
      <c r="L19" s="343"/>
      <c r="M19" s="344">
        <f>SumByColor($A$19,M2:M17)</f>
        <v>60</v>
      </c>
      <c r="W19" s="134"/>
      <c r="AA19" s="2"/>
    </row>
    <row r="20" spans="1:34" ht="20.25" thickBot="1" x14ac:dyDescent="0.35">
      <c r="O20" s="859" t="s">
        <v>78</v>
      </c>
      <c r="P20" s="859"/>
      <c r="W20" s="134"/>
    </row>
    <row r="21" spans="1:34" ht="15.75" thickTop="1" x14ac:dyDescent="0.25">
      <c r="O21" s="81">
        <v>1.1000000000000001</v>
      </c>
      <c r="P21" s="81">
        <f>O21*$Q$4</f>
        <v>14.047000000000001</v>
      </c>
      <c r="W21" s="134"/>
    </row>
    <row r="22" spans="1:34" x14ac:dyDescent="0.25">
      <c r="O22" s="81">
        <v>1.0900000000000001</v>
      </c>
      <c r="P22" s="81">
        <f t="shared" ref="P22:P41" si="10">O22*$Q$4</f>
        <v>13.9193</v>
      </c>
      <c r="W22" s="134"/>
    </row>
    <row r="23" spans="1:34" x14ac:dyDescent="0.25">
      <c r="O23" s="81">
        <v>1.08</v>
      </c>
      <c r="P23" s="81">
        <f t="shared" si="10"/>
        <v>13.791600000000001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1.07</v>
      </c>
      <c r="P24" s="81">
        <f t="shared" si="10"/>
        <v>13.6639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1">C25*(E25-D25)</f>
        <v>-3.9999999999999147</v>
      </c>
      <c r="G25" s="39">
        <f t="shared" ref="G25:G32" si="12">D25*C25</f>
        <v>3490</v>
      </c>
      <c r="H25" s="222">
        <f t="shared" ref="H25:H32" si="1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0"/>
        <v>13.536200000000001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1"/>
        <v>139.99999999999986</v>
      </c>
      <c r="G26" s="39">
        <f t="shared" si="12"/>
        <v>3490</v>
      </c>
      <c r="H26" s="222">
        <f t="shared" si="13"/>
        <v>4.0114613180515721E-2</v>
      </c>
      <c r="I26" s="39"/>
      <c r="J26" s="39"/>
      <c r="K26" s="39"/>
      <c r="L26" s="39"/>
      <c r="O26" s="81">
        <v>1.05</v>
      </c>
      <c r="P26" s="81">
        <f t="shared" si="10"/>
        <v>13.4085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1"/>
        <v>217.99999999999997</v>
      </c>
      <c r="G27" s="39">
        <f t="shared" si="12"/>
        <v>3490</v>
      </c>
      <c r="H27" s="222">
        <f t="shared" si="13"/>
        <v>6.246418338108882E-2</v>
      </c>
      <c r="I27" s="39"/>
      <c r="J27" s="39"/>
      <c r="K27" s="39"/>
      <c r="L27" s="155"/>
      <c r="O27" s="81">
        <v>1.04</v>
      </c>
      <c r="P27" s="81">
        <f t="shared" si="10"/>
        <v>13.280799999999999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1"/>
        <v>-19.999999999999574</v>
      </c>
      <c r="G28" s="39">
        <f t="shared" si="12"/>
        <v>3490</v>
      </c>
      <c r="H28" s="222">
        <f t="shared" si="13"/>
        <v>-5.730659025787844E-3</v>
      </c>
      <c r="I28" s="39"/>
      <c r="J28" s="39"/>
      <c r="K28" s="39"/>
      <c r="L28" s="155"/>
      <c r="O28" s="81">
        <v>1.03</v>
      </c>
      <c r="P28" s="81">
        <f t="shared" si="10"/>
        <v>13.1531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1"/>
        <v>-201.9999999999996</v>
      </c>
      <c r="G29" s="39">
        <f t="shared" si="12"/>
        <v>3490</v>
      </c>
      <c r="H29" s="222">
        <f t="shared" si="13"/>
        <v>-5.7879656160458343E-2</v>
      </c>
      <c r="I29" s="39"/>
      <c r="J29" s="39"/>
      <c r="K29" s="39"/>
      <c r="L29" s="155"/>
      <c r="O29" s="81">
        <v>1.02</v>
      </c>
      <c r="P29" s="81">
        <f t="shared" si="10"/>
        <v>13.025399999999999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1"/>
        <v>-668</v>
      </c>
      <c r="G30" s="39">
        <f t="shared" si="12"/>
        <v>6296</v>
      </c>
      <c r="H30" s="222">
        <f t="shared" si="13"/>
        <v>-0.10609911054637865</v>
      </c>
      <c r="I30" s="39"/>
      <c r="J30" s="39"/>
      <c r="K30" s="39"/>
      <c r="L30" s="155"/>
      <c r="O30" s="81">
        <v>1.01</v>
      </c>
      <c r="P30" s="81">
        <f t="shared" si="10"/>
        <v>12.8977</v>
      </c>
      <c r="W30" s="134"/>
    </row>
    <row r="31" spans="1:34" x14ac:dyDescent="0.25">
      <c r="B31" s="184">
        <v>43184</v>
      </c>
      <c r="C31" s="10">
        <v>400</v>
      </c>
      <c r="D31" s="39">
        <v>15.74</v>
      </c>
      <c r="E31" s="39">
        <v>13.07</v>
      </c>
      <c r="F31" s="39">
        <f t="shared" si="11"/>
        <v>-1068</v>
      </c>
      <c r="G31" s="39">
        <f t="shared" si="12"/>
        <v>6296</v>
      </c>
      <c r="H31" s="222">
        <f t="shared" si="13"/>
        <v>-0.16963151207115629</v>
      </c>
      <c r="I31" s="39"/>
      <c r="J31" s="39"/>
      <c r="K31" s="39"/>
      <c r="L31" s="155"/>
      <c r="O31" s="81">
        <v>1</v>
      </c>
      <c r="P31" s="81">
        <f t="shared" si="10"/>
        <v>12.77</v>
      </c>
      <c r="W31" s="134"/>
    </row>
    <row r="32" spans="1:34" x14ac:dyDescent="0.25">
      <c r="A32">
        <v>200</v>
      </c>
      <c r="B32" s="184">
        <v>43185</v>
      </c>
      <c r="C32" s="10">
        <v>400</v>
      </c>
      <c r="D32" s="39">
        <v>15.74</v>
      </c>
      <c r="E32" s="39">
        <v>12.89</v>
      </c>
      <c r="F32" s="39">
        <f t="shared" si="11"/>
        <v>-1139.9999999999998</v>
      </c>
      <c r="G32" s="39">
        <f t="shared" si="12"/>
        <v>6296</v>
      </c>
      <c r="H32" s="222">
        <f t="shared" si="13"/>
        <v>-0.18106734434561625</v>
      </c>
      <c r="I32" s="39"/>
      <c r="J32" s="39"/>
      <c r="K32" s="39"/>
      <c r="L32" s="155"/>
      <c r="O32" s="81">
        <v>0.99</v>
      </c>
      <c r="P32" s="81">
        <f t="shared" si="10"/>
        <v>12.642299999999999</v>
      </c>
      <c r="W32" s="134"/>
    </row>
    <row r="33" spans="1:23" x14ac:dyDescent="0.25">
      <c r="A33" s="29"/>
      <c r="B33" s="184">
        <v>43186</v>
      </c>
      <c r="C33" s="10">
        <v>400</v>
      </c>
      <c r="D33" s="39">
        <v>15.74</v>
      </c>
      <c r="E33" s="39">
        <v>13.44</v>
      </c>
      <c r="F33" s="39">
        <f t="shared" ref="F33:F43" si="14">C33*(E33-D33)</f>
        <v>-920.00000000000023</v>
      </c>
      <c r="G33" s="39">
        <f t="shared" ref="G33:G43" si="15">D33*C33</f>
        <v>6296</v>
      </c>
      <c r="H33" s="222">
        <f t="shared" ref="H33:H43" si="16">(E33-D33)/D33</f>
        <v>-0.1461245235069886</v>
      </c>
      <c r="I33" s="39"/>
      <c r="J33" s="39"/>
      <c r="K33" s="39"/>
      <c r="L33" s="155"/>
      <c r="O33" s="81">
        <v>0.98</v>
      </c>
      <c r="P33" s="81">
        <f t="shared" si="10"/>
        <v>12.5146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4"/>
        <v>-376.05000000000024</v>
      </c>
      <c r="G34" s="39">
        <f t="shared" si="15"/>
        <v>4076.05</v>
      </c>
      <c r="H34" s="222">
        <f t="shared" si="16"/>
        <v>-9.2258436476490763E-2</v>
      </c>
      <c r="I34" s="39"/>
      <c r="J34" s="39"/>
      <c r="K34" s="39"/>
      <c r="L34" s="155"/>
      <c r="O34" s="81">
        <v>0.97</v>
      </c>
      <c r="P34" s="81">
        <f t="shared" si="10"/>
        <v>12.386899999999999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4"/>
        <v>-288.58500000000021</v>
      </c>
      <c r="G35" s="39">
        <f t="shared" si="15"/>
        <v>2543.085</v>
      </c>
      <c r="H35" s="222">
        <f t="shared" si="16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0"/>
        <v>12.2592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4"/>
        <v>-417.56999999999994</v>
      </c>
      <c r="G36" s="39">
        <f t="shared" si="15"/>
        <v>4671.57</v>
      </c>
      <c r="H36" s="222">
        <f t="shared" si="16"/>
        <v>-8.9385367232001217E-2</v>
      </c>
      <c r="I36" s="39"/>
      <c r="J36" s="39"/>
      <c r="K36" s="39"/>
      <c r="L36" s="39"/>
      <c r="O36" s="81">
        <v>0.95</v>
      </c>
      <c r="P36" s="81">
        <f t="shared" si="10"/>
        <v>12.131499999999999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4"/>
        <v>-685.59999999999945</v>
      </c>
      <c r="G37" s="39">
        <f t="shared" si="15"/>
        <v>6005.5999999999995</v>
      </c>
      <c r="H37" s="222">
        <f t="shared" si="16"/>
        <v>-0.11416011722392425</v>
      </c>
      <c r="I37" s="39"/>
      <c r="J37" s="39"/>
      <c r="K37" s="39"/>
      <c r="L37" s="39"/>
      <c r="O37" s="81">
        <v>0.94</v>
      </c>
      <c r="P37" s="81">
        <f t="shared" si="10"/>
        <v>12.003799999999998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4"/>
        <v>-485.60999999999962</v>
      </c>
      <c r="G38" s="39">
        <f t="shared" si="15"/>
        <v>4625.6099999999997</v>
      </c>
      <c r="H38" s="222">
        <f t="shared" si="16"/>
        <v>-0.1049829103620927</v>
      </c>
      <c r="I38" s="39"/>
      <c r="J38" s="39"/>
      <c r="K38" s="39"/>
      <c r="L38" s="39"/>
      <c r="O38" s="81">
        <v>0.93</v>
      </c>
      <c r="P38" s="81">
        <f t="shared" si="10"/>
        <v>11.876100000000001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4"/>
        <v>-701.5999999999998</v>
      </c>
      <c r="G39" s="39">
        <f t="shared" si="15"/>
        <v>5933.5999999999995</v>
      </c>
      <c r="H39" s="222">
        <f t="shared" si="16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0"/>
        <v>11.7484</v>
      </c>
      <c r="W39" s="134"/>
    </row>
    <row r="40" spans="1:23" x14ac:dyDescent="0.25">
      <c r="A40">
        <v>300</v>
      </c>
      <c r="B40" s="184">
        <v>43305</v>
      </c>
      <c r="C40" s="7">
        <v>400</v>
      </c>
      <c r="D40" s="43">
        <v>14.744</v>
      </c>
      <c r="E40" s="39">
        <v>13.12</v>
      </c>
      <c r="F40" s="39">
        <f t="shared" si="14"/>
        <v>-649.60000000000025</v>
      </c>
      <c r="G40" s="39">
        <f t="shared" si="15"/>
        <v>5897.6</v>
      </c>
      <c r="H40" s="222">
        <f t="shared" si="16"/>
        <v>-0.11014650027129684</v>
      </c>
      <c r="I40" s="39">
        <v>14</v>
      </c>
      <c r="J40" s="39"/>
      <c r="K40" s="39" t="s">
        <v>185</v>
      </c>
      <c r="L40" s="39">
        <v>13.81</v>
      </c>
      <c r="O40" s="81">
        <v>0.91</v>
      </c>
      <c r="P40" s="81">
        <f t="shared" si="10"/>
        <v>11.620699999999999</v>
      </c>
      <c r="W40" s="134"/>
    </row>
    <row r="41" spans="1:23" x14ac:dyDescent="0.25">
      <c r="A41">
        <v>200</v>
      </c>
      <c r="B41" s="184">
        <v>43312</v>
      </c>
      <c r="C41" s="10">
        <v>300</v>
      </c>
      <c r="D41" s="39">
        <v>15.125400000000001</v>
      </c>
      <c r="E41" s="39">
        <v>13.63</v>
      </c>
      <c r="F41" s="39">
        <f t="shared" si="14"/>
        <v>-448.62</v>
      </c>
      <c r="G41" s="39">
        <f t="shared" si="15"/>
        <v>4537.62</v>
      </c>
      <c r="H41" s="222">
        <f t="shared" si="16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0"/>
        <v>11.493</v>
      </c>
      <c r="Q41" s="2"/>
      <c r="W41" s="134"/>
    </row>
    <row r="42" spans="1:23" x14ac:dyDescent="0.25">
      <c r="A42">
        <v>200</v>
      </c>
      <c r="B42" s="184">
        <v>43316</v>
      </c>
      <c r="C42" s="10">
        <v>300</v>
      </c>
      <c r="D42" s="39">
        <v>15.13</v>
      </c>
      <c r="E42" s="39">
        <v>13.14</v>
      </c>
      <c r="F42" s="39">
        <f t="shared" si="14"/>
        <v>-597.00000000000011</v>
      </c>
      <c r="G42" s="39">
        <f t="shared" si="15"/>
        <v>4539</v>
      </c>
      <c r="H42" s="222">
        <f t="shared" si="16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84">
        <v>43320</v>
      </c>
      <c r="C43" s="7">
        <v>400</v>
      </c>
      <c r="D43" s="43">
        <v>14.5891</v>
      </c>
      <c r="E43" s="39">
        <v>13.05</v>
      </c>
      <c r="F43" s="39">
        <f t="shared" si="14"/>
        <v>-615.63999999999976</v>
      </c>
      <c r="G43" s="39">
        <f t="shared" si="15"/>
        <v>5835.64</v>
      </c>
      <c r="H43" s="222">
        <f t="shared" si="16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W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W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W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760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2013" priority="25">
      <formula>F56&gt;0</formula>
    </cfRule>
    <cfRule type="expression" dxfId="2012" priority="26">
      <formula>F56&lt;0</formula>
    </cfRule>
  </conditionalFormatting>
  <conditionalFormatting sqref="Q7">
    <cfRule type="expression" dxfId="2011" priority="23">
      <formula>Q7&gt;0</formula>
    </cfRule>
    <cfRule type="expression" dxfId="2010" priority="24">
      <formula>Q7&lt;0</formula>
    </cfRule>
  </conditionalFormatting>
  <conditionalFormatting sqref="Q8">
    <cfRule type="expression" dxfId="2009" priority="21">
      <formula>Q8&gt;0</formula>
    </cfRule>
    <cfRule type="expression" dxfId="2008" priority="22">
      <formula>Q8&lt;0</formula>
    </cfRule>
  </conditionalFormatting>
  <conditionalFormatting sqref="F25:F30 F34:F55">
    <cfRule type="expression" dxfId="2007" priority="19">
      <formula>F25&gt;0</formula>
    </cfRule>
    <cfRule type="expression" dxfId="2006" priority="20">
      <formula>F25&lt;0</formula>
    </cfRule>
  </conditionalFormatting>
  <conditionalFormatting sqref="H25:H30 H34:H55">
    <cfRule type="expression" dxfId="2005" priority="17">
      <formula>H25&gt;0</formula>
    </cfRule>
    <cfRule type="expression" dxfId="2004" priority="18">
      <formula>H25&lt;0</formula>
    </cfRule>
  </conditionalFormatting>
  <conditionalFormatting sqref="F89:F110">
    <cfRule type="expression" dxfId="2003" priority="15">
      <formula>F89&gt;0</formula>
    </cfRule>
    <cfRule type="expression" dxfId="2002" priority="16">
      <formula>F89&lt;0</formula>
    </cfRule>
  </conditionalFormatting>
  <conditionalFormatting sqref="H89:H110">
    <cfRule type="expression" dxfId="2001" priority="13">
      <formula>H89&gt;0</formula>
    </cfRule>
    <cfRule type="expression" dxfId="2000" priority="14">
      <formula>H89&lt;0</formula>
    </cfRule>
  </conditionalFormatting>
  <conditionalFormatting sqref="Q10">
    <cfRule type="expression" dxfId="1999" priority="11">
      <formula>Q10&gt;0</formula>
    </cfRule>
    <cfRule type="expression" dxfId="1998" priority="12">
      <formula>Q10&lt;0</formula>
    </cfRule>
  </conditionalFormatting>
  <conditionalFormatting sqref="J25:J38">
    <cfRule type="expression" dxfId="1997" priority="9">
      <formula>J25&gt;0</formula>
    </cfRule>
    <cfRule type="expression" dxfId="1996" priority="10">
      <formula>J25&lt;0</formula>
    </cfRule>
  </conditionalFormatting>
  <conditionalFormatting sqref="K25:K38">
    <cfRule type="expression" dxfId="1995" priority="7">
      <formula>K25&gt;0</formula>
    </cfRule>
    <cfRule type="expression" dxfId="1994" priority="8">
      <formula>K25&lt;0</formula>
    </cfRule>
  </conditionalFormatting>
  <conditionalFormatting sqref="L25:L38">
    <cfRule type="expression" dxfId="1993" priority="5">
      <formula>L25&gt;0</formula>
    </cfRule>
    <cfRule type="expression" dxfId="1992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91" priority="3">
      <formula>F31&gt;0</formula>
    </cfRule>
    <cfRule type="expression" dxfId="1990" priority="4">
      <formula>F31&lt;0</formula>
    </cfRule>
  </conditionalFormatting>
  <conditionalFormatting sqref="H31:H33">
    <cfRule type="expression" dxfId="1989" priority="1">
      <formula>H31&gt;0</formula>
    </cfRule>
    <cfRule type="expression" dxfId="1988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4">
        <v>43181</v>
      </c>
      <c r="C2" s="4">
        <v>50</v>
      </c>
      <c r="D2" s="3">
        <v>52.8</v>
      </c>
      <c r="E2" s="3">
        <v>0</v>
      </c>
      <c r="F2" s="3">
        <f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434">
        <v>43181</v>
      </c>
      <c r="C3" s="4">
        <v>50</v>
      </c>
      <c r="D3" s="3">
        <v>52.8</v>
      </c>
      <c r="E3" s="3">
        <v>0</v>
      </c>
      <c r="F3" s="3">
        <f>C3*D3+E3</f>
        <v>2640</v>
      </c>
      <c r="G3" s="434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221">
        <f>IF(Q2=0, Q4, (F18-K18-M18)/Q2)</f>
        <v>46.534050000000008</v>
      </c>
      <c r="T3" s="1">
        <v>43160</v>
      </c>
      <c r="U3" t="s">
        <v>973</v>
      </c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>C4*D4+E4</f>
        <v>4608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39.0199</v>
      </c>
      <c r="R4" s="495">
        <v>-2.7400000000000001E-2</v>
      </c>
      <c r="T4" s="770"/>
      <c r="U4" s="30"/>
    </row>
    <row r="5" spans="1:21" x14ac:dyDescent="0.25">
      <c r="B5" s="474">
        <v>43299</v>
      </c>
      <c r="C5" s="4">
        <v>50</v>
      </c>
      <c r="D5" s="3">
        <v>43.98</v>
      </c>
      <c r="E5" s="3">
        <v>0</v>
      </c>
      <c r="F5" s="3">
        <f>C5*D5+E5</f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7803.98</v>
      </c>
    </row>
    <row r="6" spans="1:21" x14ac:dyDescent="0.25">
      <c r="B6" s="474">
        <v>43319</v>
      </c>
      <c r="C6" s="4">
        <v>50</v>
      </c>
      <c r="D6" s="3">
        <v>39.4</v>
      </c>
      <c r="E6" s="3">
        <v>0</v>
      </c>
      <c r="F6" s="3">
        <f>C6*D6+E6</f>
        <v>1970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9306.8100000000013</v>
      </c>
      <c r="T6" s="1">
        <v>43227</v>
      </c>
      <c r="U6" t="s">
        <v>1041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-1502.8300000000017</v>
      </c>
      <c r="R7">
        <v>100</v>
      </c>
      <c r="U7" t="s">
        <v>1047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-1502.8300000000017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-0.16147638127349775</v>
      </c>
      <c r="T9" s="770">
        <v>43285</v>
      </c>
      <c r="U9" t="s">
        <v>1146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 t="s">
        <v>1183</v>
      </c>
      <c r="T12" s="1">
        <v>43319</v>
      </c>
      <c r="U12" t="s">
        <v>1234</v>
      </c>
    </row>
    <row r="13" spans="1:21" x14ac:dyDescent="0.25">
      <c r="H13" s="70"/>
      <c r="O13" s="11" t="s">
        <v>952</v>
      </c>
      <c r="Q13" s="2">
        <f>Q4/2.075</f>
        <v>18.804771084337347</v>
      </c>
      <c r="U13" t="s">
        <v>1235</v>
      </c>
    </row>
    <row r="14" spans="1:21" x14ac:dyDescent="0.25">
      <c r="H14" s="70"/>
      <c r="O14" s="11" t="s">
        <v>1039</v>
      </c>
      <c r="Q14" s="1">
        <v>43247</v>
      </c>
      <c r="U14" t="s">
        <v>1236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14057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26.25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4608</v>
      </c>
      <c r="G19" s="343"/>
      <c r="H19" s="343">
        <f>SumByColor($A$19,H2:H17)</f>
        <v>100</v>
      </c>
      <c r="I19" s="343"/>
      <c r="J19" s="343"/>
      <c r="K19" s="344">
        <f>SumByColor($A$19,K2:K17)</f>
        <v>4724</v>
      </c>
      <c r="L19" s="343"/>
      <c r="M19" s="344">
        <f>SumByColor($A$19,M2:M17)</f>
        <v>26</v>
      </c>
    </row>
    <row r="22" spans="1:17" ht="20.25" thickBot="1" x14ac:dyDescent="0.35">
      <c r="O22" s="799" t="s">
        <v>78</v>
      </c>
      <c r="P22" s="799"/>
    </row>
    <row r="23" spans="1:17" ht="15.75" thickTop="1" x14ac:dyDescent="0.25">
      <c r="O23" s="81">
        <v>1.1000000000000001</v>
      </c>
      <c r="P23" s="81">
        <f>O23*$Q$4</f>
        <v>42.921890000000005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42.531691000000002</v>
      </c>
      <c r="Q24" s="2"/>
    </row>
    <row r="25" spans="1:17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0"/>
        <v>42.141492</v>
      </c>
      <c r="Q25" s="2"/>
    </row>
    <row r="26" spans="1:17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0"/>
        <v>41.751293000000004</v>
      </c>
      <c r="Q26" s="2"/>
    </row>
    <row r="27" spans="1:17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0"/>
        <v>41.361094000000001</v>
      </c>
      <c r="Q27" s="2"/>
    </row>
    <row r="28" spans="1:17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0"/>
        <v>40.970894999999999</v>
      </c>
      <c r="Q28" s="2"/>
    </row>
    <row r="29" spans="1:17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0"/>
        <v>40.580696000000003</v>
      </c>
      <c r="Q29" s="2"/>
    </row>
    <row r="30" spans="1:17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1">C30*(E30-D30)</f>
        <v>-347.24999999999966</v>
      </c>
      <c r="G30" s="39">
        <f t="shared" ref="G30:G40" si="2">D30*C30</f>
        <v>5271.25</v>
      </c>
      <c r="H30" s="222">
        <f t="shared" ref="H30:H40" si="3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0"/>
        <v>40.190497000000001</v>
      </c>
      <c r="Q30" s="2"/>
    </row>
    <row r="31" spans="1:17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1"/>
        <v>-579.24999999999966</v>
      </c>
      <c r="G31" s="39">
        <f t="shared" si="2"/>
        <v>5271.25</v>
      </c>
      <c r="H31" s="222">
        <f t="shared" si="3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0"/>
        <v>39.800297999999998</v>
      </c>
      <c r="Q31" s="2"/>
    </row>
    <row r="32" spans="1:17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1"/>
        <v>-985.25999999999954</v>
      </c>
      <c r="G32" s="39">
        <f t="shared" si="2"/>
        <v>9879.2599999999984</v>
      </c>
      <c r="H32" s="222">
        <f t="shared" si="3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0"/>
        <v>39.410099000000002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1"/>
        <v>-378.00000000000011</v>
      </c>
      <c r="G33" s="39">
        <f t="shared" si="2"/>
        <v>9880</v>
      </c>
      <c r="H33" s="222">
        <f t="shared" si="3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0"/>
        <v>39.0199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1"/>
        <v>-965.25999999999931</v>
      </c>
      <c r="G34" s="39">
        <f t="shared" si="2"/>
        <v>9879.2599999999984</v>
      </c>
      <c r="H34" s="222">
        <f t="shared" si="3"/>
        <v>-9.7705698604956176E-2</v>
      </c>
      <c r="I34" s="39"/>
      <c r="J34" s="39"/>
      <c r="K34" s="39"/>
      <c r="L34" s="155"/>
      <c r="O34" s="81">
        <v>0.99</v>
      </c>
      <c r="P34" s="81">
        <f t="shared" si="0"/>
        <v>38.629700999999997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1"/>
        <v>-1087.2599999999991</v>
      </c>
      <c r="G35" s="39">
        <f t="shared" si="2"/>
        <v>9879.2599999999984</v>
      </c>
      <c r="H35" s="222">
        <f t="shared" si="3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0"/>
        <v>38.239502000000002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1"/>
        <v>-803.25999999999885</v>
      </c>
      <c r="G36" s="39">
        <f t="shared" si="2"/>
        <v>9879.2599999999984</v>
      </c>
      <c r="H36" s="222">
        <f t="shared" si="3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0"/>
        <v>37.849302999999999</v>
      </c>
    </row>
    <row r="37" spans="1:17" x14ac:dyDescent="0.25">
      <c r="A37" s="33" t="s">
        <v>1180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1"/>
        <v>-779.76000000000022</v>
      </c>
      <c r="G37" s="39">
        <f t="shared" si="2"/>
        <v>9861.76</v>
      </c>
      <c r="H37" s="222">
        <f t="shared" si="3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0"/>
        <v>37.459103999999996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1"/>
        <v>-1000.75</v>
      </c>
      <c r="G38" s="39">
        <f t="shared" si="2"/>
        <v>12060.75</v>
      </c>
      <c r="H38" s="222">
        <f t="shared" si="3"/>
        <v>-8.2975768505275382E-2</v>
      </c>
      <c r="I38" s="39"/>
      <c r="J38" s="39"/>
      <c r="K38" s="39"/>
      <c r="L38" s="39"/>
      <c r="O38" s="81">
        <v>0.95</v>
      </c>
      <c r="P38" s="81">
        <f t="shared" si="0"/>
        <v>37.068905000000001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1"/>
        <v>-660.77999999999975</v>
      </c>
      <c r="G39" s="39">
        <f t="shared" si="2"/>
        <v>9780.7800000000007</v>
      </c>
      <c r="H39" s="222">
        <f t="shared" si="3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0"/>
        <v>36.678705999999998</v>
      </c>
    </row>
    <row r="40" spans="1:17" x14ac:dyDescent="0.25">
      <c r="B40" s="184">
        <v>43308</v>
      </c>
      <c r="C40" s="10">
        <v>200</v>
      </c>
      <c r="D40" s="39">
        <v>48.9</v>
      </c>
      <c r="E40" s="39">
        <v>46.99</v>
      </c>
      <c r="F40" s="39">
        <f t="shared" si="1"/>
        <v>-381.99999999999932</v>
      </c>
      <c r="G40" s="39">
        <f t="shared" si="2"/>
        <v>9780</v>
      </c>
      <c r="H40" s="222">
        <f t="shared" si="3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0"/>
        <v>36.288507000000003</v>
      </c>
    </row>
    <row r="41" spans="1:17" x14ac:dyDescent="0.25">
      <c r="B41" s="184">
        <v>43312</v>
      </c>
      <c r="C41" s="10">
        <v>200</v>
      </c>
      <c r="D41" s="39">
        <v>48.9</v>
      </c>
      <c r="E41" s="39">
        <v>48.11</v>
      </c>
      <c r="F41" s="39">
        <f t="shared" ref="F41:F43" si="4">C41*(E41-D41)</f>
        <v>-157.99999999999983</v>
      </c>
      <c r="G41" s="39">
        <f t="shared" ref="G41:G43" si="5">D41*C41</f>
        <v>9780</v>
      </c>
      <c r="H41" s="222">
        <f t="shared" ref="H41:H43" si="6">(E41-D41)/D41</f>
        <v>-1.615541922290387E-2</v>
      </c>
      <c r="I41" s="39"/>
      <c r="J41" s="39"/>
      <c r="K41" s="39"/>
      <c r="L41" s="39"/>
      <c r="O41" s="81">
        <v>0.92</v>
      </c>
      <c r="P41" s="81">
        <f t="shared" si="0"/>
        <v>35.898308</v>
      </c>
    </row>
    <row r="42" spans="1:17" x14ac:dyDescent="0.25">
      <c r="A42">
        <v>150</v>
      </c>
      <c r="B42" s="184">
        <v>43316</v>
      </c>
      <c r="C42" s="10">
        <v>200</v>
      </c>
      <c r="D42" s="39">
        <v>48.9</v>
      </c>
      <c r="E42" s="39">
        <v>47.73</v>
      </c>
      <c r="F42" s="39">
        <f t="shared" si="4"/>
        <v>-234.00000000000034</v>
      </c>
      <c r="G42" s="39">
        <f t="shared" si="5"/>
        <v>9780</v>
      </c>
      <c r="H42" s="222">
        <f t="shared" si="6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0"/>
        <v>35.508109000000005</v>
      </c>
    </row>
    <row r="43" spans="1:17" x14ac:dyDescent="0.25">
      <c r="A43">
        <v>100</v>
      </c>
      <c r="B43" s="184">
        <v>43318</v>
      </c>
      <c r="C43" s="10">
        <v>150</v>
      </c>
      <c r="D43" s="39">
        <v>48.912100000000002</v>
      </c>
      <c r="E43" s="39">
        <v>48.88</v>
      </c>
      <c r="F43" s="39">
        <f t="shared" si="4"/>
        <v>-4.8149999999999693</v>
      </c>
      <c r="G43" s="39">
        <f t="shared" si="5"/>
        <v>7336.8150000000005</v>
      </c>
      <c r="H43" s="222">
        <f t="shared" si="6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0"/>
        <v>35.117910000000002</v>
      </c>
    </row>
    <row r="44" spans="1:17" x14ac:dyDescent="0.25">
      <c r="A44">
        <v>100</v>
      </c>
      <c r="B44" s="184">
        <v>43319</v>
      </c>
      <c r="C44" s="10">
        <v>150</v>
      </c>
      <c r="D44" s="39">
        <v>48.912100000000002</v>
      </c>
      <c r="E44" s="39">
        <v>39.450000000000003</v>
      </c>
      <c r="F44" s="39">
        <f t="shared" ref="F44:F45" si="7">C44*(E44-D44)</f>
        <v>-1419.3149999999998</v>
      </c>
      <c r="G44" s="39">
        <f t="shared" ref="G44:G45" si="8">D44*C44</f>
        <v>7336.8150000000005</v>
      </c>
      <c r="H44" s="222">
        <f t="shared" ref="H44:H45" si="9">(E44-D44)/D44</f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84">
        <v>43319</v>
      </c>
      <c r="C45" s="7">
        <v>200</v>
      </c>
      <c r="D45" s="43">
        <v>46.534100000000002</v>
      </c>
      <c r="E45" s="39">
        <v>39.4</v>
      </c>
      <c r="F45" s="39">
        <f t="shared" si="7"/>
        <v>-1426.8200000000006</v>
      </c>
      <c r="G45" s="39">
        <f t="shared" si="8"/>
        <v>9306.82</v>
      </c>
      <c r="H45" s="222">
        <f t="shared" si="9"/>
        <v>-0.15330907871861718</v>
      </c>
      <c r="I45" s="39"/>
      <c r="J45" s="39"/>
      <c r="K45" s="39">
        <v>18.989999999999998</v>
      </c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2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2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1987" priority="31">
      <formula>F60&gt;0</formula>
    </cfRule>
    <cfRule type="expression" dxfId="1986" priority="32">
      <formula>F60&lt;0</formula>
    </cfRule>
  </conditionalFormatting>
  <conditionalFormatting sqref="Q7">
    <cfRule type="expression" dxfId="1985" priority="29">
      <formula>Q7&gt;0</formula>
    </cfRule>
    <cfRule type="expression" dxfId="1984" priority="30">
      <formula>Q7&lt;0</formula>
    </cfRule>
  </conditionalFormatting>
  <conditionalFormatting sqref="Q8">
    <cfRule type="expression" dxfId="1983" priority="27">
      <formula>Q8&gt;0</formula>
    </cfRule>
    <cfRule type="expression" dxfId="1982" priority="28">
      <formula>Q8&lt;0</formula>
    </cfRule>
  </conditionalFormatting>
  <conditionalFormatting sqref="F31:F59">
    <cfRule type="expression" dxfId="1981" priority="25">
      <formula>F31&gt;0</formula>
    </cfRule>
    <cfRule type="expression" dxfId="1980" priority="26">
      <formula>F31&lt;0</formula>
    </cfRule>
  </conditionalFormatting>
  <conditionalFormatting sqref="H31:H59">
    <cfRule type="expression" dxfId="1979" priority="23">
      <formula>H31&gt;0</formula>
    </cfRule>
    <cfRule type="expression" dxfId="1978" priority="24">
      <formula>H31&lt;0</formula>
    </cfRule>
  </conditionalFormatting>
  <conditionalFormatting sqref="Q10">
    <cfRule type="expression" dxfId="1977" priority="21">
      <formula>Q10&gt;0</formula>
    </cfRule>
    <cfRule type="expression" dxfId="1976" priority="22">
      <formula>Q10&lt;0</formula>
    </cfRule>
  </conditionalFormatting>
  <conditionalFormatting sqref="J25:J38">
    <cfRule type="expression" dxfId="1975" priority="19">
      <formula>J25&gt;0</formula>
    </cfRule>
    <cfRule type="expression" dxfId="1974" priority="20">
      <formula>J25&lt;0</formula>
    </cfRule>
  </conditionalFormatting>
  <conditionalFormatting sqref="K38">
    <cfRule type="expression" dxfId="1973" priority="17">
      <formula>K38&gt;0</formula>
    </cfRule>
    <cfRule type="expression" dxfId="1972" priority="18">
      <formula>K38&lt;0</formula>
    </cfRule>
  </conditionalFormatting>
  <conditionalFormatting sqref="L25:L38">
    <cfRule type="expression" dxfId="1971" priority="15">
      <formula>L25&gt;0</formula>
    </cfRule>
    <cfRule type="expression" dxfId="1970" priority="16">
      <formula>L25&lt;0</formula>
    </cfRule>
  </conditionalFormatting>
  <conditionalFormatting sqref="F89:F110">
    <cfRule type="expression" dxfId="1969" priority="13">
      <formula>F89&gt;0</formula>
    </cfRule>
    <cfRule type="expression" dxfId="1968" priority="14">
      <formula>F89&lt;0</formula>
    </cfRule>
  </conditionalFormatting>
  <conditionalFormatting sqref="H89:H110">
    <cfRule type="expression" dxfId="1967" priority="11">
      <formula>H89&gt;0</formula>
    </cfRule>
    <cfRule type="expression" dxfId="1966" priority="12">
      <formula>H89&lt;0</formula>
    </cfRule>
  </conditionalFormatting>
  <conditionalFormatting sqref="J89:J102">
    <cfRule type="expression" dxfId="1965" priority="9">
      <formula>J89&gt;0</formula>
    </cfRule>
    <cfRule type="expression" dxfId="1964" priority="10">
      <formula>J89&lt;0</formula>
    </cfRule>
  </conditionalFormatting>
  <conditionalFormatting sqref="K89:K102">
    <cfRule type="expression" dxfId="1963" priority="7">
      <formula>K89&gt;0</formula>
    </cfRule>
    <cfRule type="expression" dxfId="1962" priority="8">
      <formula>K89&lt;0</formula>
    </cfRule>
  </conditionalFormatting>
  <conditionalFormatting sqref="L89:L102">
    <cfRule type="expression" dxfId="1961" priority="5">
      <formula>L89&gt;0</formula>
    </cfRule>
    <cfRule type="expression" dxfId="1960" priority="6">
      <formula>L89&lt;0</formula>
    </cfRule>
  </conditionalFormatting>
  <conditionalFormatting sqref="F25:F30">
    <cfRule type="expression" dxfId="1959" priority="3">
      <formula>F25&gt;0</formula>
    </cfRule>
    <cfRule type="expression" dxfId="1958" priority="4">
      <formula>F25&lt;0</formula>
    </cfRule>
  </conditionalFormatting>
  <conditionalFormatting sqref="H25:H30">
    <cfRule type="expression" dxfId="1957" priority="1">
      <formula>H25&gt;0</formula>
    </cfRule>
    <cfRule type="expression" dxfId="195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1021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1022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53.44</v>
      </c>
      <c r="T3" s="1"/>
      <c r="U3" s="22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53.44</v>
      </c>
      <c r="R4" s="495">
        <v>-3.0000000000000001E-3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1055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2.8068862275449104E-2</v>
      </c>
      <c r="R11">
        <v>1.5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9" t="s">
        <v>78</v>
      </c>
      <c r="P16" s="859"/>
    </row>
    <row r="17" spans="1:21" ht="15.75" thickTop="1" x14ac:dyDescent="0.25">
      <c r="O17" s="81">
        <v>1.1000000000000001</v>
      </c>
      <c r="P17" s="81">
        <f>O17*$Q$4</f>
        <v>58.783999999999999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58.249600000000001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57.715200000000003</v>
      </c>
    </row>
    <row r="20" spans="1:21" x14ac:dyDescent="0.25">
      <c r="O20" s="81">
        <v>1.07</v>
      </c>
      <c r="P20" s="81">
        <f t="shared" si="0"/>
        <v>57.180799999999998</v>
      </c>
    </row>
    <row r="21" spans="1:21" x14ac:dyDescent="0.25">
      <c r="O21" s="81">
        <v>1.06</v>
      </c>
      <c r="P21" s="81">
        <f t="shared" si="0"/>
        <v>56.6464</v>
      </c>
    </row>
    <row r="22" spans="1:21" x14ac:dyDescent="0.25">
      <c r="O22" s="81">
        <v>1.05</v>
      </c>
      <c r="P22" s="81">
        <f t="shared" si="0"/>
        <v>56.112000000000002</v>
      </c>
    </row>
    <row r="23" spans="1:21" x14ac:dyDescent="0.25">
      <c r="O23" s="81">
        <v>1.04</v>
      </c>
      <c r="P23" s="81">
        <f t="shared" si="0"/>
        <v>55.577599999999997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55.043199999999999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54.508800000000001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53.974399999999996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53.44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52.9056</v>
      </c>
      <c r="U28" t="s">
        <v>1054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52.371199999999995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51.836799999999997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51.302399999999999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50.767999999999994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50.233599999999996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49.699199999999998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49.1648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48.630400000000002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48.095999999999997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55" priority="35">
      <formula>F47&gt;0</formula>
    </cfRule>
    <cfRule type="expression" dxfId="1954" priority="36">
      <formula>F47&lt;0</formula>
    </cfRule>
  </conditionalFormatting>
  <conditionalFormatting sqref="Q7">
    <cfRule type="expression" dxfId="1953" priority="33">
      <formula>Q7&gt;0</formula>
    </cfRule>
    <cfRule type="expression" dxfId="1952" priority="34">
      <formula>Q7&lt;0</formula>
    </cfRule>
  </conditionalFormatting>
  <conditionalFormatting sqref="Q8">
    <cfRule type="expression" dxfId="1951" priority="31">
      <formula>Q8&gt;0</formula>
    </cfRule>
    <cfRule type="expression" dxfId="1950" priority="32">
      <formula>Q8&lt;0</formula>
    </cfRule>
  </conditionalFormatting>
  <conditionalFormatting sqref="F30:F46">
    <cfRule type="expression" dxfId="1949" priority="29">
      <formula>F30&gt;0</formula>
    </cfRule>
    <cfRule type="expression" dxfId="1948" priority="30">
      <formula>F30&lt;0</formula>
    </cfRule>
  </conditionalFormatting>
  <conditionalFormatting sqref="H30:H46">
    <cfRule type="expression" dxfId="1947" priority="27">
      <formula>H30&gt;0</formula>
    </cfRule>
    <cfRule type="expression" dxfId="1946" priority="28">
      <formula>H30&lt;0</formula>
    </cfRule>
  </conditionalFormatting>
  <conditionalFormatting sqref="Q10">
    <cfRule type="expression" dxfId="1945" priority="25">
      <formula>Q10&gt;0</formula>
    </cfRule>
    <cfRule type="expression" dxfId="1944" priority="26">
      <formula>Q10&lt;0</formula>
    </cfRule>
  </conditionalFormatting>
  <conditionalFormatting sqref="J25:J38">
    <cfRule type="expression" dxfId="1943" priority="23">
      <formula>J25&gt;0</formula>
    </cfRule>
    <cfRule type="expression" dxfId="1942" priority="24">
      <formula>J25&lt;0</formula>
    </cfRule>
  </conditionalFormatting>
  <conditionalFormatting sqref="K25:K38">
    <cfRule type="expression" dxfId="1941" priority="21">
      <formula>K25&gt;0</formula>
    </cfRule>
    <cfRule type="expression" dxfId="1940" priority="22">
      <formula>K25&lt;0</formula>
    </cfRule>
  </conditionalFormatting>
  <conditionalFormatting sqref="L25 L38">
    <cfRule type="expression" dxfId="1939" priority="19">
      <formula>L25&gt;0</formula>
    </cfRule>
    <cfRule type="expression" dxfId="1938" priority="20">
      <formula>L25&lt;0</formula>
    </cfRule>
  </conditionalFormatting>
  <conditionalFormatting sqref="F89:F110">
    <cfRule type="expression" dxfId="1937" priority="17">
      <formula>F89&gt;0</formula>
    </cfRule>
    <cfRule type="expression" dxfId="1936" priority="18">
      <formula>F89&lt;0</formula>
    </cfRule>
  </conditionalFormatting>
  <conditionalFormatting sqref="H89:H110">
    <cfRule type="expression" dxfId="1935" priority="15">
      <formula>H89&gt;0</formula>
    </cfRule>
    <cfRule type="expression" dxfId="1934" priority="16">
      <formula>H89&lt;0</formula>
    </cfRule>
  </conditionalFormatting>
  <conditionalFormatting sqref="J89:J102">
    <cfRule type="expression" dxfId="1933" priority="13">
      <formula>J89&gt;0</formula>
    </cfRule>
    <cfRule type="expression" dxfId="1932" priority="14">
      <formula>J89&lt;0</formula>
    </cfRule>
  </conditionalFormatting>
  <conditionalFormatting sqref="K89:K102">
    <cfRule type="expression" dxfId="1931" priority="11">
      <formula>K89&gt;0</formula>
    </cfRule>
    <cfRule type="expression" dxfId="1930" priority="12">
      <formula>K89&lt;0</formula>
    </cfRule>
  </conditionalFormatting>
  <conditionalFormatting sqref="L89:L102">
    <cfRule type="expression" dxfId="1929" priority="9">
      <formula>L89&gt;0</formula>
    </cfRule>
    <cfRule type="expression" dxfId="1928" priority="10">
      <formula>L89&lt;0</formula>
    </cfRule>
  </conditionalFormatting>
  <conditionalFormatting sqref="F25 F29">
    <cfRule type="expression" dxfId="1927" priority="7">
      <formula>F25&gt;0</formula>
    </cfRule>
    <cfRule type="expression" dxfId="1926" priority="8">
      <formula>F25&lt;0</formula>
    </cfRule>
  </conditionalFormatting>
  <conditionalFormatting sqref="H29 H25:H27">
    <cfRule type="expression" dxfId="1925" priority="5">
      <formula>H25&gt;0</formula>
    </cfRule>
    <cfRule type="expression" dxfId="1924" priority="6">
      <formula>H25&lt;0</formula>
    </cfRule>
  </conditionalFormatting>
  <conditionalFormatting sqref="F26:F28">
    <cfRule type="expression" dxfId="1923" priority="3">
      <formula>F26&gt;0</formula>
    </cfRule>
    <cfRule type="expression" dxfId="1922" priority="4">
      <formula>F26&lt;0</formula>
    </cfRule>
  </conditionalFormatting>
  <conditionalFormatting sqref="H28">
    <cfRule type="expression" dxfId="1921" priority="1">
      <formula>H28&gt;0</formula>
    </cfRule>
    <cfRule type="expression" dxfId="1920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28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5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5">
        <f>C57-H57</f>
        <v>300</v>
      </c>
      <c r="T2" s="826" t="s">
        <v>342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16.071166666666667</v>
      </c>
      <c r="T3" s="813" t="s">
        <v>453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30.139900000000001</v>
      </c>
      <c r="R4" s="222">
        <v>1.0699999999999999E-2</v>
      </c>
      <c r="T4" s="34" t="s">
        <v>651</v>
      </c>
      <c r="U4" s="22" t="s">
        <v>650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9041.9699999999993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4821.3500000000004</v>
      </c>
      <c r="T6" s="813" t="s">
        <v>993</v>
      </c>
      <c r="U6" t="s">
        <v>995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5968.5900000000165</v>
      </c>
      <c r="R7" s="29">
        <v>43353</v>
      </c>
      <c r="T7" s="813" t="s">
        <v>1122</v>
      </c>
      <c r="U7" t="s">
        <v>1123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4220.6200000000226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206</v>
      </c>
      <c r="Q9" s="222">
        <f>IF(Q2=0, 0, Q8/Q6)</f>
        <v>0.87540211766414433</v>
      </c>
      <c r="T9" s="813" t="s">
        <v>509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205</v>
      </c>
      <c r="P10" s="33"/>
      <c r="Q10" s="2">
        <f>M257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1.8580021831525653E-2</v>
      </c>
      <c r="R11">
        <v>0.14000000000000001</v>
      </c>
      <c r="T11" s="813">
        <v>43095</v>
      </c>
      <c r="U11" t="s">
        <v>763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925</v>
      </c>
      <c r="Q12" s="29" t="s">
        <v>1131</v>
      </c>
      <c r="U12" t="s">
        <v>769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994</v>
      </c>
      <c r="Q13" s="2">
        <f>Q4/(2+2.15)*2</f>
        <v>14.525253012048191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/>
      <c r="Q14" s="736"/>
      <c r="T14" s="813">
        <v>43102</v>
      </c>
      <c r="U14" t="s">
        <v>826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11" t="s">
        <v>1017</v>
      </c>
      <c r="Q15" s="29">
        <v>43317</v>
      </c>
      <c r="U15" t="s">
        <v>814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824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825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830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838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59" t="s">
        <v>78</v>
      </c>
      <c r="P22" s="859"/>
      <c r="U22" t="s">
        <v>839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33.153890000000004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32.852491000000001</v>
      </c>
      <c r="Q24" s="2"/>
      <c r="T24" s="813">
        <v>43126</v>
      </c>
      <c r="U24" t="s">
        <v>889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32.551092000000004</v>
      </c>
      <c r="Q25" s="2"/>
      <c r="U25" t="s">
        <v>890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32.249693000000001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31.948294000000004</v>
      </c>
      <c r="Q27" s="2"/>
      <c r="T27" s="814">
        <v>43153</v>
      </c>
      <c r="U27" t="s">
        <v>929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31.646895000000001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31.345496000000001</v>
      </c>
      <c r="Q29" s="2"/>
      <c r="T29" s="814">
        <v>43161</v>
      </c>
      <c r="U29" t="s">
        <v>928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31.044097000000001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30.742698000000001</v>
      </c>
      <c r="Q31" s="2"/>
      <c r="T31" s="814">
        <v>43167</v>
      </c>
      <c r="U31" t="s">
        <v>955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30.441299000000001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30.139900000000001</v>
      </c>
      <c r="Q33" s="2"/>
      <c r="T33" s="813">
        <v>43196</v>
      </c>
      <c r="U33" t="s">
        <v>948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7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29.838501000000001</v>
      </c>
      <c r="Q34" s="2"/>
      <c r="U34" t="s">
        <v>970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7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29.537102000000001</v>
      </c>
      <c r="Q35" s="2"/>
      <c r="T35" s="813">
        <v>43200</v>
      </c>
      <c r="U35" t="s">
        <v>985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7"/>
      <c r="O36" s="81">
        <v>0.97</v>
      </c>
      <c r="P36" s="81">
        <f t="shared" si="2"/>
        <v>29.235703000000001</v>
      </c>
      <c r="T36" s="813">
        <v>43203</v>
      </c>
      <c r="U36" t="s">
        <v>984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7"/>
      <c r="O37" s="81">
        <v>0.96</v>
      </c>
      <c r="P37" s="81">
        <f t="shared" si="2"/>
        <v>28.934304000000001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29"/>
      <c r="O38" s="81">
        <v>0.95</v>
      </c>
      <c r="P38" s="81">
        <f t="shared" si="2"/>
        <v>28.632905000000001</v>
      </c>
      <c r="T38" s="813">
        <v>43210</v>
      </c>
      <c r="U38" t="s">
        <v>990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29"/>
      <c r="O39" s="81">
        <v>0.94</v>
      </c>
      <c r="P39" s="81">
        <f t="shared" si="2"/>
        <v>28.331505999999997</v>
      </c>
      <c r="U39" t="s">
        <v>991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29"/>
      <c r="O40" s="81">
        <v>0.93</v>
      </c>
      <c r="P40" s="81">
        <f t="shared" si="2"/>
        <v>28.030107000000001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7"/>
      <c r="O41" s="81">
        <v>0.92</v>
      </c>
      <c r="P41" s="81">
        <f t="shared" si="2"/>
        <v>27.728708000000001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27.427309000000001</v>
      </c>
      <c r="T42" s="813">
        <v>43214</v>
      </c>
      <c r="U42" t="s">
        <v>996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27.125910000000001</v>
      </c>
      <c r="T43" s="813">
        <v>43221</v>
      </c>
      <c r="U43" t="s">
        <v>1035</v>
      </c>
      <c r="W43" s="134"/>
      <c r="AA43" s="2"/>
      <c r="AD43" s="2"/>
      <c r="AG43" s="2"/>
      <c r="AI43" s="2"/>
    </row>
    <row r="44" spans="1:39" x14ac:dyDescent="0.25">
      <c r="A44" t="s">
        <v>1116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1033</v>
      </c>
      <c r="W44" s="134"/>
      <c r="AA44" s="2"/>
      <c r="AD44" s="2"/>
      <c r="AG44" s="2"/>
      <c r="AI44" s="2"/>
    </row>
    <row r="45" spans="1:39" x14ac:dyDescent="0.25">
      <c r="B45" s="47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1034</v>
      </c>
      <c r="W46" s="134"/>
      <c r="AA46" s="2"/>
      <c r="AD46" s="2"/>
      <c r="AG46" s="2"/>
      <c r="AI46" s="2"/>
    </row>
    <row r="47" spans="1:39" x14ac:dyDescent="0.25">
      <c r="B47" s="47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735">
        <v>43321</v>
      </c>
      <c r="C48" s="4">
        <v>300</v>
      </c>
      <c r="D48" s="231">
        <v>29.88</v>
      </c>
      <c r="E48" s="3">
        <v>0</v>
      </c>
      <c r="F48" s="3">
        <f t="shared" si="3"/>
        <v>8964</v>
      </c>
      <c r="G48" s="29"/>
      <c r="T48" s="813">
        <v>43236</v>
      </c>
      <c r="U48" t="s">
        <v>1059</v>
      </c>
      <c r="W48" s="134"/>
      <c r="AA48" s="2"/>
      <c r="AD48" s="2"/>
      <c r="AG48" s="2"/>
      <c r="AI48" s="2"/>
    </row>
    <row r="49" spans="1:39" x14ac:dyDescent="0.25">
      <c r="B49" s="29"/>
      <c r="C49" s="4"/>
      <c r="D49" s="3"/>
      <c r="E49" s="3"/>
      <c r="F49" s="3"/>
      <c r="G49" s="29"/>
      <c r="T49" s="833">
        <v>43237</v>
      </c>
      <c r="U49" t="s">
        <v>992</v>
      </c>
      <c r="W49" s="134"/>
      <c r="AA49" s="2"/>
      <c r="AD49" s="2"/>
      <c r="AG49" s="2"/>
      <c r="AI49" s="2"/>
    </row>
    <row r="50" spans="1:39" x14ac:dyDescent="0.25">
      <c r="B50" s="29"/>
      <c r="D50" s="78"/>
      <c r="G50" s="29"/>
      <c r="U50" t="s">
        <v>1061</v>
      </c>
      <c r="W50" s="134"/>
      <c r="AA50" s="2"/>
      <c r="AD50" s="2"/>
      <c r="AG50" s="2"/>
      <c r="AI50" s="2"/>
    </row>
    <row r="51" spans="1:39" x14ac:dyDescent="0.25">
      <c r="B51" s="29"/>
      <c r="C51" s="4"/>
      <c r="D51" s="3"/>
      <c r="E51" s="3"/>
      <c r="F51" s="3"/>
      <c r="G51" s="29"/>
      <c r="U51" t="s">
        <v>1063</v>
      </c>
      <c r="W51" s="134"/>
      <c r="AA51" s="2"/>
      <c r="AD51" s="2"/>
      <c r="AG51" s="2"/>
      <c r="AI51" s="2"/>
    </row>
    <row r="52" spans="1:39" x14ac:dyDescent="0.25">
      <c r="B52" s="29"/>
      <c r="D52" s="78"/>
      <c r="G52" s="29"/>
      <c r="AA52" s="2"/>
      <c r="AD52" s="2"/>
      <c r="AG52" s="2"/>
      <c r="AI52" s="2"/>
    </row>
    <row r="53" spans="1:39" x14ac:dyDescent="0.25">
      <c r="B53" s="29"/>
      <c r="C53" s="4"/>
      <c r="D53" s="3"/>
      <c r="E53" s="3"/>
      <c r="F53" s="3"/>
      <c r="G53" s="29"/>
      <c r="T53" s="813">
        <v>43243</v>
      </c>
      <c r="U53" t="s">
        <v>1074</v>
      </c>
      <c r="AA53" s="2"/>
      <c r="AD53" s="2"/>
      <c r="AG53" s="2"/>
      <c r="AI53" s="2"/>
    </row>
    <row r="54" spans="1:39" x14ac:dyDescent="0.25">
      <c r="B54" s="29"/>
      <c r="D54" s="78"/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A57" s="31" t="s">
        <v>81</v>
      </c>
      <c r="B57" s="14"/>
      <c r="C57" s="14">
        <f>SUM(C2:C56)</f>
        <v>11620</v>
      </c>
      <c r="D57" s="18"/>
      <c r="E57" s="18"/>
      <c r="F57" s="18">
        <f>SUM(F2:F56)</f>
        <v>307265.67</v>
      </c>
      <c r="G57" s="14"/>
      <c r="H57" s="14">
        <f>SUM(H2:H56)</f>
        <v>11320</v>
      </c>
      <c r="I57" s="18"/>
      <c r="J57" s="18"/>
      <c r="K57" s="18">
        <f>SUM(K2:K56)</f>
        <v>301225.92</v>
      </c>
      <c r="L57" s="14"/>
      <c r="M57" s="18">
        <f>SUM(M2:M56)</f>
        <v>1218.4000000000001</v>
      </c>
      <c r="U57" t="s">
        <v>1133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11320</v>
      </c>
      <c r="D58" s="343"/>
      <c r="E58" s="343"/>
      <c r="F58" s="344">
        <f>SumByColor($A$58,F2:F56)</f>
        <v>298302</v>
      </c>
      <c r="G58" s="344"/>
      <c r="H58" s="747">
        <f>SumByColor($A$58,H2:H56)</f>
        <v>11320</v>
      </c>
      <c r="I58" s="343"/>
      <c r="J58" s="343"/>
      <c r="K58" s="344">
        <f>SumByColor($A$58,K2:K56)</f>
        <v>301231</v>
      </c>
      <c r="L58" s="343"/>
      <c r="M58" s="344">
        <f>SumByColor($A$58,M2:M56)</f>
        <v>1219</v>
      </c>
      <c r="AA58" s="2"/>
      <c r="AD58" s="2"/>
      <c r="AG58" s="2"/>
      <c r="AI58" s="2"/>
    </row>
    <row r="59" spans="1:39" x14ac:dyDescent="0.25">
      <c r="T59" s="813">
        <v>43273</v>
      </c>
      <c r="U59" t="s">
        <v>1117</v>
      </c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T61" s="813">
        <v>43274</v>
      </c>
      <c r="U61" t="s">
        <v>1118</v>
      </c>
      <c r="AA61" s="2"/>
      <c r="AD61" s="2"/>
      <c r="AG61" s="2"/>
      <c r="AI61" s="2"/>
    </row>
    <row r="62" spans="1:39" x14ac:dyDescent="0.25">
      <c r="U62" t="s">
        <v>1119</v>
      </c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490</v>
      </c>
      <c r="K63" s="220" t="s">
        <v>150</v>
      </c>
      <c r="L63" s="220" t="s">
        <v>708</v>
      </c>
      <c r="AA63" s="2"/>
      <c r="AD63" s="2"/>
      <c r="AG63" s="2"/>
      <c r="AI63" s="2"/>
    </row>
    <row r="64" spans="1:39" x14ac:dyDescent="0.25">
      <c r="A64" t="s">
        <v>331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4">C64*(E64-D64)</f>
        <v>-57.00000000000216</v>
      </c>
      <c r="G64" s="39">
        <f t="shared" ref="G64:G70" si="5">D64*C64</f>
        <v>13761.000000000002</v>
      </c>
      <c r="H64" s="222">
        <f t="shared" ref="H64:H70" si="6">(E64-D64)/D64</f>
        <v>-4.1421408327884717E-3</v>
      </c>
      <c r="I64" s="39">
        <v>34</v>
      </c>
      <c r="J64" s="39"/>
      <c r="K64" s="39"/>
      <c r="L64" s="39"/>
      <c r="T64" s="813">
        <v>43284</v>
      </c>
      <c r="U64" t="s">
        <v>1129</v>
      </c>
    </row>
    <row r="65" spans="1:21" x14ac:dyDescent="0.25">
      <c r="A65" t="s">
        <v>331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4"/>
        <v>-373.00000000000182</v>
      </c>
      <c r="G65" s="39">
        <f t="shared" si="5"/>
        <v>13761.000000000002</v>
      </c>
      <c r="H65" s="222">
        <f t="shared" si="6"/>
        <v>-2.7105588256667524E-2</v>
      </c>
      <c r="I65" s="39"/>
      <c r="J65" s="39"/>
      <c r="K65" s="39"/>
      <c r="L65" s="39"/>
      <c r="U65" t="s">
        <v>1130</v>
      </c>
    </row>
    <row r="66" spans="1:21" x14ac:dyDescent="0.25">
      <c r="A66" t="s">
        <v>361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4"/>
        <v>-391.00000000000182</v>
      </c>
      <c r="G66" s="39">
        <f t="shared" si="5"/>
        <v>17071</v>
      </c>
      <c r="H66" s="222">
        <f t="shared" si="6"/>
        <v>-2.2904340694745579E-2</v>
      </c>
      <c r="I66" s="39">
        <v>33.75</v>
      </c>
      <c r="J66" s="39"/>
      <c r="K66" s="39"/>
      <c r="L66" s="39"/>
    </row>
    <row r="67" spans="1:21" x14ac:dyDescent="0.25">
      <c r="A67" t="s">
        <v>385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4"/>
        <v>-60.999999999999943</v>
      </c>
      <c r="G67" s="39">
        <f t="shared" si="5"/>
        <v>17071</v>
      </c>
      <c r="H67" s="222">
        <f t="shared" si="6"/>
        <v>-3.5733114638861192E-3</v>
      </c>
      <c r="I67" s="39"/>
      <c r="J67" s="39"/>
      <c r="K67" s="39"/>
      <c r="L67" s="39"/>
      <c r="T67" s="813">
        <v>43307</v>
      </c>
      <c r="U67" t="s">
        <v>1213</v>
      </c>
    </row>
    <row r="68" spans="1:21" x14ac:dyDescent="0.25">
      <c r="A68" t="s">
        <v>401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4"/>
        <v>-531.00000000000307</v>
      </c>
      <c r="G68" s="39">
        <f t="shared" si="5"/>
        <v>20379.000000000004</v>
      </c>
      <c r="H68" s="222">
        <f t="shared" si="6"/>
        <v>-2.6056234358899016E-2</v>
      </c>
      <c r="I68" s="39"/>
      <c r="J68" s="39"/>
      <c r="K68" s="39"/>
      <c r="L68" s="39"/>
    </row>
    <row r="69" spans="1:21" x14ac:dyDescent="0.25">
      <c r="A69" t="s">
        <v>362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4"/>
        <v>-291.00000000000392</v>
      </c>
      <c r="G69" s="39">
        <f t="shared" si="5"/>
        <v>20379.000000000004</v>
      </c>
      <c r="H69" s="222">
        <f t="shared" si="6"/>
        <v>-1.4279405270131208E-2</v>
      </c>
      <c r="I69" s="39"/>
      <c r="J69" s="39"/>
      <c r="K69" s="39"/>
      <c r="L69" s="39"/>
      <c r="T69" s="813">
        <v>43320</v>
      </c>
      <c r="U69" t="s">
        <v>1240</v>
      </c>
    </row>
    <row r="70" spans="1:21" x14ac:dyDescent="0.25">
      <c r="A70" t="s">
        <v>425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4"/>
        <v>36.839999999997985</v>
      </c>
      <c r="G70" s="39">
        <f t="shared" si="5"/>
        <v>13539.160000000002</v>
      </c>
      <c r="H70" s="222">
        <f t="shared" si="6"/>
        <v>2.7209959849797166E-3</v>
      </c>
      <c r="I70" s="39" t="s">
        <v>433</v>
      </c>
      <c r="J70" s="39"/>
      <c r="K70" s="39"/>
      <c r="L70" s="39"/>
    </row>
    <row r="71" spans="1:21" x14ac:dyDescent="0.25">
      <c r="A71" t="s">
        <v>332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:F102" si="7">C71*(E71-D71)</f>
        <v>-217.15200000000294</v>
      </c>
      <c r="G71" s="39">
        <f t="shared" ref="G71:G102" si="8">D71*C71</f>
        <v>20155.152000000002</v>
      </c>
      <c r="H71" s="222">
        <f t="shared" ref="H71:H102" si="9">(E71-D71)/D71</f>
        <v>-1.0774019466586158E-2</v>
      </c>
      <c r="I71" s="39">
        <v>33</v>
      </c>
      <c r="J71" s="39"/>
      <c r="K71" s="39"/>
      <c r="L71" s="39"/>
    </row>
    <row r="72" spans="1:21" x14ac:dyDescent="0.25">
      <c r="A72" t="s">
        <v>456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si="7"/>
        <v>-815.12000000000171</v>
      </c>
      <c r="G72" s="39">
        <f t="shared" si="8"/>
        <v>26591.120000000003</v>
      </c>
      <c r="H72" s="222">
        <f t="shared" si="9"/>
        <v>-3.0653842335336072E-2</v>
      </c>
      <c r="I72" s="39"/>
      <c r="J72" s="39"/>
      <c r="K72" s="39"/>
      <c r="L72" s="39"/>
      <c r="T72" s="848">
        <v>43377</v>
      </c>
      <c r="U72" t="s">
        <v>1164</v>
      </c>
    </row>
    <row r="73" spans="1:21" x14ac:dyDescent="0.25">
      <c r="A73" t="s">
        <v>461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si="7"/>
        <v>-1989.12</v>
      </c>
      <c r="G73" s="39">
        <f t="shared" si="8"/>
        <v>44927.12</v>
      </c>
      <c r="H73" s="222">
        <f t="shared" si="9"/>
        <v>-4.4274371470951167E-2</v>
      </c>
      <c r="I73" s="39"/>
      <c r="J73" s="39"/>
      <c r="K73" s="39"/>
      <c r="L73" s="39"/>
    </row>
    <row r="74" spans="1:21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si="7"/>
        <v>-3487.4999999999991</v>
      </c>
      <c r="G74" s="39">
        <f t="shared" si="8"/>
        <v>47932.5</v>
      </c>
      <c r="H74" s="222">
        <f t="shared" si="9"/>
        <v>-7.2758566734470329E-2</v>
      </c>
      <c r="I74" s="39"/>
      <c r="J74" s="39"/>
      <c r="K74" s="39">
        <v>-1739</v>
      </c>
      <c r="L74" s="39"/>
    </row>
    <row r="75" spans="1:21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si="7"/>
        <v>-4805.9000000000033</v>
      </c>
      <c r="G75" s="39">
        <f t="shared" si="8"/>
        <v>53595.9</v>
      </c>
      <c r="H75" s="222">
        <f t="shared" si="9"/>
        <v>-8.9669172455355772E-2</v>
      </c>
      <c r="I75" s="39"/>
      <c r="J75" s="39">
        <v>23.65</v>
      </c>
      <c r="K75" s="39">
        <v>-3059</v>
      </c>
      <c r="L75" s="39"/>
    </row>
    <row r="76" spans="1:21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si="7"/>
        <v>-4532.9999999999973</v>
      </c>
      <c r="G76" s="39">
        <f t="shared" si="8"/>
        <v>47793</v>
      </c>
      <c r="H76" s="222">
        <f t="shared" si="9"/>
        <v>-9.4846525641830354E-2</v>
      </c>
      <c r="I76" s="39"/>
      <c r="J76" s="39">
        <v>25.81</v>
      </c>
      <c r="K76" s="39">
        <v>-2785</v>
      </c>
      <c r="L76" s="39"/>
    </row>
    <row r="77" spans="1:21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si="7"/>
        <v>-4142.9999999999955</v>
      </c>
      <c r="G77" s="39">
        <f t="shared" si="8"/>
        <v>47793</v>
      </c>
      <c r="H77" s="222">
        <f t="shared" si="9"/>
        <v>-8.6686334818906446E-2</v>
      </c>
      <c r="I77" s="39"/>
      <c r="J77" s="39"/>
      <c r="K77" s="39">
        <v>-2395</v>
      </c>
      <c r="L77" s="39"/>
    </row>
    <row r="78" spans="1:21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si="7"/>
        <v>-3764.9999999999968</v>
      </c>
      <c r="G78" s="39">
        <f t="shared" si="8"/>
        <v>47790</v>
      </c>
      <c r="H78" s="222">
        <f t="shared" si="9"/>
        <v>-7.878217200251092E-2</v>
      </c>
      <c r="I78" s="39"/>
      <c r="J78" s="39"/>
      <c r="K78" s="39">
        <v>-2016</v>
      </c>
      <c r="L78" s="39"/>
    </row>
    <row r="79" spans="1:21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si="7"/>
        <v>-3944.9999999999986</v>
      </c>
      <c r="G79" s="39">
        <f t="shared" si="8"/>
        <v>47790</v>
      </c>
      <c r="H79" s="222">
        <f t="shared" si="9"/>
        <v>-8.2548650345260488E-2</v>
      </c>
      <c r="I79" s="39">
        <v>31</v>
      </c>
      <c r="J79" s="39"/>
      <c r="K79" s="39">
        <v>-2196</v>
      </c>
      <c r="L79" s="39"/>
    </row>
    <row r="80" spans="1:21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7"/>
        <v>-11658.96</v>
      </c>
      <c r="G80" s="39">
        <f t="shared" si="8"/>
        <v>55182.96</v>
      </c>
      <c r="H80" s="222">
        <f t="shared" si="9"/>
        <v>-0.21127826415980586</v>
      </c>
      <c r="I80" s="39">
        <v>30</v>
      </c>
      <c r="J80" s="39"/>
      <c r="K80" s="39"/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si="7"/>
        <v>-14922.88</v>
      </c>
      <c r="G81" s="39">
        <f t="shared" si="8"/>
        <v>59502.879999999997</v>
      </c>
      <c r="H81" s="222">
        <f t="shared" si="9"/>
        <v>-0.25079256667912547</v>
      </c>
      <c r="I81" s="39"/>
      <c r="J81" s="39"/>
      <c r="K81" s="39">
        <v>-13175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si="7"/>
        <v>-12982.879999999994</v>
      </c>
      <c r="G82" s="39">
        <f t="shared" si="8"/>
        <v>59502.879999999997</v>
      </c>
      <c r="H82" s="222">
        <f t="shared" si="9"/>
        <v>-0.21818910277956285</v>
      </c>
      <c r="I82" s="39"/>
      <c r="J82" s="39"/>
      <c r="K82" s="39">
        <v>-11235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si="7"/>
        <v>-10943.942999999997</v>
      </c>
      <c r="G83" s="39">
        <f t="shared" si="8"/>
        <v>57075.942999999999</v>
      </c>
      <c r="H83" s="222">
        <f t="shared" si="9"/>
        <v>-0.1917435336986022</v>
      </c>
      <c r="I83" s="39"/>
      <c r="J83" s="39"/>
      <c r="K83" s="39">
        <v>-9196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si="7"/>
        <v>-8839.9999999999964</v>
      </c>
      <c r="G84" s="39">
        <f t="shared" si="8"/>
        <v>59400</v>
      </c>
      <c r="H84" s="222">
        <f t="shared" si="9"/>
        <v>-0.14882154882154877</v>
      </c>
      <c r="I84" s="39"/>
      <c r="J84" s="39"/>
      <c r="K84" s="39">
        <v>-11435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si="7"/>
        <v>-14325.999999999993</v>
      </c>
      <c r="G85" s="39">
        <f t="shared" si="8"/>
        <v>59166</v>
      </c>
      <c r="H85" s="222">
        <f t="shared" si="9"/>
        <v>-0.24213230571612065</v>
      </c>
      <c r="I85" s="39"/>
      <c r="J85" s="39"/>
      <c r="K85" s="39">
        <v>-12815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si="7"/>
        <v>-16722.480000000003</v>
      </c>
      <c r="G86" s="39">
        <f t="shared" si="8"/>
        <v>67314.48</v>
      </c>
      <c r="H86" s="222">
        <f t="shared" si="9"/>
        <v>-0.24842322186845983</v>
      </c>
      <c r="I86" s="39"/>
      <c r="J86" s="39"/>
      <c r="K86" s="39">
        <v>-14974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si="7"/>
        <v>-16623.999999999996</v>
      </c>
      <c r="G87" s="39">
        <f t="shared" si="8"/>
        <v>58894</v>
      </c>
      <c r="H87" s="222">
        <f t="shared" si="9"/>
        <v>-0.28226984073080441</v>
      </c>
      <c r="I87" s="39">
        <v>29</v>
      </c>
      <c r="J87" s="39"/>
      <c r="K87" s="39">
        <v>-14836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si="7"/>
        <v>-16013.999999999996</v>
      </c>
      <c r="G88" s="39">
        <f t="shared" si="8"/>
        <v>58894</v>
      </c>
      <c r="H88" s="222">
        <f t="shared" si="9"/>
        <v>-0.27191224912554751</v>
      </c>
      <c r="I88" s="39"/>
      <c r="J88" s="39"/>
      <c r="K88" s="39">
        <v>-14267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si="7"/>
        <v>-18460.640000000003</v>
      </c>
      <c r="G89" s="39">
        <f t="shared" si="8"/>
        <v>62944.639999999999</v>
      </c>
      <c r="H89" s="222">
        <f t="shared" si="9"/>
        <v>-0.29328374902136228</v>
      </c>
      <c r="I89" s="39"/>
      <c r="J89" s="39"/>
      <c r="K89" s="39">
        <v>-16713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7"/>
        <v>-17704</v>
      </c>
      <c r="G90" s="39">
        <f t="shared" si="8"/>
        <v>58824</v>
      </c>
      <c r="H90" s="222">
        <f t="shared" si="9"/>
        <v>-0.30096559227526182</v>
      </c>
      <c r="I90" s="39"/>
      <c r="J90" s="39"/>
      <c r="K90" s="39">
        <v>-15957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si="7"/>
        <v>-16223.999999999996</v>
      </c>
      <c r="G91" s="39">
        <f t="shared" si="8"/>
        <v>58824</v>
      </c>
      <c r="H91" s="222">
        <f t="shared" si="9"/>
        <v>-0.27580579355365153</v>
      </c>
      <c r="I91" s="39"/>
      <c r="J91" s="39">
        <v>54.85</v>
      </c>
      <c r="K91" s="39">
        <v>-14477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si="7"/>
        <v>-16123.999999999995</v>
      </c>
      <c r="G92" s="39">
        <f t="shared" si="8"/>
        <v>58824</v>
      </c>
      <c r="H92" s="222">
        <f t="shared" si="9"/>
        <v>-0.27410580715354271</v>
      </c>
      <c r="I92" s="39"/>
      <c r="J92" s="39"/>
      <c r="K92" s="39">
        <v>-14377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si="7"/>
        <v>-14664.000000000002</v>
      </c>
      <c r="G93" s="39">
        <f t="shared" si="8"/>
        <v>58824</v>
      </c>
      <c r="H93" s="222">
        <f t="shared" si="9"/>
        <v>-0.24928600571195433</v>
      </c>
      <c r="I93" s="39"/>
      <c r="J93" s="39"/>
      <c r="K93" s="39">
        <v>-12917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si="7"/>
        <v>-12171.6</v>
      </c>
      <c r="G94" s="39">
        <f t="shared" si="8"/>
        <v>54309.599999999999</v>
      </c>
      <c r="H94" s="222">
        <f t="shared" si="9"/>
        <v>-0.22411507357815194</v>
      </c>
      <c r="I94" s="39"/>
      <c r="J94" s="39"/>
      <c r="K94" s="39">
        <v>-10423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si="7"/>
        <v>-6716.6999999999953</v>
      </c>
      <c r="G95" s="39">
        <f t="shared" si="8"/>
        <v>51664.7</v>
      </c>
      <c r="H95" s="222">
        <f t="shared" si="9"/>
        <v>-0.13000559376131082</v>
      </c>
      <c r="I95" s="39"/>
      <c r="J95" s="39"/>
      <c r="K95" s="39">
        <v>-4969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si="7"/>
        <v>-5628.8000000000011</v>
      </c>
      <c r="G96" s="39">
        <f t="shared" si="8"/>
        <v>48956.799999999996</v>
      </c>
      <c r="H96" s="222">
        <f t="shared" si="9"/>
        <v>-0.11497483495653313</v>
      </c>
      <c r="I96" s="39"/>
      <c r="J96" s="39"/>
      <c r="K96" s="39">
        <v>-3881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si="7"/>
        <v>-7635.0399999999981</v>
      </c>
      <c r="G97" s="39">
        <f t="shared" si="8"/>
        <v>48707.040000000001</v>
      </c>
      <c r="H97" s="222">
        <f t="shared" si="9"/>
        <v>-0.15675434187747803</v>
      </c>
      <c r="I97" s="39"/>
      <c r="J97" s="39"/>
      <c r="K97" s="39">
        <v>-5887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si="7"/>
        <v>-6019.0400000000009</v>
      </c>
      <c r="G98" s="39">
        <f t="shared" si="8"/>
        <v>48707.040000000001</v>
      </c>
      <c r="H98" s="222">
        <f t="shared" si="9"/>
        <v>-0.12357638649361573</v>
      </c>
      <c r="I98" s="39"/>
      <c r="J98" s="39"/>
      <c r="K98" s="39">
        <v>-4271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si="7"/>
        <v>-5426.9999999999982</v>
      </c>
      <c r="G99" s="39">
        <f t="shared" si="8"/>
        <v>46002</v>
      </c>
      <c r="H99" s="222">
        <f t="shared" si="9"/>
        <v>-0.11797313160297374</v>
      </c>
      <c r="I99" s="193" t="s">
        <v>753</v>
      </c>
      <c r="J99" s="39"/>
      <c r="K99" s="39">
        <v>-3679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si="7"/>
        <v>-5021.7999999999993</v>
      </c>
      <c r="G100" s="39">
        <f t="shared" si="8"/>
        <v>43269.8</v>
      </c>
      <c r="H100" s="222">
        <f t="shared" si="9"/>
        <v>-0.11605785097227164</v>
      </c>
      <c r="I100" s="39"/>
      <c r="J100" s="39"/>
      <c r="K100" s="39">
        <v>-3274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si="7"/>
        <v>-3724.4999999999982</v>
      </c>
      <c r="G101" s="39">
        <f t="shared" si="8"/>
        <v>40449.5</v>
      </c>
      <c r="H101" s="222">
        <f t="shared" si="9"/>
        <v>-9.2077775992286628E-2</v>
      </c>
      <c r="I101" s="39"/>
      <c r="J101" s="39"/>
      <c r="K101" s="39">
        <v>-1977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si="7"/>
        <v>-4290.9999999999964</v>
      </c>
      <c r="G102" s="39">
        <f t="shared" si="8"/>
        <v>43211</v>
      </c>
      <c r="H102" s="222">
        <f t="shared" si="9"/>
        <v>-9.9303418111129041E-2</v>
      </c>
      <c r="I102" s="39"/>
      <c r="J102" s="39">
        <v>68.33</v>
      </c>
      <c r="K102" s="39">
        <v>-2543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:F134" si="10">C103*(E103-D103)</f>
        <v>-3612.7</v>
      </c>
      <c r="G103" s="39">
        <f t="shared" ref="G103:G134" si="11">D103*C103</f>
        <v>40402.700000000004</v>
      </c>
      <c r="H103" s="222">
        <f t="shared" ref="H103:H134" si="12">(E103-D103)/D103</f>
        <v>-8.9417291418642811E-2</v>
      </c>
      <c r="I103" s="39"/>
      <c r="J103" s="39"/>
      <c r="K103" s="39">
        <v>-1865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si="10"/>
        <v>-4197.6999999999989</v>
      </c>
      <c r="G104" s="39">
        <f t="shared" si="11"/>
        <v>40402.700000000004</v>
      </c>
      <c r="H104" s="222">
        <f t="shared" si="12"/>
        <v>-0.10389652176710959</v>
      </c>
      <c r="I104" s="39"/>
      <c r="J104" s="39">
        <v>64.55</v>
      </c>
      <c r="K104" s="39">
        <v>-2450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si="10"/>
        <v>-5158.5</v>
      </c>
      <c r="G105" s="39">
        <f t="shared" si="11"/>
        <v>45823.5</v>
      </c>
      <c r="H105" s="222">
        <f t="shared" si="12"/>
        <v>-0.11257324298667715</v>
      </c>
      <c r="I105" s="39">
        <v>30.5</v>
      </c>
      <c r="J105" s="39"/>
      <c r="K105" s="39">
        <v>-3426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si="10"/>
        <v>-5729.0000000000018</v>
      </c>
      <c r="G106" s="39">
        <f t="shared" si="11"/>
        <v>51170</v>
      </c>
      <c r="H106" s="222">
        <f t="shared" si="12"/>
        <v>-0.11196013289036548</v>
      </c>
      <c r="I106" s="39"/>
      <c r="J106" s="39"/>
      <c r="K106" s="39">
        <v>-3981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si="10"/>
        <v>-4686.5000000000009</v>
      </c>
      <c r="G107" s="39">
        <f t="shared" si="11"/>
        <v>40202.5</v>
      </c>
      <c r="H107" s="222">
        <f t="shared" si="12"/>
        <v>-0.1165723524656427</v>
      </c>
      <c r="I107" s="39"/>
      <c r="J107" s="39"/>
      <c r="K107" s="39">
        <v>-2938</v>
      </c>
      <c r="L107" s="39"/>
      <c r="M107" t="s">
        <v>827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si="10"/>
        <v>-3841.5000000000023</v>
      </c>
      <c r="G108" s="39">
        <f t="shared" si="11"/>
        <v>40202.5</v>
      </c>
      <c r="H108" s="222">
        <f t="shared" si="12"/>
        <v>-9.5553759094583732E-2</v>
      </c>
      <c r="I108" s="39"/>
      <c r="J108" s="39"/>
      <c r="K108" s="39">
        <v>-2093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si="10"/>
        <v>-3578.9</v>
      </c>
      <c r="G109" s="39">
        <f t="shared" si="11"/>
        <v>40160.9</v>
      </c>
      <c r="H109" s="222">
        <f t="shared" si="12"/>
        <v>-8.9114038779011431E-2</v>
      </c>
      <c r="I109" s="39"/>
      <c r="J109" s="39">
        <v>62.75</v>
      </c>
      <c r="K109" s="39">
        <v>-1830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si="10"/>
        <v>-2889.8999999999987</v>
      </c>
      <c r="G110" s="39">
        <f t="shared" si="11"/>
        <v>40160.9</v>
      </c>
      <c r="H110" s="222">
        <f t="shared" si="12"/>
        <v>-7.1958048748907488E-2</v>
      </c>
      <c r="I110" s="39"/>
      <c r="J110" s="39"/>
      <c r="K110" s="39">
        <v>-1141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si="10"/>
        <v>-1500</v>
      </c>
      <c r="G111" s="39">
        <f t="shared" si="11"/>
        <v>31220</v>
      </c>
      <c r="H111" s="222">
        <f t="shared" si="12"/>
        <v>-4.8046124279308135E-2</v>
      </c>
      <c r="I111" s="39"/>
      <c r="J111" s="39">
        <v>73.25</v>
      </c>
      <c r="K111" s="39">
        <v>247.38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si="10"/>
        <v>-1485.6400000000015</v>
      </c>
      <c r="G112" s="39">
        <f t="shared" si="11"/>
        <v>40004.639999999999</v>
      </c>
      <c r="H112" s="222">
        <f t="shared" si="12"/>
        <v>-3.7136692143711368E-2</v>
      </c>
      <c r="I112" s="39"/>
      <c r="J112" s="39"/>
      <c r="K112" s="39">
        <v>262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si="10"/>
        <v>-1901.6400000000019</v>
      </c>
      <c r="G113" s="39">
        <f t="shared" si="11"/>
        <v>40004.639999999999</v>
      </c>
      <c r="H113" s="222">
        <f t="shared" si="12"/>
        <v>-4.7535485883637547E-2</v>
      </c>
      <c r="I113" s="39"/>
      <c r="J113" s="39">
        <v>67.23</v>
      </c>
      <c r="K113" s="39">
        <v>-154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0"/>
        <v>-594.99999999999886</v>
      </c>
      <c r="G114" s="39">
        <f t="shared" si="11"/>
        <v>30855</v>
      </c>
      <c r="H114" s="222">
        <f t="shared" si="12"/>
        <v>-1.9283746556473792E-2</v>
      </c>
      <c r="I114" s="39"/>
      <c r="J114" s="39"/>
      <c r="K114" s="39">
        <v>1153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si="10"/>
        <v>9.055999999998221</v>
      </c>
      <c r="G115" s="39">
        <f t="shared" si="11"/>
        <v>24694.944</v>
      </c>
      <c r="H115" s="222">
        <f t="shared" si="12"/>
        <v>3.6671474128462171E-4</v>
      </c>
      <c r="I115" s="39"/>
      <c r="J115" s="39">
        <v>76.23</v>
      </c>
      <c r="K115" s="39">
        <v>1757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si="10"/>
        <v>-350.99999999999943</v>
      </c>
      <c r="G116" s="39">
        <f t="shared" si="11"/>
        <v>39819</v>
      </c>
      <c r="H116" s="222">
        <f t="shared" si="12"/>
        <v>-8.8148873653280963E-3</v>
      </c>
      <c r="I116" s="39"/>
      <c r="J116" s="39"/>
      <c r="K116" s="39">
        <v>1253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si="10"/>
        <v>-1669.4999999999993</v>
      </c>
      <c r="G117" s="39">
        <f t="shared" si="11"/>
        <v>45679.5</v>
      </c>
      <c r="H117" s="222">
        <f t="shared" si="12"/>
        <v>-3.6548123337602191E-2</v>
      </c>
      <c r="I117" s="193" t="s">
        <v>898</v>
      </c>
      <c r="J117" s="39"/>
      <c r="K117" s="39">
        <v>78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si="10"/>
        <v>-1602.0000000000009</v>
      </c>
      <c r="G118" s="39">
        <f t="shared" si="11"/>
        <v>53928</v>
      </c>
      <c r="H118" s="222">
        <f t="shared" si="12"/>
        <v>-2.9706275033377857E-2</v>
      </c>
      <c r="I118" s="39"/>
      <c r="J118" s="39"/>
      <c r="K118" s="39">
        <v>144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si="10"/>
        <v>-4302.0000000000009</v>
      </c>
      <c r="G119" s="39">
        <f t="shared" si="11"/>
        <v>53928</v>
      </c>
      <c r="H119" s="222">
        <f t="shared" si="12"/>
        <v>-7.977303070761016E-2</v>
      </c>
      <c r="I119" s="39"/>
      <c r="J119" s="39"/>
      <c r="K119" s="39">
        <v>-2556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si="10"/>
        <v>-2106.0000000000032</v>
      </c>
      <c r="G120" s="39">
        <f t="shared" si="11"/>
        <v>53928</v>
      </c>
      <c r="H120" s="222">
        <f t="shared" si="12"/>
        <v>-3.905206942590126E-2</v>
      </c>
      <c r="I120" s="39"/>
      <c r="J120" s="39"/>
      <c r="K120" s="39">
        <v>-360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si="10"/>
        <v>-4446.0000000000045</v>
      </c>
      <c r="G121" s="39">
        <f t="shared" si="11"/>
        <v>53928</v>
      </c>
      <c r="H121" s="222">
        <f t="shared" si="12"/>
        <v>-8.2443257676902609E-2</v>
      </c>
      <c r="I121" s="39"/>
      <c r="J121" s="39"/>
      <c r="K121" s="39">
        <v>-2700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si="10"/>
        <v>-3286.7999999999947</v>
      </c>
      <c r="G122" s="39">
        <f t="shared" si="11"/>
        <v>53704.799999999996</v>
      </c>
      <c r="H122" s="222">
        <f t="shared" si="12"/>
        <v>-6.1201233409304098E-2</v>
      </c>
      <c r="I122" s="39"/>
      <c r="J122" s="39"/>
      <c r="K122" s="39">
        <v>-1539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si="10"/>
        <v>-5780.0000000000009</v>
      </c>
      <c r="G123" s="39">
        <f t="shared" si="11"/>
        <v>58960</v>
      </c>
      <c r="H123" s="222">
        <f t="shared" si="12"/>
        <v>-9.803256445047491E-2</v>
      </c>
      <c r="I123" s="39"/>
      <c r="J123" s="39"/>
      <c r="K123" s="39">
        <v>-4653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si="10"/>
        <v>-13344.599999999999</v>
      </c>
      <c r="G124" s="39">
        <f t="shared" si="11"/>
        <v>66198.600000000006</v>
      </c>
      <c r="H124" s="222">
        <f t="shared" si="12"/>
        <v>-0.20158432353554304</v>
      </c>
      <c r="I124" s="39"/>
      <c r="J124" s="39"/>
      <c r="K124" s="39"/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si="10"/>
        <v>-13365</v>
      </c>
      <c r="G125" s="39">
        <f t="shared" si="11"/>
        <v>70815</v>
      </c>
      <c r="H125" s="222">
        <f t="shared" si="12"/>
        <v>-0.18873120101673374</v>
      </c>
      <c r="I125" s="39"/>
      <c r="J125" s="39"/>
      <c r="K125" s="39"/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si="10"/>
        <v>-13349.999999999998</v>
      </c>
      <c r="G126" s="39">
        <f t="shared" si="11"/>
        <v>82290</v>
      </c>
      <c r="H126" s="222">
        <f t="shared" si="12"/>
        <v>-0.16223113379511481</v>
      </c>
      <c r="I126" s="39"/>
      <c r="J126" s="39"/>
      <c r="K126" s="39">
        <v>-11202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si="10"/>
        <v>-10050.000000000004</v>
      </c>
      <c r="G127" s="39">
        <f t="shared" si="11"/>
        <v>82290</v>
      </c>
      <c r="H127" s="222">
        <f t="shared" si="12"/>
        <v>-0.12212905577834493</v>
      </c>
      <c r="I127" s="39"/>
      <c r="J127" s="39"/>
      <c r="K127" s="39">
        <v>-8302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si="10"/>
        <v>-11618.999999999993</v>
      </c>
      <c r="G128" s="39">
        <f t="shared" si="11"/>
        <v>81459</v>
      </c>
      <c r="H128" s="222">
        <f t="shared" si="12"/>
        <v>-0.1426361727985857</v>
      </c>
      <c r="I128" s="39">
        <v>27</v>
      </c>
      <c r="J128" s="39"/>
      <c r="K128" s="39">
        <v>-9873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si="10"/>
        <v>-9646</v>
      </c>
      <c r="G129" s="39">
        <f t="shared" si="11"/>
        <v>76678</v>
      </c>
      <c r="H129" s="222">
        <f t="shared" si="12"/>
        <v>-0.12579879496074495</v>
      </c>
      <c r="I129" s="39"/>
      <c r="J129" s="39"/>
      <c r="K129" s="39">
        <v>-7898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si="10"/>
        <v>-9250.0000000000073</v>
      </c>
      <c r="G130" s="39">
        <f t="shared" si="11"/>
        <v>69450</v>
      </c>
      <c r="H130" s="222">
        <f t="shared" si="12"/>
        <v>-0.13318934485241191</v>
      </c>
      <c r="I130" s="39"/>
      <c r="J130" s="39"/>
      <c r="K130" s="39">
        <v>-7507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si="10"/>
        <v>-10025.000000000004</v>
      </c>
      <c r="G131" s="39">
        <f t="shared" si="11"/>
        <v>69450</v>
      </c>
      <c r="H131" s="222">
        <f t="shared" si="12"/>
        <v>-0.14434845212383016</v>
      </c>
      <c r="I131" s="39"/>
      <c r="J131" s="39">
        <v>42</v>
      </c>
      <c r="K131" s="39">
        <v>-8282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si="10"/>
        <v>-7954.0000000000009</v>
      </c>
      <c r="G132" s="39">
        <f t="shared" si="11"/>
        <v>57114</v>
      </c>
      <c r="H132" s="222">
        <f t="shared" si="12"/>
        <v>-0.13926532899114055</v>
      </c>
      <c r="I132" s="39"/>
      <c r="J132" s="39"/>
      <c r="K132" s="39">
        <v>-6207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si="10"/>
        <v>-8754.9999999999964</v>
      </c>
      <c r="G133" s="39">
        <f t="shared" si="11"/>
        <v>69205</v>
      </c>
      <c r="H133" s="222">
        <f t="shared" si="12"/>
        <v>-0.12650820027454659</v>
      </c>
      <c r="I133" s="39"/>
      <c r="J133" s="39"/>
      <c r="K133" s="39">
        <v>-7007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si="10"/>
        <v>-7005.2000000000025</v>
      </c>
      <c r="G134" s="39">
        <f t="shared" si="11"/>
        <v>56765.2</v>
      </c>
      <c r="H134" s="222">
        <f t="shared" si="12"/>
        <v>-0.12340659418094188</v>
      </c>
      <c r="I134" s="39"/>
      <c r="J134" s="39"/>
      <c r="K134" s="39">
        <v>-5257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:F157" si="13">C135*(E135-D135)</f>
        <v>-8205</v>
      </c>
      <c r="G135" s="39">
        <f t="shared" ref="G135:G157" si="14">D135*C135</f>
        <v>68905</v>
      </c>
      <c r="H135" s="222">
        <f t="shared" ref="H135:H157" si="15">(E135-D135)/D135</f>
        <v>-0.11907699005877657</v>
      </c>
      <c r="I135" s="39">
        <v>27</v>
      </c>
      <c r="J135" s="39"/>
      <c r="K135" s="39">
        <v>-6457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si="13"/>
        <v>-6930.0000000000045</v>
      </c>
      <c r="G136" s="39">
        <f t="shared" si="14"/>
        <v>61468</v>
      </c>
      <c r="H136" s="222">
        <f t="shared" si="15"/>
        <v>-0.11274158911954195</v>
      </c>
      <c r="I136" s="39"/>
      <c r="J136" s="39"/>
      <c r="K136" s="39">
        <v>-5182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si="13"/>
        <v>-5678</v>
      </c>
      <c r="G137" s="39">
        <f t="shared" si="14"/>
        <v>48824</v>
      </c>
      <c r="H137" s="222">
        <f t="shared" si="15"/>
        <v>-0.11629526462395544</v>
      </c>
      <c r="I137" s="39"/>
      <c r="J137" s="39"/>
      <c r="K137" s="39">
        <v>-3934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si="13"/>
        <v>-5867.9999999999982</v>
      </c>
      <c r="G138" s="39">
        <f t="shared" si="14"/>
        <v>43653</v>
      </c>
      <c r="H138" s="222">
        <f t="shared" si="15"/>
        <v>-0.13442375094495221</v>
      </c>
      <c r="I138" s="39"/>
      <c r="J138" s="39"/>
      <c r="K138" s="39"/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si="13"/>
        <v>-5909.1999999999989</v>
      </c>
      <c r="G139" s="39">
        <f t="shared" si="14"/>
        <v>48732.2</v>
      </c>
      <c r="H139" s="222">
        <f t="shared" si="15"/>
        <v>-0.12125863392171908</v>
      </c>
      <c r="I139" s="39"/>
      <c r="J139" s="39"/>
      <c r="K139" s="39">
        <v>-4162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si="13"/>
        <v>-6607.9999999999973</v>
      </c>
      <c r="G140" s="39">
        <f t="shared" si="14"/>
        <v>56128</v>
      </c>
      <c r="H140" s="222">
        <f t="shared" si="15"/>
        <v>-0.11773090079817554</v>
      </c>
      <c r="I140" s="39"/>
      <c r="J140" s="39"/>
      <c r="K140" s="39">
        <v>-4860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si="13"/>
        <v>-7839.9999999999964</v>
      </c>
      <c r="G141" s="39">
        <f t="shared" si="14"/>
        <v>56120</v>
      </c>
      <c r="H141" s="222">
        <f t="shared" si="15"/>
        <v>-0.13970064148253736</v>
      </c>
      <c r="I141" s="39"/>
      <c r="J141" s="39">
        <v>44.98</v>
      </c>
      <c r="K141" s="39">
        <v>-6100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si="13"/>
        <v>-6979.9999999999973</v>
      </c>
      <c r="G142" s="39">
        <f t="shared" si="14"/>
        <v>56120</v>
      </c>
      <c r="H142" s="222">
        <f t="shared" si="15"/>
        <v>-0.12437633642195291</v>
      </c>
      <c r="I142" s="39"/>
      <c r="J142" s="39">
        <v>51.33</v>
      </c>
      <c r="K142" s="39">
        <v>-6100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13"/>
        <v>-5384</v>
      </c>
      <c r="G143" s="39">
        <f t="shared" si="14"/>
        <v>55984</v>
      </c>
      <c r="H143" s="222">
        <f t="shared" si="15"/>
        <v>-9.617033438125179E-2</v>
      </c>
      <c r="I143" s="39"/>
      <c r="J143" s="39"/>
      <c r="K143" s="39">
        <v>-3636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si="13"/>
        <v>-6204.0000000000009</v>
      </c>
      <c r="G144" s="39">
        <f t="shared" si="14"/>
        <v>55984</v>
      </c>
      <c r="H144" s="222">
        <f t="shared" si="15"/>
        <v>-0.11081737639325523</v>
      </c>
      <c r="I144" s="39"/>
      <c r="J144" s="39"/>
      <c r="K144" s="39">
        <v>-4456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si="13"/>
        <v>-6444.0000000000027</v>
      </c>
      <c r="G145" s="39">
        <f t="shared" si="14"/>
        <v>55984</v>
      </c>
      <c r="H145" s="222">
        <f t="shared" si="15"/>
        <v>-0.11510431551871968</v>
      </c>
      <c r="I145" s="39"/>
      <c r="J145" s="39"/>
      <c r="K145" s="39">
        <v>-4696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13"/>
        <v>-6841.9999999999991</v>
      </c>
      <c r="G146" s="39">
        <f t="shared" si="14"/>
        <v>60896</v>
      </c>
      <c r="H146" s="222">
        <f t="shared" si="15"/>
        <v>-0.11235549132947975</v>
      </c>
      <c r="I146" s="39"/>
      <c r="J146" s="39"/>
      <c r="K146" s="39">
        <v>-5096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si="13"/>
        <v>-6923.3999999999969</v>
      </c>
      <c r="G147" s="39">
        <f t="shared" si="14"/>
        <v>60647.4</v>
      </c>
      <c r="H147" s="222">
        <f t="shared" si="15"/>
        <v>-0.11415823266949608</v>
      </c>
      <c r="I147" s="39"/>
      <c r="J147" s="39"/>
      <c r="K147" s="39">
        <v>-5176</v>
      </c>
      <c r="L147" s="39">
        <v>11.91</v>
      </c>
    </row>
    <row r="148" spans="1:12" x14ac:dyDescent="0.25">
      <c r="A148">
        <v>1500</v>
      </c>
      <c r="B148" s="184">
        <v>43259</v>
      </c>
      <c r="C148" s="10">
        <v>2000</v>
      </c>
      <c r="D148" s="39">
        <v>27.788</v>
      </c>
      <c r="E148" s="39">
        <v>25.36</v>
      </c>
      <c r="F148" s="39">
        <f t="shared" si="13"/>
        <v>-4856.0000000000018</v>
      </c>
      <c r="G148" s="39">
        <f t="shared" si="14"/>
        <v>55576</v>
      </c>
      <c r="H148" s="222">
        <f t="shared" si="15"/>
        <v>-8.7375845688786549E-2</v>
      </c>
      <c r="I148" s="39"/>
      <c r="J148" s="39"/>
      <c r="K148" s="39">
        <v>-3108</v>
      </c>
      <c r="L148" s="39">
        <v>12.37</v>
      </c>
    </row>
    <row r="149" spans="1:12" x14ac:dyDescent="0.25">
      <c r="A149">
        <v>1000</v>
      </c>
      <c r="B149" s="184">
        <v>43264</v>
      </c>
      <c r="C149" s="465">
        <v>1500</v>
      </c>
      <c r="D149" s="467">
        <v>28.324000000000002</v>
      </c>
      <c r="E149" s="39">
        <v>26.01</v>
      </c>
      <c r="F149" s="39">
        <f t="shared" si="13"/>
        <v>-3471</v>
      </c>
      <c r="G149" s="39">
        <f t="shared" si="14"/>
        <v>42486</v>
      </c>
      <c r="H149" s="222">
        <f t="shared" si="15"/>
        <v>-8.1697500353057478E-2</v>
      </c>
      <c r="I149" s="840" t="s">
        <v>1107</v>
      </c>
      <c r="J149" s="39"/>
      <c r="K149" s="39">
        <v>-1723</v>
      </c>
      <c r="L149" s="39">
        <v>12.69</v>
      </c>
    </row>
    <row r="150" spans="1:12" x14ac:dyDescent="0.25">
      <c r="A150">
        <v>1000</v>
      </c>
      <c r="B150" s="184">
        <v>43266</v>
      </c>
      <c r="C150" s="10">
        <v>1720</v>
      </c>
      <c r="D150" s="39">
        <v>27.998699999999999</v>
      </c>
      <c r="E150" s="39">
        <v>25.88</v>
      </c>
      <c r="F150" s="39">
        <f t="shared" si="13"/>
        <v>-3644.1640000000007</v>
      </c>
      <c r="G150" s="39">
        <f t="shared" si="14"/>
        <v>48157.763999999996</v>
      </c>
      <c r="H150" s="222">
        <f t="shared" si="15"/>
        <v>-7.5671370456485504E-2</v>
      </c>
      <c r="I150" s="39"/>
      <c r="J150" s="39"/>
      <c r="K150" s="39">
        <v>-1896</v>
      </c>
      <c r="L150" s="39">
        <v>12.62</v>
      </c>
    </row>
    <row r="151" spans="1:12" x14ac:dyDescent="0.25">
      <c r="A151">
        <v>1080</v>
      </c>
      <c r="B151" s="184">
        <v>43269</v>
      </c>
      <c r="C151" s="465">
        <v>1500</v>
      </c>
      <c r="D151" s="467">
        <v>28.265499999999999</v>
      </c>
      <c r="E151" s="39">
        <v>26.009899999999998</v>
      </c>
      <c r="F151" s="39">
        <f t="shared" si="13"/>
        <v>-3383.4000000000019</v>
      </c>
      <c r="G151" s="39">
        <f t="shared" si="14"/>
        <v>42398.25</v>
      </c>
      <c r="H151" s="222">
        <f t="shared" si="15"/>
        <v>-7.9800463462525034E-2</v>
      </c>
      <c r="I151" s="39"/>
      <c r="J151" s="39"/>
      <c r="K151" s="39">
        <v>-1635</v>
      </c>
      <c r="L151" s="39">
        <v>12.69</v>
      </c>
    </row>
    <row r="152" spans="1:12" x14ac:dyDescent="0.25">
      <c r="A152">
        <v>780</v>
      </c>
      <c r="B152" s="184">
        <v>43271</v>
      </c>
      <c r="C152" s="465">
        <v>1500</v>
      </c>
      <c r="D152" s="467">
        <v>28.0626</v>
      </c>
      <c r="E152" s="39">
        <v>28.73</v>
      </c>
      <c r="F152" s="39">
        <f t="shared" si="13"/>
        <v>1001.100000000001</v>
      </c>
      <c r="G152" s="39">
        <f t="shared" si="14"/>
        <v>42093.9</v>
      </c>
      <c r="H152" s="222">
        <f t="shared" si="15"/>
        <v>2.3782543313876855E-2</v>
      </c>
      <c r="I152" s="39"/>
      <c r="J152" s="39"/>
      <c r="K152" s="39">
        <v>2744</v>
      </c>
      <c r="L152" s="39">
        <v>14.01</v>
      </c>
    </row>
    <row r="153" spans="1:12" x14ac:dyDescent="0.25">
      <c r="A153">
        <v>-220</v>
      </c>
      <c r="B153" s="184">
        <v>43273</v>
      </c>
      <c r="C153" s="465">
        <v>1500</v>
      </c>
      <c r="D153" s="467">
        <v>27.71583</v>
      </c>
      <c r="E153" s="39">
        <v>29.69</v>
      </c>
      <c r="F153" s="39">
        <f t="shared" si="13"/>
        <v>2961.2550000000015</v>
      </c>
      <c r="G153" s="39">
        <f t="shared" si="14"/>
        <v>41573.745000000003</v>
      </c>
      <c r="H153" s="222">
        <f t="shared" si="15"/>
        <v>7.1228969148677879E-2</v>
      </c>
      <c r="I153" s="39"/>
      <c r="J153" s="39"/>
      <c r="K153" s="39">
        <v>4709</v>
      </c>
      <c r="L153" s="39">
        <v>14.48</v>
      </c>
    </row>
    <row r="154" spans="1:12" x14ac:dyDescent="0.25">
      <c r="A154">
        <v>0</v>
      </c>
      <c r="B154" s="184">
        <v>43278</v>
      </c>
      <c r="C154" s="10">
        <v>1500</v>
      </c>
      <c r="D154" s="39">
        <v>27.72</v>
      </c>
      <c r="E154" s="39">
        <v>29.01</v>
      </c>
      <c r="F154" s="39">
        <f t="shared" si="13"/>
        <v>1935.0000000000041</v>
      </c>
      <c r="G154" s="39">
        <f t="shared" si="14"/>
        <v>41580</v>
      </c>
      <c r="H154" s="222">
        <f t="shared" si="15"/>
        <v>4.6536796536796633E-2</v>
      </c>
      <c r="I154" s="39"/>
      <c r="J154" s="39"/>
      <c r="K154" s="39">
        <v>3689</v>
      </c>
      <c r="L154" s="39">
        <v>14.15</v>
      </c>
    </row>
    <row r="155" spans="1:12" x14ac:dyDescent="0.25">
      <c r="A155">
        <v>0</v>
      </c>
      <c r="B155" s="184">
        <v>43285</v>
      </c>
      <c r="C155" s="10">
        <v>1500</v>
      </c>
      <c r="D155" s="39">
        <v>27.72</v>
      </c>
      <c r="E155" s="39">
        <v>28.7</v>
      </c>
      <c r="F155" s="39">
        <f t="shared" si="13"/>
        <v>1470.0000000000007</v>
      </c>
      <c r="G155" s="39">
        <f t="shared" si="14"/>
        <v>41580</v>
      </c>
      <c r="H155" s="222">
        <f t="shared" si="15"/>
        <v>3.5353535353535373E-2</v>
      </c>
      <c r="I155" s="39"/>
      <c r="J155" s="39"/>
      <c r="K155" s="39">
        <v>3224</v>
      </c>
      <c r="L155" s="39">
        <v>13.88</v>
      </c>
    </row>
    <row r="156" spans="1:12" x14ac:dyDescent="0.25">
      <c r="A156">
        <v>0</v>
      </c>
      <c r="B156" s="184">
        <v>43288</v>
      </c>
      <c r="C156" s="10">
        <v>1500</v>
      </c>
      <c r="D156" s="39">
        <v>27.72</v>
      </c>
      <c r="E156" s="39">
        <v>29.1</v>
      </c>
      <c r="F156" s="39">
        <f t="shared" si="13"/>
        <v>2070.0000000000036</v>
      </c>
      <c r="G156" s="39">
        <f t="shared" si="14"/>
        <v>41580</v>
      </c>
      <c r="H156" s="222">
        <f t="shared" si="15"/>
        <v>4.9783549783549881E-2</v>
      </c>
      <c r="I156" s="39"/>
      <c r="J156" s="39"/>
      <c r="K156" s="39">
        <v>3854</v>
      </c>
      <c r="L156" s="39">
        <v>14.03</v>
      </c>
    </row>
    <row r="157" spans="1:12" x14ac:dyDescent="0.25">
      <c r="A157">
        <v>200</v>
      </c>
      <c r="B157" s="184">
        <v>43296</v>
      </c>
      <c r="C157" s="10">
        <v>1500</v>
      </c>
      <c r="D157" s="39">
        <v>27.72</v>
      </c>
      <c r="E157" s="39">
        <v>28.05</v>
      </c>
      <c r="F157" s="39">
        <f t="shared" si="13"/>
        <v>495.00000000000279</v>
      </c>
      <c r="G157" s="39">
        <f t="shared" si="14"/>
        <v>41580</v>
      </c>
      <c r="H157" s="222">
        <f t="shared" si="15"/>
        <v>1.1904761904761972E-2</v>
      </c>
      <c r="I157" s="39"/>
      <c r="J157" s="39"/>
      <c r="K157" s="39">
        <v>2249</v>
      </c>
      <c r="L157" s="39">
        <v>13.52</v>
      </c>
    </row>
    <row r="158" spans="1:12" x14ac:dyDescent="0.25">
      <c r="A158">
        <v>1500</v>
      </c>
      <c r="B158" s="184">
        <v>43310</v>
      </c>
      <c r="C158" s="10">
        <v>1500</v>
      </c>
      <c r="D158" s="39">
        <v>27.72</v>
      </c>
      <c r="E158" s="39">
        <v>28.7</v>
      </c>
      <c r="F158" s="39">
        <f t="shared" ref="F158" si="16">C158*(E158-D158)</f>
        <v>1470.0000000000007</v>
      </c>
      <c r="G158" s="39">
        <f t="shared" ref="G158" si="17">D158*C158</f>
        <v>41580</v>
      </c>
      <c r="H158" s="222">
        <f t="shared" ref="H158" si="18">(E158-D158)/D158</f>
        <v>3.5353535353535373E-2</v>
      </c>
      <c r="I158" s="39"/>
      <c r="J158" s="39"/>
      <c r="K158" s="39">
        <v>3224</v>
      </c>
      <c r="L158" s="39">
        <v>13.83</v>
      </c>
    </row>
    <row r="159" spans="1:12" x14ac:dyDescent="0.25">
      <c r="A159">
        <v>1500</v>
      </c>
      <c r="B159" s="184">
        <v>43312</v>
      </c>
      <c r="C159" s="10">
        <v>1500</v>
      </c>
      <c r="D159" s="39">
        <v>27.72</v>
      </c>
      <c r="E159" s="39">
        <v>29</v>
      </c>
      <c r="F159" s="39">
        <f t="shared" ref="F159:F161" si="19">C159*(E159-D159)</f>
        <v>1920.0000000000018</v>
      </c>
      <c r="G159" s="39">
        <f t="shared" ref="G159:G161" si="20">D159*C159</f>
        <v>41580</v>
      </c>
      <c r="H159" s="222">
        <f t="shared" ref="H159:H161" si="21">(E159-D159)/D159</f>
        <v>4.6176046176046218E-2</v>
      </c>
      <c r="I159" s="39"/>
      <c r="J159" s="39"/>
      <c r="K159" s="39">
        <v>3674</v>
      </c>
      <c r="L159" s="39">
        <v>13.98</v>
      </c>
    </row>
    <row r="160" spans="1:12" x14ac:dyDescent="0.25">
      <c r="A160">
        <v>1500</v>
      </c>
      <c r="B160" s="184">
        <v>43316</v>
      </c>
      <c r="C160" s="10">
        <v>1500</v>
      </c>
      <c r="D160" s="39">
        <v>27.72</v>
      </c>
      <c r="E160" s="39">
        <v>29.93</v>
      </c>
      <c r="F160" s="39">
        <f t="shared" si="19"/>
        <v>3315.0000000000014</v>
      </c>
      <c r="G160" s="39">
        <f t="shared" si="20"/>
        <v>41580</v>
      </c>
      <c r="H160" s="222">
        <f t="shared" si="21"/>
        <v>7.9725829725829755E-2</v>
      </c>
      <c r="I160" s="39"/>
      <c r="J160" s="39"/>
      <c r="K160" s="39">
        <v>5069</v>
      </c>
      <c r="L160" s="39">
        <v>14.42</v>
      </c>
    </row>
    <row r="161" spans="1:12" x14ac:dyDescent="0.25">
      <c r="A161">
        <v>0</v>
      </c>
      <c r="B161" s="184">
        <v>43320</v>
      </c>
      <c r="C161" s="10">
        <v>0</v>
      </c>
      <c r="D161" s="39">
        <v>27.72</v>
      </c>
      <c r="E161" s="39">
        <v>30.61</v>
      </c>
      <c r="F161" s="39">
        <f t="shared" si="19"/>
        <v>0</v>
      </c>
      <c r="G161" s="39">
        <f t="shared" si="20"/>
        <v>0</v>
      </c>
      <c r="H161" s="222">
        <f t="shared" si="21"/>
        <v>0.10425685425685428</v>
      </c>
      <c r="I161" s="39"/>
      <c r="J161" s="39"/>
      <c r="K161" s="39">
        <v>5890.62</v>
      </c>
      <c r="L161" s="39">
        <v>14.75</v>
      </c>
    </row>
    <row r="162" spans="1:12" x14ac:dyDescent="0.25">
      <c r="A162">
        <v>0</v>
      </c>
      <c r="B162" s="184">
        <v>43321</v>
      </c>
      <c r="C162" s="10">
        <v>300</v>
      </c>
      <c r="D162" s="39">
        <v>16.07</v>
      </c>
      <c r="E162" s="39">
        <v>29.82</v>
      </c>
      <c r="F162" s="39">
        <f t="shared" ref="F162" si="22">C162*(E162-D162)</f>
        <v>4125</v>
      </c>
      <c r="G162" s="39">
        <f t="shared" ref="G162" si="23">D162*C162</f>
        <v>4821</v>
      </c>
      <c r="H162" s="222">
        <f t="shared" ref="H162" si="24">(E162-D162)/D162</f>
        <v>0.85563161169881763</v>
      </c>
      <c r="I162" s="39"/>
      <c r="J162" s="39"/>
      <c r="K162" s="39">
        <v>5873</v>
      </c>
      <c r="L162" s="39">
        <v>14.37</v>
      </c>
    </row>
    <row r="163" spans="1:12" x14ac:dyDescent="0.25">
      <c r="B163" s="10"/>
      <c r="C163" s="10"/>
      <c r="D163" s="39"/>
      <c r="E163" s="39"/>
      <c r="F163" s="39"/>
      <c r="G163" s="39"/>
      <c r="H163" s="222"/>
      <c r="I163" s="39"/>
      <c r="J163" s="39"/>
      <c r="K163" s="39"/>
      <c r="L163" s="39"/>
    </row>
    <row r="164" spans="1:12" x14ac:dyDescent="0.25">
      <c r="B164" s="10"/>
      <c r="C164" s="10"/>
      <c r="D164" s="39"/>
      <c r="E164" s="39"/>
      <c r="F164" s="39"/>
      <c r="G164" s="39"/>
      <c r="H164" s="222"/>
      <c r="I164" s="39"/>
      <c r="J164" s="39"/>
      <c r="K164" s="39"/>
      <c r="L164" s="39"/>
    </row>
    <row r="165" spans="1:12" x14ac:dyDescent="0.25">
      <c r="B165" s="10"/>
      <c r="C165" s="10"/>
      <c r="D165" s="39"/>
      <c r="E165" s="39"/>
      <c r="F165" s="39"/>
      <c r="G165" s="39"/>
      <c r="H165" s="222"/>
      <c r="I165" s="39"/>
      <c r="J165" s="39"/>
      <c r="K165" s="39"/>
      <c r="L165" s="39"/>
    </row>
    <row r="166" spans="1:12" x14ac:dyDescent="0.25">
      <c r="B166" s="10"/>
      <c r="C166" s="10"/>
      <c r="D166" s="39"/>
      <c r="E166" s="39"/>
      <c r="F166" s="39"/>
      <c r="G166" s="39"/>
      <c r="H166" s="222"/>
      <c r="I166" s="39"/>
      <c r="J166" s="39"/>
      <c r="K166" s="39"/>
      <c r="L166" s="39"/>
    </row>
    <row r="167" spans="1:12" x14ac:dyDescent="0.25">
      <c r="B167" s="10"/>
      <c r="C167" s="10"/>
      <c r="D167" s="39"/>
      <c r="E167" s="39"/>
      <c r="F167" s="39"/>
      <c r="G167" s="39"/>
      <c r="H167" s="222"/>
      <c r="I167" s="39"/>
      <c r="J167" s="39"/>
      <c r="K167" s="39"/>
      <c r="L167" s="39"/>
    </row>
    <row r="169" spans="1:12" x14ac:dyDescent="0.25">
      <c r="B169" s="361">
        <v>42484</v>
      </c>
      <c r="C169" s="362">
        <v>100</v>
      </c>
      <c r="D169" s="363">
        <v>35.917999999999999</v>
      </c>
      <c r="E169" s="363">
        <v>35.58</v>
      </c>
      <c r="F169" s="363">
        <f t="shared" ref="F169:F182" si="25">C169*(E169-D169)</f>
        <v>-33.800000000000097</v>
      </c>
      <c r="G169" s="363">
        <f t="shared" ref="G169:G182" si="26">D169*C169</f>
        <v>3591.7999999999997</v>
      </c>
      <c r="H169" s="364">
        <f t="shared" ref="H169:H182" si="27">(E169-D169)/D169</f>
        <v>-9.410323514672336E-3</v>
      </c>
      <c r="I169" s="363"/>
    </row>
    <row r="170" spans="1:12" x14ac:dyDescent="0.25">
      <c r="B170" s="361">
        <v>42485</v>
      </c>
      <c r="C170" s="362">
        <v>100</v>
      </c>
      <c r="D170" s="363">
        <v>35.917999999999999</v>
      </c>
      <c r="E170" s="363">
        <v>36.770000000000003</v>
      </c>
      <c r="F170" s="363">
        <f t="shared" si="25"/>
        <v>85.200000000000387</v>
      </c>
      <c r="G170" s="363">
        <f t="shared" si="26"/>
        <v>3591.7999999999997</v>
      </c>
      <c r="H170" s="364">
        <f t="shared" si="27"/>
        <v>2.3720697143493622E-2</v>
      </c>
      <c r="I170" s="363"/>
    </row>
    <row r="171" spans="1:12" x14ac:dyDescent="0.25">
      <c r="B171" s="361">
        <v>42498</v>
      </c>
      <c r="C171" s="362">
        <v>100</v>
      </c>
      <c r="D171" s="363">
        <v>35.917999999999999</v>
      </c>
      <c r="E171" s="363">
        <v>34.549999999999997</v>
      </c>
      <c r="F171" s="363">
        <f t="shared" si="25"/>
        <v>-136.80000000000021</v>
      </c>
      <c r="G171" s="363">
        <f t="shared" si="26"/>
        <v>3591.7999999999997</v>
      </c>
      <c r="H171" s="364">
        <f t="shared" si="27"/>
        <v>-3.8086753159975562E-2</v>
      </c>
      <c r="I171" s="363"/>
    </row>
    <row r="172" spans="1:12" x14ac:dyDescent="0.25">
      <c r="B172" s="361">
        <v>42508</v>
      </c>
      <c r="C172" s="362">
        <v>140</v>
      </c>
      <c r="D172" s="363">
        <v>35.423999999999999</v>
      </c>
      <c r="E172" s="363">
        <v>34.369999999999997</v>
      </c>
      <c r="F172" s="363">
        <f t="shared" si="25"/>
        <v>-147.56000000000029</v>
      </c>
      <c r="G172" s="363">
        <f t="shared" si="26"/>
        <v>4959.3599999999997</v>
      </c>
      <c r="H172" s="364">
        <f t="shared" si="27"/>
        <v>-2.9753839205058776E-2</v>
      </c>
      <c r="I172" s="363"/>
    </row>
    <row r="173" spans="1:12" x14ac:dyDescent="0.25">
      <c r="B173" s="361">
        <v>42509</v>
      </c>
      <c r="C173" s="362">
        <v>240</v>
      </c>
      <c r="D173" s="363">
        <v>35.034999999999997</v>
      </c>
      <c r="E173" s="363">
        <v>34.83</v>
      </c>
      <c r="F173" s="363">
        <f t="shared" si="25"/>
        <v>-49.199999999999591</v>
      </c>
      <c r="G173" s="363">
        <f t="shared" si="26"/>
        <v>8408.4</v>
      </c>
      <c r="H173" s="364">
        <f t="shared" si="27"/>
        <v>-5.8512915655772315E-3</v>
      </c>
      <c r="I173" s="363"/>
    </row>
    <row r="174" spans="1:12" x14ac:dyDescent="0.25">
      <c r="B174" s="361">
        <v>42514</v>
      </c>
      <c r="C174" s="362">
        <v>200</v>
      </c>
      <c r="D174" s="363">
        <v>34.972000000000001</v>
      </c>
      <c r="E174" s="363">
        <v>35.520000000000003</v>
      </c>
      <c r="F174" s="363">
        <f t="shared" si="25"/>
        <v>109.60000000000036</v>
      </c>
      <c r="G174" s="363">
        <f t="shared" si="26"/>
        <v>6994.4000000000005</v>
      </c>
      <c r="H174" s="364">
        <f t="shared" si="27"/>
        <v>1.5669678600022927E-2</v>
      </c>
      <c r="I174" s="363"/>
    </row>
    <row r="175" spans="1:12" x14ac:dyDescent="0.25">
      <c r="B175" s="361">
        <v>42515</v>
      </c>
      <c r="C175" s="362">
        <v>200</v>
      </c>
      <c r="D175" s="363">
        <v>34.972000000000001</v>
      </c>
      <c r="E175" s="363">
        <v>34.94</v>
      </c>
      <c r="F175" s="363">
        <f t="shared" si="25"/>
        <v>-6.4000000000007162</v>
      </c>
      <c r="G175" s="363">
        <f t="shared" si="26"/>
        <v>6994.4000000000005</v>
      </c>
      <c r="H175" s="364">
        <f t="shared" si="27"/>
        <v>-9.150177284685914E-4</v>
      </c>
      <c r="I175" s="363"/>
    </row>
    <row r="176" spans="1:12" x14ac:dyDescent="0.25">
      <c r="B176" s="361">
        <v>42521</v>
      </c>
      <c r="C176" s="362">
        <v>160</v>
      </c>
      <c r="D176" s="363">
        <v>34.718000000000004</v>
      </c>
      <c r="E176" s="363">
        <v>35.76</v>
      </c>
      <c r="F176" s="363">
        <f t="shared" si="25"/>
        <v>166.71999999999912</v>
      </c>
      <c r="G176" s="363">
        <f t="shared" si="26"/>
        <v>5554.880000000001</v>
      </c>
      <c r="H176" s="364">
        <f t="shared" si="27"/>
        <v>3.0013249611152554E-2</v>
      </c>
      <c r="I176" s="363"/>
    </row>
    <row r="177" spans="2:9" x14ac:dyDescent="0.25">
      <c r="B177" s="361">
        <v>42527</v>
      </c>
      <c r="C177" s="362">
        <v>160</v>
      </c>
      <c r="D177" s="363">
        <v>34.652000000000001</v>
      </c>
      <c r="E177" s="363">
        <v>36.020000000000003</v>
      </c>
      <c r="F177" s="363">
        <f t="shared" si="25"/>
        <v>218.88000000000034</v>
      </c>
      <c r="G177" s="363">
        <f t="shared" si="26"/>
        <v>5544.32</v>
      </c>
      <c r="H177" s="364">
        <f t="shared" si="27"/>
        <v>3.9478240794182211E-2</v>
      </c>
      <c r="I177" s="363"/>
    </row>
    <row r="178" spans="2:9" x14ac:dyDescent="0.25">
      <c r="B178" s="361">
        <v>42498</v>
      </c>
      <c r="C178" s="362">
        <v>160</v>
      </c>
      <c r="D178" s="363">
        <v>34.652000000000001</v>
      </c>
      <c r="E178" s="363">
        <v>36.520000000000003</v>
      </c>
      <c r="F178" s="363">
        <f t="shared" si="25"/>
        <v>298.88000000000034</v>
      </c>
      <c r="G178" s="363">
        <f t="shared" si="26"/>
        <v>5544.32</v>
      </c>
      <c r="H178" s="364">
        <f t="shared" si="27"/>
        <v>5.3907422371003176E-2</v>
      </c>
      <c r="I178" s="363"/>
    </row>
    <row r="179" spans="2:9" x14ac:dyDescent="0.25">
      <c r="B179" s="361">
        <v>42531</v>
      </c>
      <c r="C179" s="362">
        <v>60</v>
      </c>
      <c r="D179" s="363">
        <v>30.757000000000001</v>
      </c>
      <c r="E179" s="363">
        <v>36.81</v>
      </c>
      <c r="F179" s="363">
        <f t="shared" si="25"/>
        <v>363.18000000000006</v>
      </c>
      <c r="G179" s="363">
        <f t="shared" si="26"/>
        <v>1845.42</v>
      </c>
      <c r="H179" s="364">
        <f t="shared" si="27"/>
        <v>0.1968007282894951</v>
      </c>
      <c r="I179" s="363"/>
    </row>
    <row r="180" spans="2:9" x14ac:dyDescent="0.25">
      <c r="B180" s="361">
        <v>42536</v>
      </c>
      <c r="C180" s="362">
        <v>160</v>
      </c>
      <c r="D180" s="363">
        <v>33.652999999999999</v>
      </c>
      <c r="E180" s="363">
        <v>35.71</v>
      </c>
      <c r="F180" s="363">
        <f t="shared" si="25"/>
        <v>329.12000000000035</v>
      </c>
      <c r="G180" s="363">
        <f t="shared" si="26"/>
        <v>5384.48</v>
      </c>
      <c r="H180" s="364">
        <f t="shared" si="27"/>
        <v>6.1123822541823976E-2</v>
      </c>
      <c r="I180" s="363"/>
    </row>
    <row r="181" spans="2:9" x14ac:dyDescent="0.25">
      <c r="B181" s="361">
        <v>42542</v>
      </c>
      <c r="C181" s="362">
        <v>160</v>
      </c>
      <c r="D181" s="363">
        <v>33.65</v>
      </c>
      <c r="E181" s="363">
        <v>34.71</v>
      </c>
      <c r="F181" s="363">
        <f t="shared" si="25"/>
        <v>169.60000000000036</v>
      </c>
      <c r="G181" s="363">
        <f t="shared" si="26"/>
        <v>5384</v>
      </c>
      <c r="H181" s="364">
        <f t="shared" si="27"/>
        <v>3.1500742942050589E-2</v>
      </c>
      <c r="I181" s="363"/>
    </row>
    <row r="182" spans="2:9" x14ac:dyDescent="0.25">
      <c r="B182" s="361">
        <v>42548</v>
      </c>
      <c r="C182" s="362">
        <v>160</v>
      </c>
      <c r="D182" s="363">
        <v>33.652999999999999</v>
      </c>
      <c r="E182" s="363">
        <v>36.619999999999997</v>
      </c>
      <c r="F182" s="363">
        <f t="shared" si="25"/>
        <v>474.7199999999998</v>
      </c>
      <c r="G182" s="363">
        <f t="shared" si="26"/>
        <v>5384.48</v>
      </c>
      <c r="H182" s="364">
        <f t="shared" si="27"/>
        <v>8.8164502421775148E-2</v>
      </c>
      <c r="I182" s="363"/>
    </row>
    <row r="183" spans="2:9" x14ac:dyDescent="0.25">
      <c r="B183" s="361">
        <v>42556</v>
      </c>
      <c r="C183" s="362">
        <v>160</v>
      </c>
      <c r="D183" s="363">
        <v>33.652999999999999</v>
      </c>
      <c r="E183" s="363">
        <v>37.33</v>
      </c>
      <c r="F183" s="363">
        <f t="shared" ref="F183:F225" si="28">C183*(E183-D183)</f>
        <v>588.31999999999994</v>
      </c>
      <c r="G183" s="363">
        <f t="shared" ref="G183:G196" si="29">D183*C183</f>
        <v>5384.48</v>
      </c>
      <c r="H183" s="364">
        <f t="shared" ref="H183:H225" si="30">(E183-D183)/D183</f>
        <v>0.10926217573470418</v>
      </c>
      <c r="I183" s="363"/>
    </row>
    <row r="184" spans="2:9" x14ac:dyDescent="0.25">
      <c r="B184" s="361">
        <v>42559</v>
      </c>
      <c r="C184" s="362">
        <v>160</v>
      </c>
      <c r="D184" s="363">
        <v>33.652999999999999</v>
      </c>
      <c r="E184" s="363">
        <v>37.86</v>
      </c>
      <c r="F184" s="363">
        <f t="shared" si="28"/>
        <v>673.12000000000012</v>
      </c>
      <c r="G184" s="363">
        <f t="shared" si="29"/>
        <v>5384.48</v>
      </c>
      <c r="H184" s="364">
        <f t="shared" si="30"/>
        <v>0.12501114313731318</v>
      </c>
      <c r="I184" s="363"/>
    </row>
    <row r="185" spans="2:9" x14ac:dyDescent="0.25">
      <c r="B185" s="361">
        <v>42563</v>
      </c>
      <c r="C185" s="362">
        <v>160</v>
      </c>
      <c r="D185" s="363">
        <v>33.652999999999999</v>
      </c>
      <c r="E185" s="363">
        <v>37.39</v>
      </c>
      <c r="F185" s="363">
        <f t="shared" si="28"/>
        <v>597.9200000000003</v>
      </c>
      <c r="G185" s="363">
        <f t="shared" si="29"/>
        <v>5384.48</v>
      </c>
      <c r="H185" s="364">
        <f t="shared" si="30"/>
        <v>0.11104507770481092</v>
      </c>
      <c r="I185" s="363"/>
    </row>
    <row r="186" spans="2:9" x14ac:dyDescent="0.25">
      <c r="B186" s="361">
        <v>42566</v>
      </c>
      <c r="C186" s="362">
        <v>160</v>
      </c>
      <c r="D186" s="363">
        <v>33.652999999999999</v>
      </c>
      <c r="E186" s="363">
        <v>36.71</v>
      </c>
      <c r="F186" s="363">
        <f t="shared" si="28"/>
        <v>489.12000000000035</v>
      </c>
      <c r="G186" s="363">
        <f t="shared" si="29"/>
        <v>5384.48</v>
      </c>
      <c r="H186" s="364">
        <f t="shared" si="30"/>
        <v>9.0838855376935257E-2</v>
      </c>
      <c r="I186" s="363"/>
    </row>
    <row r="187" spans="2:9" x14ac:dyDescent="0.25">
      <c r="B187" s="361">
        <v>42570</v>
      </c>
      <c r="C187" s="362">
        <v>160</v>
      </c>
      <c r="D187" s="363">
        <v>33.652999999999999</v>
      </c>
      <c r="E187" s="363">
        <v>36.21</v>
      </c>
      <c r="F187" s="363">
        <f t="shared" si="28"/>
        <v>409.12000000000035</v>
      </c>
      <c r="G187" s="363">
        <f t="shared" si="29"/>
        <v>5384.48</v>
      </c>
      <c r="H187" s="364">
        <f t="shared" si="30"/>
        <v>7.5981338959379613E-2</v>
      </c>
      <c r="I187" s="363"/>
    </row>
    <row r="188" spans="2:9" x14ac:dyDescent="0.25">
      <c r="B188" s="361">
        <v>42571</v>
      </c>
      <c r="C188" s="362">
        <v>160</v>
      </c>
      <c r="D188" s="363">
        <v>33.652999999999999</v>
      </c>
      <c r="E188" s="363">
        <v>36.4</v>
      </c>
      <c r="F188" s="363">
        <f t="shared" si="28"/>
        <v>439.52</v>
      </c>
      <c r="G188" s="363">
        <f t="shared" si="29"/>
        <v>5384.48</v>
      </c>
      <c r="H188" s="364">
        <f t="shared" si="30"/>
        <v>8.16271951980507E-2</v>
      </c>
      <c r="I188" s="363"/>
    </row>
    <row r="189" spans="2:9" x14ac:dyDescent="0.25">
      <c r="B189" s="361">
        <v>42572</v>
      </c>
      <c r="C189" s="362">
        <v>160</v>
      </c>
      <c r="D189" s="363">
        <v>33.652999999999999</v>
      </c>
      <c r="E189" s="363">
        <v>35.96</v>
      </c>
      <c r="F189" s="363">
        <f t="shared" si="28"/>
        <v>369.12000000000035</v>
      </c>
      <c r="G189" s="363">
        <f t="shared" si="29"/>
        <v>5384.48</v>
      </c>
      <c r="H189" s="364">
        <f t="shared" si="30"/>
        <v>6.8552580750601791E-2</v>
      </c>
      <c r="I189" s="363"/>
    </row>
    <row r="190" spans="2:9" x14ac:dyDescent="0.25">
      <c r="B190" s="361">
        <v>42576</v>
      </c>
      <c r="C190" s="362">
        <v>160</v>
      </c>
      <c r="D190" s="363">
        <v>33.652999999999999</v>
      </c>
      <c r="E190" s="363">
        <v>35.79</v>
      </c>
      <c r="F190" s="363">
        <f t="shared" si="28"/>
        <v>341.92000000000007</v>
      </c>
      <c r="G190" s="363">
        <f t="shared" si="29"/>
        <v>5384.48</v>
      </c>
      <c r="H190" s="364">
        <f t="shared" si="30"/>
        <v>6.3501025168632833E-2</v>
      </c>
      <c r="I190" s="363"/>
    </row>
    <row r="191" spans="2:9" x14ac:dyDescent="0.25">
      <c r="B191" s="361">
        <v>42577</v>
      </c>
      <c r="C191" s="362">
        <v>160</v>
      </c>
      <c r="D191" s="363">
        <v>33.652999999999999</v>
      </c>
      <c r="E191" s="363">
        <v>36.42</v>
      </c>
      <c r="F191" s="363">
        <f t="shared" si="28"/>
        <v>442.72000000000048</v>
      </c>
      <c r="G191" s="363">
        <f t="shared" si="29"/>
        <v>5384.48</v>
      </c>
      <c r="H191" s="364">
        <f t="shared" si="30"/>
        <v>8.222149585475301E-2</v>
      </c>
      <c r="I191" s="363"/>
    </row>
    <row r="192" spans="2:9" x14ac:dyDescent="0.25">
      <c r="B192" s="361">
        <v>42579</v>
      </c>
      <c r="C192" s="362">
        <v>230</v>
      </c>
      <c r="D192" s="363">
        <v>34.006</v>
      </c>
      <c r="E192" s="363">
        <v>34.4</v>
      </c>
      <c r="F192" s="363">
        <f t="shared" si="28"/>
        <v>90.619999999999621</v>
      </c>
      <c r="G192" s="363">
        <f t="shared" si="29"/>
        <v>7821.38</v>
      </c>
      <c r="H192" s="364">
        <f t="shared" si="30"/>
        <v>1.1586190672234263E-2</v>
      </c>
      <c r="I192" s="363"/>
    </row>
    <row r="193" spans="2:9" x14ac:dyDescent="0.25">
      <c r="B193" s="361">
        <v>42580</v>
      </c>
      <c r="C193" s="362">
        <v>260</v>
      </c>
      <c r="D193" s="363">
        <v>33.991999999999997</v>
      </c>
      <c r="E193" s="363">
        <v>34.19</v>
      </c>
      <c r="F193" s="363">
        <f t="shared" si="28"/>
        <v>51.480000000000103</v>
      </c>
      <c r="G193" s="363">
        <f t="shared" si="29"/>
        <v>8837.92</v>
      </c>
      <c r="H193" s="364">
        <f t="shared" si="30"/>
        <v>5.824899976465063E-3</v>
      </c>
      <c r="I193" s="363"/>
    </row>
    <row r="194" spans="2:9" x14ac:dyDescent="0.25">
      <c r="B194" s="361">
        <v>42584</v>
      </c>
      <c r="C194" s="362">
        <v>300</v>
      </c>
      <c r="D194" s="363">
        <v>33.866</v>
      </c>
      <c r="E194" s="363">
        <v>32.61</v>
      </c>
      <c r="F194" s="363">
        <f t="shared" si="28"/>
        <v>-376.80000000000007</v>
      </c>
      <c r="G194" s="363">
        <f t="shared" si="29"/>
        <v>10159.799999999999</v>
      </c>
      <c r="H194" s="364">
        <f t="shared" si="30"/>
        <v>-3.7087344239059829E-2</v>
      </c>
      <c r="I194" s="363"/>
    </row>
    <row r="195" spans="2:9" x14ac:dyDescent="0.25">
      <c r="B195" s="361">
        <v>42586</v>
      </c>
      <c r="C195" s="362">
        <v>400</v>
      </c>
      <c r="D195" s="363">
        <v>33.520000000000003</v>
      </c>
      <c r="E195" s="363">
        <v>32.549999999999997</v>
      </c>
      <c r="F195" s="363">
        <f t="shared" si="28"/>
        <v>-388.00000000000239</v>
      </c>
      <c r="G195" s="363">
        <f t="shared" si="29"/>
        <v>13408.000000000002</v>
      </c>
      <c r="H195" s="364">
        <f t="shared" si="30"/>
        <v>-2.8937947494033587E-2</v>
      </c>
      <c r="I195" s="363"/>
    </row>
    <row r="196" spans="2:9" x14ac:dyDescent="0.25">
      <c r="B196" s="361">
        <v>42587</v>
      </c>
      <c r="C196" s="362">
        <v>400</v>
      </c>
      <c r="D196" s="363">
        <v>33.387349999999998</v>
      </c>
      <c r="E196" s="363">
        <v>32.729999999999997</v>
      </c>
      <c r="F196" s="363">
        <f t="shared" si="28"/>
        <v>-262.9400000000004</v>
      </c>
      <c r="G196" s="363">
        <f t="shared" si="29"/>
        <v>13354.939999999999</v>
      </c>
      <c r="H196" s="364">
        <f t="shared" si="30"/>
        <v>-1.9688594632398231E-2</v>
      </c>
      <c r="I196" s="363"/>
    </row>
    <row r="197" spans="2:9" x14ac:dyDescent="0.25">
      <c r="B197" s="361">
        <v>42598</v>
      </c>
      <c r="C197" s="362">
        <v>400</v>
      </c>
      <c r="D197" s="363">
        <v>33.387349999999998</v>
      </c>
      <c r="E197" s="363">
        <v>32.1</v>
      </c>
      <c r="F197" s="363">
        <f t="shared" si="28"/>
        <v>-514.93999999999858</v>
      </c>
      <c r="G197" s="363">
        <f t="shared" ref="G197:G202" si="31">D197*C197</f>
        <v>13354.939999999999</v>
      </c>
      <c r="H197" s="364">
        <f t="shared" si="30"/>
        <v>-3.8558016733882636E-2</v>
      </c>
      <c r="I197" s="363"/>
    </row>
    <row r="198" spans="2:9" x14ac:dyDescent="0.25">
      <c r="B198" s="361">
        <v>42599</v>
      </c>
      <c r="C198" s="362">
        <v>500</v>
      </c>
      <c r="D198" s="363">
        <v>33.045879999999997</v>
      </c>
      <c r="E198" s="363">
        <v>31.88</v>
      </c>
      <c r="F198" s="363">
        <f t="shared" si="28"/>
        <v>-582.93999999999892</v>
      </c>
      <c r="G198" s="363">
        <f t="shared" si="31"/>
        <v>16522.939999999999</v>
      </c>
      <c r="H198" s="364">
        <f t="shared" si="30"/>
        <v>-3.5280646180401248E-2</v>
      </c>
      <c r="I198" s="363"/>
    </row>
    <row r="199" spans="2:9" x14ac:dyDescent="0.25">
      <c r="B199" s="361">
        <v>42600</v>
      </c>
      <c r="C199" s="362">
        <v>500</v>
      </c>
      <c r="D199" s="363">
        <v>33.045879999999997</v>
      </c>
      <c r="E199" s="363">
        <v>32.46</v>
      </c>
      <c r="F199" s="363">
        <f t="shared" si="28"/>
        <v>-292.93999999999801</v>
      </c>
      <c r="G199" s="363">
        <f t="shared" si="31"/>
        <v>16522.939999999999</v>
      </c>
      <c r="H199" s="364">
        <f t="shared" si="30"/>
        <v>-1.7729290307899079E-2</v>
      </c>
      <c r="I199" s="363"/>
    </row>
    <row r="200" spans="2:9" x14ac:dyDescent="0.25">
      <c r="B200" s="361">
        <v>42601</v>
      </c>
      <c r="C200" s="362">
        <v>500</v>
      </c>
      <c r="D200" s="363">
        <v>33.045879999999997</v>
      </c>
      <c r="E200" s="363">
        <v>32.61</v>
      </c>
      <c r="F200" s="363">
        <f t="shared" si="28"/>
        <v>-217.93999999999869</v>
      </c>
      <c r="G200" s="363">
        <f t="shared" si="31"/>
        <v>16522.939999999999</v>
      </c>
      <c r="H200" s="364">
        <f t="shared" si="30"/>
        <v>-1.3190146547769266E-2</v>
      </c>
      <c r="I200" s="363"/>
    </row>
    <row r="201" spans="2:9" x14ac:dyDescent="0.25">
      <c r="B201" s="361">
        <v>42604</v>
      </c>
      <c r="C201" s="362">
        <v>500</v>
      </c>
      <c r="D201" s="363">
        <v>33.045879999999997</v>
      </c>
      <c r="E201" s="363">
        <v>32.86</v>
      </c>
      <c r="F201" s="363">
        <f t="shared" si="28"/>
        <v>-92.93999999999869</v>
      </c>
      <c r="G201" s="363">
        <f t="shared" si="31"/>
        <v>16522.939999999999</v>
      </c>
      <c r="H201" s="364">
        <f t="shared" si="30"/>
        <v>-5.624906947552839E-3</v>
      </c>
      <c r="I201" s="363"/>
    </row>
    <row r="202" spans="2:9" x14ac:dyDescent="0.25">
      <c r="B202" s="361">
        <v>42605</v>
      </c>
      <c r="C202" s="362">
        <v>500</v>
      </c>
      <c r="D202" s="363">
        <v>33.045879999999997</v>
      </c>
      <c r="E202" s="363">
        <v>32.25</v>
      </c>
      <c r="F202" s="363">
        <f t="shared" si="28"/>
        <v>-397.93999999999841</v>
      </c>
      <c r="G202" s="363">
        <f t="shared" si="31"/>
        <v>16522.939999999999</v>
      </c>
      <c r="H202" s="364">
        <f t="shared" si="30"/>
        <v>-2.4084091572080902E-2</v>
      </c>
      <c r="I202" s="363"/>
    </row>
    <row r="203" spans="2:9" x14ac:dyDescent="0.25">
      <c r="B203" s="361">
        <v>42606</v>
      </c>
      <c r="C203" s="362">
        <v>500</v>
      </c>
      <c r="D203" s="363">
        <v>33.045879999999997</v>
      </c>
      <c r="E203" s="363">
        <v>32.99</v>
      </c>
      <c r="F203" s="363">
        <f t="shared" si="28"/>
        <v>-27.939999999997411</v>
      </c>
      <c r="G203" s="363">
        <f t="shared" ref="G203:G225" si="32">D203*C203</f>
        <v>16522.939999999999</v>
      </c>
      <c r="H203" s="364">
        <f t="shared" si="30"/>
        <v>-1.6909823554402191E-3</v>
      </c>
      <c r="I203" s="363"/>
    </row>
    <row r="204" spans="2:9" x14ac:dyDescent="0.25">
      <c r="B204" s="361">
        <v>42607</v>
      </c>
      <c r="C204" s="362">
        <v>500</v>
      </c>
      <c r="D204" s="363">
        <v>33.045879999999997</v>
      </c>
      <c r="E204" s="363">
        <v>32.76</v>
      </c>
      <c r="F204" s="363">
        <f t="shared" si="28"/>
        <v>-142.9399999999994</v>
      </c>
      <c r="G204" s="363">
        <f t="shared" si="32"/>
        <v>16522.939999999999</v>
      </c>
      <c r="H204" s="364">
        <f t="shared" si="30"/>
        <v>-8.6510027876394533E-3</v>
      </c>
      <c r="I204" s="363"/>
    </row>
    <row r="205" spans="2:9" x14ac:dyDescent="0.25">
      <c r="B205" s="361">
        <v>42611</v>
      </c>
      <c r="C205" s="362">
        <v>500</v>
      </c>
      <c r="D205" s="363">
        <v>33.045879999999997</v>
      </c>
      <c r="E205" s="363">
        <v>32.33</v>
      </c>
      <c r="F205" s="363">
        <f t="shared" si="28"/>
        <v>-357.93999999999926</v>
      </c>
      <c r="G205" s="363">
        <f t="shared" si="32"/>
        <v>16522.939999999999</v>
      </c>
      <c r="H205" s="364">
        <f t="shared" si="30"/>
        <v>-2.1663214900011697E-2</v>
      </c>
      <c r="I205" s="363"/>
    </row>
    <row r="206" spans="2:9" x14ac:dyDescent="0.25">
      <c r="B206" s="361">
        <v>42612</v>
      </c>
      <c r="C206" s="362">
        <v>500</v>
      </c>
      <c r="D206" s="363">
        <v>33.045879999999997</v>
      </c>
      <c r="E206" s="363">
        <v>32.159999999999997</v>
      </c>
      <c r="F206" s="363">
        <f t="shared" si="28"/>
        <v>-442.94000000000011</v>
      </c>
      <c r="G206" s="363">
        <f t="shared" si="32"/>
        <v>16522.939999999999</v>
      </c>
      <c r="H206" s="364">
        <f t="shared" si="30"/>
        <v>-2.6807577828158919E-2</v>
      </c>
      <c r="I206" s="363"/>
    </row>
    <row r="207" spans="2:9" x14ac:dyDescent="0.25">
      <c r="B207" s="361">
        <v>42614</v>
      </c>
      <c r="C207" s="362">
        <v>500</v>
      </c>
      <c r="D207" s="363">
        <v>33.045879999999997</v>
      </c>
      <c r="E207" s="363">
        <v>31.96</v>
      </c>
      <c r="F207" s="363">
        <f t="shared" si="28"/>
        <v>-542.93999999999801</v>
      </c>
      <c r="G207" s="363">
        <f t="shared" si="32"/>
        <v>16522.939999999999</v>
      </c>
      <c r="H207" s="364">
        <f t="shared" si="30"/>
        <v>-3.2859769508331936E-2</v>
      </c>
      <c r="I207" s="363"/>
    </row>
    <row r="208" spans="2:9" x14ac:dyDescent="0.25">
      <c r="B208" s="361">
        <v>42615</v>
      </c>
      <c r="C208" s="362">
        <v>500</v>
      </c>
      <c r="D208" s="363">
        <v>32.94988</v>
      </c>
      <c r="E208" s="363">
        <v>32.5</v>
      </c>
      <c r="F208" s="363">
        <f t="shared" si="28"/>
        <v>-224.94000000000014</v>
      </c>
      <c r="G208" s="363">
        <f t="shared" si="32"/>
        <v>16474.939999999999</v>
      </c>
      <c r="H208" s="364">
        <f t="shared" si="30"/>
        <v>-1.3653463988336233E-2</v>
      </c>
      <c r="I208" s="363" t="s">
        <v>185</v>
      </c>
    </row>
    <row r="209" spans="2:9" x14ac:dyDescent="0.25">
      <c r="B209" s="361">
        <v>42619</v>
      </c>
      <c r="C209" s="362">
        <v>500</v>
      </c>
      <c r="D209" s="363">
        <v>32.94988</v>
      </c>
      <c r="E209" s="363">
        <v>32.67</v>
      </c>
      <c r="F209" s="363">
        <f t="shared" si="28"/>
        <v>-139.93999999999929</v>
      </c>
      <c r="G209" s="363">
        <f t="shared" si="32"/>
        <v>16474.939999999999</v>
      </c>
      <c r="H209" s="364">
        <f t="shared" si="30"/>
        <v>-8.4941128768905548E-3</v>
      </c>
      <c r="I209" s="363"/>
    </row>
    <row r="210" spans="2:9" x14ac:dyDescent="0.25">
      <c r="B210" s="361">
        <v>42620</v>
      </c>
      <c r="C210" s="362">
        <v>600</v>
      </c>
      <c r="D210" s="363">
        <v>32.733229999999999</v>
      </c>
      <c r="E210" s="363">
        <v>31.32</v>
      </c>
      <c r="F210" s="363">
        <f t="shared" si="28"/>
        <v>-847.93799999999919</v>
      </c>
      <c r="G210" s="363">
        <f t="shared" si="32"/>
        <v>19639.937999999998</v>
      </c>
      <c r="H210" s="364">
        <f t="shared" si="30"/>
        <v>-4.3174168879759153E-2</v>
      </c>
      <c r="I210" s="363"/>
    </row>
    <row r="211" spans="2:9" x14ac:dyDescent="0.25">
      <c r="B211" s="361">
        <v>42620</v>
      </c>
      <c r="C211" s="362">
        <v>700</v>
      </c>
      <c r="D211" s="363">
        <v>32.511339999999997</v>
      </c>
      <c r="E211" s="363">
        <v>31.32</v>
      </c>
      <c r="F211" s="363">
        <f t="shared" si="28"/>
        <v>-833.93799999999771</v>
      </c>
      <c r="G211" s="363">
        <f t="shared" si="32"/>
        <v>22757.937999999998</v>
      </c>
      <c r="H211" s="364">
        <f t="shared" si="30"/>
        <v>-3.6643829506873504E-2</v>
      </c>
      <c r="I211" s="363"/>
    </row>
    <row r="212" spans="2:9" x14ac:dyDescent="0.25">
      <c r="B212" s="361">
        <v>42621</v>
      </c>
      <c r="C212" s="362">
        <v>700</v>
      </c>
      <c r="D212" s="363">
        <v>32.511339999999997</v>
      </c>
      <c r="E212" s="363">
        <v>31.31</v>
      </c>
      <c r="F212" s="363">
        <f t="shared" si="28"/>
        <v>-840.93799999999885</v>
      </c>
      <c r="G212" s="363">
        <f t="shared" si="32"/>
        <v>22757.937999999998</v>
      </c>
      <c r="H212" s="364">
        <f t="shared" si="30"/>
        <v>-3.6951414491066759E-2</v>
      </c>
      <c r="I212" s="363"/>
    </row>
    <row r="213" spans="2:9" x14ac:dyDescent="0.25">
      <c r="B213" s="361">
        <v>42622</v>
      </c>
      <c r="C213" s="362">
        <v>700</v>
      </c>
      <c r="D213" s="363">
        <v>32.511339999999997</v>
      </c>
      <c r="E213" s="363">
        <v>31.51</v>
      </c>
      <c r="F213" s="363">
        <f t="shared" si="28"/>
        <v>-700.9379999999968</v>
      </c>
      <c r="G213" s="363">
        <f t="shared" si="32"/>
        <v>22757.937999999998</v>
      </c>
      <c r="H213" s="364">
        <f t="shared" si="30"/>
        <v>-3.0799714807202519E-2</v>
      </c>
      <c r="I213" s="363"/>
    </row>
    <row r="214" spans="2:9" x14ac:dyDescent="0.25">
      <c r="B214" s="361">
        <v>42625</v>
      </c>
      <c r="C214" s="362">
        <v>800</v>
      </c>
      <c r="D214" s="363">
        <v>32.297429999999999</v>
      </c>
      <c r="E214" s="363">
        <v>30.89</v>
      </c>
      <c r="F214" s="363">
        <f t="shared" si="28"/>
        <v>-1125.9439999999984</v>
      </c>
      <c r="G214" s="363">
        <f t="shared" si="32"/>
        <v>25837.944</v>
      </c>
      <c r="H214" s="364">
        <f t="shared" si="30"/>
        <v>-4.3577151494716394E-2</v>
      </c>
      <c r="I214" s="363"/>
    </row>
    <row r="215" spans="2:9" x14ac:dyDescent="0.25">
      <c r="B215" s="361">
        <v>42632</v>
      </c>
      <c r="C215" s="362">
        <v>800</v>
      </c>
      <c r="D215" s="363">
        <v>32.297429999999999</v>
      </c>
      <c r="E215" s="363">
        <v>30.79</v>
      </c>
      <c r="F215" s="363">
        <f t="shared" si="28"/>
        <v>-1205.9439999999995</v>
      </c>
      <c r="G215" s="363">
        <f t="shared" si="32"/>
        <v>25837.944</v>
      </c>
      <c r="H215" s="364">
        <f t="shared" si="30"/>
        <v>-4.6673373082626063E-2</v>
      </c>
      <c r="I215" s="363"/>
    </row>
    <row r="216" spans="2:9" x14ac:dyDescent="0.25">
      <c r="B216" s="361">
        <v>42633</v>
      </c>
      <c r="C216" s="362">
        <v>800</v>
      </c>
      <c r="D216" s="363">
        <v>32.297429999999999</v>
      </c>
      <c r="E216" s="363">
        <v>31.09</v>
      </c>
      <c r="F216" s="363">
        <f t="shared" si="28"/>
        <v>-965.94399999999894</v>
      </c>
      <c r="G216" s="363">
        <f t="shared" si="32"/>
        <v>25837.944</v>
      </c>
      <c r="H216" s="364">
        <f t="shared" si="30"/>
        <v>-3.7384708318897161E-2</v>
      </c>
      <c r="I216" s="363"/>
    </row>
    <row r="217" spans="2:9" x14ac:dyDescent="0.25">
      <c r="B217" s="361">
        <v>42605</v>
      </c>
      <c r="C217" s="362">
        <v>800</v>
      </c>
      <c r="D217" s="363">
        <v>32.297429999999999</v>
      </c>
      <c r="E217" s="363">
        <v>30.45</v>
      </c>
      <c r="F217" s="363">
        <f t="shared" si="28"/>
        <v>-1477.9439999999995</v>
      </c>
      <c r="G217" s="363">
        <f t="shared" si="32"/>
        <v>25837.944</v>
      </c>
      <c r="H217" s="364">
        <f t="shared" si="30"/>
        <v>-5.7200526481518785E-2</v>
      </c>
      <c r="I217" s="363"/>
    </row>
    <row r="218" spans="2:9" x14ac:dyDescent="0.25">
      <c r="B218" s="361">
        <v>42639</v>
      </c>
      <c r="C218" s="362">
        <v>900</v>
      </c>
      <c r="D218" s="363">
        <v>32.05104</v>
      </c>
      <c r="E218" s="363">
        <v>30.08</v>
      </c>
      <c r="F218" s="363">
        <f t="shared" si="28"/>
        <v>-1773.936000000002</v>
      </c>
      <c r="G218" s="363">
        <f t="shared" si="32"/>
        <v>28845.936000000002</v>
      </c>
      <c r="H218" s="364">
        <f t="shared" si="30"/>
        <v>-6.14969124246827E-2</v>
      </c>
      <c r="I218" s="363"/>
    </row>
    <row r="219" spans="2:9" x14ac:dyDescent="0.25">
      <c r="B219" s="361">
        <v>42640</v>
      </c>
      <c r="C219" s="362">
        <v>900</v>
      </c>
      <c r="D219" s="363">
        <v>32.05104</v>
      </c>
      <c r="E219" s="363">
        <v>29.9</v>
      </c>
      <c r="F219" s="363">
        <f t="shared" si="28"/>
        <v>-1935.9360000000017</v>
      </c>
      <c r="G219" s="363">
        <f t="shared" si="32"/>
        <v>28845.936000000002</v>
      </c>
      <c r="H219" s="364">
        <f t="shared" si="30"/>
        <v>-6.7112954837034985E-2</v>
      </c>
      <c r="I219" s="363"/>
    </row>
    <row r="220" spans="2:9" x14ac:dyDescent="0.25">
      <c r="B220" s="361">
        <v>42641</v>
      </c>
      <c r="C220" s="362">
        <v>900</v>
      </c>
      <c r="D220" s="363">
        <v>32.05104</v>
      </c>
      <c r="E220" s="363">
        <v>29.84</v>
      </c>
      <c r="F220" s="363">
        <f t="shared" si="28"/>
        <v>-1989.9360000000006</v>
      </c>
      <c r="G220" s="363">
        <f t="shared" si="32"/>
        <v>28845.936000000002</v>
      </c>
      <c r="H220" s="364">
        <f t="shared" si="30"/>
        <v>-6.8984968974485708E-2</v>
      </c>
      <c r="I220" s="363"/>
    </row>
    <row r="221" spans="2:9" x14ac:dyDescent="0.25">
      <c r="B221" s="361">
        <v>42643</v>
      </c>
      <c r="C221" s="362">
        <v>900</v>
      </c>
      <c r="D221" s="363">
        <v>32.05104</v>
      </c>
      <c r="E221" s="363">
        <v>29.68</v>
      </c>
      <c r="F221" s="363">
        <f t="shared" si="28"/>
        <v>-2133.9360000000006</v>
      </c>
      <c r="G221" s="363">
        <f t="shared" si="32"/>
        <v>28845.936000000002</v>
      </c>
      <c r="H221" s="364">
        <f t="shared" si="30"/>
        <v>-7.3977006674354431E-2</v>
      </c>
      <c r="I221" s="363"/>
    </row>
    <row r="222" spans="2:9" x14ac:dyDescent="0.25">
      <c r="B222" s="361">
        <v>42646</v>
      </c>
      <c r="C222" s="362">
        <v>1000</v>
      </c>
      <c r="D222" s="363">
        <v>31.78594</v>
      </c>
      <c r="E222" s="363">
        <v>29.28</v>
      </c>
      <c r="F222" s="363">
        <f t="shared" si="28"/>
        <v>-2505.9399999999991</v>
      </c>
      <c r="G222" s="363">
        <f t="shared" si="32"/>
        <v>31785.94</v>
      </c>
      <c r="H222" s="364">
        <f t="shared" si="30"/>
        <v>-7.8838001959356835E-2</v>
      </c>
      <c r="I222" s="363"/>
    </row>
    <row r="223" spans="2:9" x14ac:dyDescent="0.25">
      <c r="B223" s="361">
        <v>42648</v>
      </c>
      <c r="C223" s="362">
        <v>1000</v>
      </c>
      <c r="D223" s="363">
        <v>31.78594</v>
      </c>
      <c r="E223" s="363">
        <v>28.84</v>
      </c>
      <c r="F223" s="363">
        <f t="shared" si="28"/>
        <v>-2945.94</v>
      </c>
      <c r="G223" s="363">
        <f t="shared" si="32"/>
        <v>31785.94</v>
      </c>
      <c r="H223" s="364">
        <f t="shared" si="30"/>
        <v>-9.2680600290568724E-2</v>
      </c>
      <c r="I223" s="363"/>
    </row>
    <row r="224" spans="2:9" x14ac:dyDescent="0.25">
      <c r="B224" s="361">
        <v>42649</v>
      </c>
      <c r="C224" s="362">
        <v>1000</v>
      </c>
      <c r="D224" s="363">
        <v>31.78594</v>
      </c>
      <c r="E224" s="363">
        <v>29.37</v>
      </c>
      <c r="F224" s="363">
        <f t="shared" si="28"/>
        <v>-2415.9399999999991</v>
      </c>
      <c r="G224" s="363">
        <f t="shared" si="32"/>
        <v>31785.94</v>
      </c>
      <c r="H224" s="364">
        <f t="shared" si="30"/>
        <v>-7.6006561391608968E-2</v>
      </c>
      <c r="I224" s="363"/>
    </row>
    <row r="225" spans="2:9" x14ac:dyDescent="0.25">
      <c r="B225" s="361">
        <v>42650</v>
      </c>
      <c r="C225" s="362">
        <v>1000</v>
      </c>
      <c r="D225" s="363">
        <v>31.78594</v>
      </c>
      <c r="E225" s="363">
        <v>29</v>
      </c>
      <c r="F225" s="363">
        <f t="shared" si="28"/>
        <v>-2785.94</v>
      </c>
      <c r="G225" s="363">
        <f t="shared" si="32"/>
        <v>31785.94</v>
      </c>
      <c r="H225" s="364">
        <f t="shared" si="30"/>
        <v>-8.7646928170128049E-2</v>
      </c>
      <c r="I225" s="363"/>
    </row>
    <row r="226" spans="2:9" x14ac:dyDescent="0.25">
      <c r="B226" s="361">
        <v>42661</v>
      </c>
      <c r="C226" s="362">
        <v>1000</v>
      </c>
      <c r="D226" s="363">
        <v>31.78594</v>
      </c>
      <c r="E226" s="363">
        <v>30.64</v>
      </c>
      <c r="F226" s="363">
        <f t="shared" ref="F226:F231" si="33">C226*(E226-D226)</f>
        <v>-1145.9399999999996</v>
      </c>
      <c r="G226" s="363">
        <f t="shared" ref="G226:G231" si="34">D226*C226</f>
        <v>31785.94</v>
      </c>
      <c r="H226" s="364">
        <f t="shared" ref="H226:H231" si="35">(E226-D226)/D226</f>
        <v>-3.6051788935611138E-2</v>
      </c>
      <c r="I226" s="363"/>
    </row>
    <row r="227" spans="2:9" x14ac:dyDescent="0.25">
      <c r="B227" s="361">
        <v>42671</v>
      </c>
      <c r="C227" s="362">
        <v>900</v>
      </c>
      <c r="D227" s="363">
        <v>31.837789999999998</v>
      </c>
      <c r="E227" s="363">
        <v>31.26</v>
      </c>
      <c r="F227" s="363">
        <f t="shared" si="33"/>
        <v>-520.01099999999701</v>
      </c>
      <c r="G227" s="363">
        <f t="shared" si="34"/>
        <v>28654.010999999999</v>
      </c>
      <c r="H227" s="364">
        <f t="shared" si="35"/>
        <v>-1.8147930493919232E-2</v>
      </c>
      <c r="I227" s="363"/>
    </row>
    <row r="228" spans="2:9" x14ac:dyDescent="0.25">
      <c r="B228" s="361">
        <v>42674</v>
      </c>
      <c r="C228" s="362">
        <v>1000</v>
      </c>
      <c r="D228" s="363">
        <v>31.763999999999999</v>
      </c>
      <c r="E228" s="363">
        <v>30.98</v>
      </c>
      <c r="F228" s="363">
        <f t="shared" si="33"/>
        <v>-783.99999999999886</v>
      </c>
      <c r="G228" s="363">
        <f t="shared" si="34"/>
        <v>31764</v>
      </c>
      <c r="H228" s="364">
        <f t="shared" si="35"/>
        <v>-2.468202997103636E-2</v>
      </c>
      <c r="I228" s="363"/>
    </row>
    <row r="229" spans="2:9" x14ac:dyDescent="0.25">
      <c r="B229" s="361">
        <v>42676</v>
      </c>
      <c r="C229" s="362">
        <v>500</v>
      </c>
      <c r="D229" s="363">
        <v>31.518719999999998</v>
      </c>
      <c r="E229" s="363">
        <v>32.22</v>
      </c>
      <c r="F229" s="363">
        <f t="shared" si="33"/>
        <v>350.64000000000027</v>
      </c>
      <c r="G229" s="363">
        <f t="shared" si="34"/>
        <v>15759.359999999999</v>
      </c>
      <c r="H229" s="364">
        <f t="shared" si="35"/>
        <v>2.2249634502923995E-2</v>
      </c>
      <c r="I229" s="363">
        <v>31</v>
      </c>
    </row>
    <row r="230" spans="2:9" x14ac:dyDescent="0.25">
      <c r="B230" s="361">
        <v>42677</v>
      </c>
      <c r="C230" s="362">
        <v>800</v>
      </c>
      <c r="D230" s="363">
        <v>31.51858</v>
      </c>
      <c r="E230" s="363">
        <v>31.02</v>
      </c>
      <c r="F230" s="363">
        <f t="shared" si="33"/>
        <v>-398.86400000000037</v>
      </c>
      <c r="G230" s="363">
        <f t="shared" si="34"/>
        <v>25214.864000000001</v>
      </c>
      <c r="H230" s="364">
        <f t="shared" si="35"/>
        <v>-1.5818606041262027E-2</v>
      </c>
      <c r="I230" s="363"/>
    </row>
    <row r="231" spans="2:9" x14ac:dyDescent="0.25">
      <c r="B231" s="361">
        <v>42701</v>
      </c>
      <c r="C231" s="362">
        <v>400</v>
      </c>
      <c r="D231" s="363">
        <v>30.677849999999999</v>
      </c>
      <c r="E231" s="363">
        <v>33.880000000000003</v>
      </c>
      <c r="F231" s="363">
        <f t="shared" si="33"/>
        <v>1280.8600000000013</v>
      </c>
      <c r="G231" s="363">
        <f t="shared" si="34"/>
        <v>12271.14</v>
      </c>
      <c r="H231" s="364">
        <f t="shared" si="35"/>
        <v>0.10437987016691207</v>
      </c>
      <c r="I231" s="363"/>
    </row>
    <row r="232" spans="2:9" x14ac:dyDescent="0.25">
      <c r="B232" s="361">
        <v>42704</v>
      </c>
      <c r="C232" s="362">
        <v>400</v>
      </c>
      <c r="D232" s="363">
        <v>30.677849999999999</v>
      </c>
      <c r="E232" s="363">
        <v>32.299999999999997</v>
      </c>
      <c r="F232" s="363">
        <f t="shared" ref="F232:F238" si="36">C232*(E232-D232)</f>
        <v>648.8599999999991</v>
      </c>
      <c r="G232" s="363">
        <f t="shared" ref="G232:G238" si="37">D232*C232</f>
        <v>12271.14</v>
      </c>
      <c r="H232" s="364">
        <f t="shared" ref="H232:H238" si="38">(E232-D232)/D232</f>
        <v>5.2876912821465581E-2</v>
      </c>
      <c r="I232" s="363"/>
    </row>
    <row r="233" spans="2:9" x14ac:dyDescent="0.25">
      <c r="B233" s="361">
        <v>42706</v>
      </c>
      <c r="C233" s="362">
        <v>400</v>
      </c>
      <c r="D233" s="363">
        <v>30.527850000000001</v>
      </c>
      <c r="E233" s="363">
        <v>33.299999999999997</v>
      </c>
      <c r="F233" s="363">
        <f t="shared" si="36"/>
        <v>1108.8599999999985</v>
      </c>
      <c r="G233" s="363">
        <f t="shared" si="37"/>
        <v>12211.14</v>
      </c>
      <c r="H233" s="364">
        <f t="shared" si="38"/>
        <v>9.0807246497869851E-2</v>
      </c>
      <c r="I233" s="363"/>
    </row>
    <row r="234" spans="2:9" x14ac:dyDescent="0.25">
      <c r="B234" s="361">
        <v>42712</v>
      </c>
      <c r="C234" s="362">
        <v>300</v>
      </c>
      <c r="D234" s="363">
        <v>29.297370000000001</v>
      </c>
      <c r="E234" s="363">
        <v>34.19</v>
      </c>
      <c r="F234" s="363">
        <f t="shared" si="36"/>
        <v>1467.7889999999991</v>
      </c>
      <c r="G234" s="363">
        <f t="shared" si="37"/>
        <v>8789.2109999999993</v>
      </c>
      <c r="H234" s="364">
        <f t="shared" si="38"/>
        <v>0.16699894905242338</v>
      </c>
      <c r="I234" s="363"/>
    </row>
    <row r="235" spans="2:9" x14ac:dyDescent="0.25">
      <c r="B235" s="361">
        <v>42713</v>
      </c>
      <c r="C235" s="362">
        <v>200</v>
      </c>
      <c r="D235" s="363">
        <v>26.551449999999999</v>
      </c>
      <c r="E235" s="363">
        <v>34.78</v>
      </c>
      <c r="F235" s="363">
        <f t="shared" si="36"/>
        <v>1645.7100000000005</v>
      </c>
      <c r="G235" s="363">
        <f t="shared" si="37"/>
        <v>5310.29</v>
      </c>
      <c r="H235" s="364">
        <f t="shared" si="38"/>
        <v>0.30990962828772073</v>
      </c>
      <c r="I235" s="363"/>
    </row>
    <row r="236" spans="2:9" x14ac:dyDescent="0.25">
      <c r="B236" s="361">
        <v>42716</v>
      </c>
      <c r="C236" s="362">
        <v>300</v>
      </c>
      <c r="D236" s="363">
        <v>29.0943</v>
      </c>
      <c r="E236" s="363">
        <v>34.22</v>
      </c>
      <c r="F236" s="363">
        <f t="shared" si="36"/>
        <v>1537.7099999999996</v>
      </c>
      <c r="G236" s="363">
        <f t="shared" si="37"/>
        <v>8728.2900000000009</v>
      </c>
      <c r="H236" s="364">
        <f t="shared" si="38"/>
        <v>0.17617540205469795</v>
      </c>
      <c r="I236" s="363"/>
    </row>
    <row r="237" spans="2:9" x14ac:dyDescent="0.25">
      <c r="B237" s="361">
        <v>42718</v>
      </c>
      <c r="C237" s="362">
        <v>100</v>
      </c>
      <c r="D237" s="363">
        <v>17.179500000000001</v>
      </c>
      <c r="E237" s="363">
        <v>34.72</v>
      </c>
      <c r="F237" s="363">
        <f t="shared" si="36"/>
        <v>1754.0499999999997</v>
      </c>
      <c r="G237" s="363">
        <f t="shared" si="37"/>
        <v>1717.95</v>
      </c>
      <c r="H237" s="364">
        <f t="shared" si="38"/>
        <v>1.021013417154166</v>
      </c>
      <c r="I237" s="363"/>
    </row>
    <row r="238" spans="2:9" x14ac:dyDescent="0.25">
      <c r="B238" s="361">
        <v>42718</v>
      </c>
      <c r="C238" s="362">
        <v>300</v>
      </c>
      <c r="D238" s="363">
        <v>28.9132</v>
      </c>
      <c r="E238" s="363">
        <v>34.72</v>
      </c>
      <c r="F238" s="363">
        <f t="shared" si="36"/>
        <v>1742.0399999999997</v>
      </c>
      <c r="G238" s="363">
        <f t="shared" si="37"/>
        <v>8673.9599999999991</v>
      </c>
      <c r="H238" s="364">
        <f t="shared" si="38"/>
        <v>0.20083560449898313</v>
      </c>
      <c r="I238" s="363"/>
    </row>
    <row r="239" spans="2:9" x14ac:dyDescent="0.25">
      <c r="B239" s="361">
        <v>42729</v>
      </c>
      <c r="C239" s="362">
        <v>300</v>
      </c>
      <c r="D239" s="363">
        <v>28.9132</v>
      </c>
      <c r="E239" s="363">
        <v>35.08</v>
      </c>
      <c r="F239" s="363">
        <f>C239*(E239-D239)</f>
        <v>1850.0399999999995</v>
      </c>
      <c r="G239" s="363">
        <f>D239*C239</f>
        <v>8673.9599999999991</v>
      </c>
      <c r="H239" s="364">
        <f>(E239-D239)/D239</f>
        <v>0.21328666491429515</v>
      </c>
      <c r="I239" s="363"/>
    </row>
    <row r="240" spans="2:9" x14ac:dyDescent="0.25">
      <c r="B240" s="361">
        <v>42745</v>
      </c>
      <c r="C240" s="362">
        <v>400</v>
      </c>
      <c r="D240" s="363">
        <v>30.12988</v>
      </c>
      <c r="E240" s="363">
        <v>33.19</v>
      </c>
      <c r="F240" s="363">
        <f>C240*(E240-D240)</f>
        <v>1224.0479999999991</v>
      </c>
      <c r="G240" s="363">
        <f>D240*C240</f>
        <v>12051.951999999999</v>
      </c>
      <c r="H240" s="364">
        <f>(E240-D240)/D240</f>
        <v>0.1015642943151449</v>
      </c>
      <c r="I240" s="363"/>
    </row>
    <row r="241" spans="2:9" x14ac:dyDescent="0.25">
      <c r="B241" s="361">
        <v>42752</v>
      </c>
      <c r="C241" s="362">
        <v>300</v>
      </c>
      <c r="D241" s="363">
        <v>28.620100000000001</v>
      </c>
      <c r="E241" s="363">
        <v>34.840000000000003</v>
      </c>
      <c r="F241" s="363">
        <f>C241*(E241-D241)</f>
        <v>1865.9700000000007</v>
      </c>
      <c r="G241" s="363">
        <f>D241*C241</f>
        <v>8586.0300000000007</v>
      </c>
      <c r="H241" s="364">
        <f>(E241-D241)/D241</f>
        <v>0.21732628467405782</v>
      </c>
      <c r="I241" s="363">
        <v>28.25</v>
      </c>
    </row>
    <row r="242" spans="2:9" x14ac:dyDescent="0.25">
      <c r="B242" s="361">
        <v>42754</v>
      </c>
      <c r="C242" s="362">
        <v>400</v>
      </c>
      <c r="D242" s="363">
        <v>30.032579999999999</v>
      </c>
      <c r="E242" s="363">
        <v>34.26</v>
      </c>
      <c r="F242" s="363">
        <f>C242*(E242-D242)</f>
        <v>1690.9679999999994</v>
      </c>
      <c r="G242" s="363">
        <f>D242*C242</f>
        <v>12013.031999999999</v>
      </c>
      <c r="H242" s="364">
        <f>(E242-D242)/D242</f>
        <v>0.14076113340911767</v>
      </c>
      <c r="I242" s="363"/>
    </row>
    <row r="257" spans="1:13" x14ac:dyDescent="0.25">
      <c r="M257" s="2">
        <f>M285+K288-F288</f>
        <v>1747.9699999999939</v>
      </c>
    </row>
    <row r="258" spans="1:13" x14ac:dyDescent="0.25">
      <c r="M258" s="252" t="s">
        <v>38</v>
      </c>
    </row>
    <row r="259" spans="1:13" x14ac:dyDescent="0.25">
      <c r="M259" s="251">
        <v>10.5</v>
      </c>
    </row>
    <row r="260" spans="1:13" x14ac:dyDescent="0.25">
      <c r="L260" t="s">
        <v>65</v>
      </c>
      <c r="M260" s="251">
        <v>48</v>
      </c>
    </row>
    <row r="261" spans="1:13" x14ac:dyDescent="0.25">
      <c r="A261" s="252" t="s">
        <v>1</v>
      </c>
      <c r="B261" s="252" t="s">
        <v>2</v>
      </c>
      <c r="C261" s="252" t="s">
        <v>4</v>
      </c>
      <c r="D261" s="253" t="s">
        <v>5</v>
      </c>
      <c r="E261" s="253" t="s">
        <v>94</v>
      </c>
      <c r="F261" s="253" t="s">
        <v>60</v>
      </c>
      <c r="G261" s="252" t="s">
        <v>3</v>
      </c>
      <c r="H261" s="252" t="s">
        <v>6</v>
      </c>
      <c r="I261" s="253" t="s">
        <v>7</v>
      </c>
      <c r="J261" s="253" t="s">
        <v>95</v>
      </c>
      <c r="K261" s="253" t="s">
        <v>61</v>
      </c>
      <c r="L261" s="252" t="s">
        <v>37</v>
      </c>
      <c r="M261" s="251">
        <v>60</v>
      </c>
    </row>
    <row r="262" spans="1:13" x14ac:dyDescent="0.25">
      <c r="A262" s="254" t="s">
        <v>195</v>
      </c>
      <c r="B262" s="255">
        <v>42482</v>
      </c>
      <c r="C262" s="250">
        <v>80</v>
      </c>
      <c r="D262" s="251">
        <v>36.01</v>
      </c>
      <c r="E262" s="251">
        <v>0</v>
      </c>
      <c r="F262" s="251">
        <f t="shared" ref="F262:F282" si="39">D262*C262+E262</f>
        <v>2880.7999999999997</v>
      </c>
      <c r="G262" s="255">
        <v>42514</v>
      </c>
      <c r="H262" s="250">
        <v>40</v>
      </c>
      <c r="I262" s="251">
        <v>35.35</v>
      </c>
      <c r="J262" s="251">
        <v>0.03</v>
      </c>
      <c r="K262" s="251">
        <f>I262*H262-J262</f>
        <v>1413.97</v>
      </c>
      <c r="L262" s="255">
        <v>42522</v>
      </c>
      <c r="M262" s="250"/>
    </row>
    <row r="263" spans="1:13" x14ac:dyDescent="0.25">
      <c r="A263" s="257" t="s">
        <v>71</v>
      </c>
      <c r="B263" s="255">
        <v>42482</v>
      </c>
      <c r="C263" s="250">
        <v>20</v>
      </c>
      <c r="D263" s="251">
        <v>35.549999999999997</v>
      </c>
      <c r="E263" s="251">
        <v>0</v>
      </c>
      <c r="F263" s="251">
        <f t="shared" si="39"/>
        <v>711</v>
      </c>
      <c r="G263" s="250"/>
      <c r="H263" s="250"/>
      <c r="I263" s="251"/>
      <c r="J263" s="251"/>
      <c r="K263" s="251"/>
      <c r="L263" s="255">
        <v>42614</v>
      </c>
      <c r="M263" s="250"/>
    </row>
    <row r="264" spans="1:13" x14ac:dyDescent="0.25">
      <c r="A264" s="250"/>
      <c r="B264" s="255">
        <v>42508</v>
      </c>
      <c r="C264" s="250">
        <v>40</v>
      </c>
      <c r="D264" s="251">
        <v>34.19</v>
      </c>
      <c r="E264" s="251">
        <v>0</v>
      </c>
      <c r="F264" s="251">
        <f t="shared" si="39"/>
        <v>1367.6</v>
      </c>
      <c r="G264" s="255">
        <v>42521</v>
      </c>
      <c r="H264" s="256">
        <v>40</v>
      </c>
      <c r="I264" s="251">
        <v>35.99</v>
      </c>
      <c r="J264" s="251">
        <v>0.03</v>
      </c>
      <c r="K264" s="251">
        <f t="shared" ref="K264:K279" si="40">I264*H264-J264</f>
        <v>1439.5700000000002</v>
      </c>
      <c r="L264" s="255">
        <v>42706</v>
      </c>
      <c r="M264" s="250"/>
    </row>
    <row r="265" spans="1:13" x14ac:dyDescent="0.25">
      <c r="A265" s="250"/>
      <c r="B265" s="255">
        <v>42509</v>
      </c>
      <c r="C265" s="250">
        <v>100</v>
      </c>
      <c r="D265" s="251">
        <v>34.49</v>
      </c>
      <c r="E265" s="251">
        <v>0</v>
      </c>
      <c r="F265" s="251">
        <f t="shared" si="39"/>
        <v>3449</v>
      </c>
      <c r="G265" s="255">
        <v>42531</v>
      </c>
      <c r="H265" s="256">
        <v>100</v>
      </c>
      <c r="I265" s="251">
        <v>36.99</v>
      </c>
      <c r="J265" s="251">
        <v>0.08</v>
      </c>
      <c r="K265" s="251">
        <f t="shared" si="40"/>
        <v>3698.92</v>
      </c>
      <c r="L265" s="250"/>
      <c r="M265" s="250"/>
    </row>
    <row r="266" spans="1:13" x14ac:dyDescent="0.25">
      <c r="A266" s="250"/>
      <c r="B266" s="255">
        <v>42536</v>
      </c>
      <c r="C266" s="250">
        <v>100</v>
      </c>
      <c r="D266" s="251">
        <v>35.39</v>
      </c>
      <c r="E266" s="251">
        <v>0</v>
      </c>
      <c r="F266" s="251">
        <f t="shared" si="39"/>
        <v>3539</v>
      </c>
      <c r="G266" s="255">
        <v>42594</v>
      </c>
      <c r="H266" s="256">
        <v>100</v>
      </c>
      <c r="I266" s="251">
        <v>32.58</v>
      </c>
      <c r="J266" s="251">
        <v>7.0000000000000007E-2</v>
      </c>
      <c r="K266" s="251">
        <f t="shared" si="40"/>
        <v>3257.93</v>
      </c>
      <c r="L266" s="250"/>
      <c r="M266" s="250"/>
    </row>
    <row r="267" spans="1:13" x14ac:dyDescent="0.25">
      <c r="A267" s="250"/>
      <c r="B267" s="255">
        <v>42579</v>
      </c>
      <c r="C267" s="250">
        <v>40</v>
      </c>
      <c r="D267" s="251">
        <v>35</v>
      </c>
      <c r="E267" s="251">
        <v>0</v>
      </c>
      <c r="F267" s="251">
        <f t="shared" si="39"/>
        <v>1400</v>
      </c>
      <c r="G267" s="255">
        <v>42671</v>
      </c>
      <c r="H267" s="256">
        <v>100</v>
      </c>
      <c r="I267" s="251">
        <v>31.32</v>
      </c>
      <c r="J267" s="251">
        <v>7.0000000000000007E-2</v>
      </c>
      <c r="K267" s="251">
        <f t="shared" si="40"/>
        <v>3131.93</v>
      </c>
      <c r="L267" s="250"/>
      <c r="M267" s="250"/>
    </row>
    <row r="268" spans="1:13" x14ac:dyDescent="0.25">
      <c r="A268" s="250"/>
      <c r="B268" s="255">
        <v>42579</v>
      </c>
      <c r="C268" s="250">
        <v>30</v>
      </c>
      <c r="D268" s="251">
        <v>34.57</v>
      </c>
      <c r="E268" s="251">
        <v>-7.0000000000000007E-2</v>
      </c>
      <c r="F268" s="251">
        <f t="shared" si="39"/>
        <v>1037.03</v>
      </c>
      <c r="G268" s="255">
        <v>42676</v>
      </c>
      <c r="H268" s="256">
        <v>200</v>
      </c>
      <c r="I268" s="251">
        <v>31.83</v>
      </c>
      <c r="J268" s="251">
        <v>0.14000000000000001</v>
      </c>
      <c r="K268" s="251">
        <f t="shared" si="40"/>
        <v>6365.86</v>
      </c>
      <c r="L268" s="250"/>
      <c r="M268" s="250"/>
    </row>
    <row r="269" spans="1:13" x14ac:dyDescent="0.25">
      <c r="A269" s="250"/>
      <c r="B269" s="255">
        <v>42580</v>
      </c>
      <c r="C269" s="250">
        <v>30</v>
      </c>
      <c r="D269" s="251">
        <v>33.880000000000003</v>
      </c>
      <c r="E269" s="251">
        <v>0</v>
      </c>
      <c r="F269" s="251">
        <f t="shared" si="39"/>
        <v>1016.4000000000001</v>
      </c>
      <c r="G269" s="255">
        <v>42676</v>
      </c>
      <c r="H269" s="256">
        <v>100</v>
      </c>
      <c r="I269" s="251">
        <v>31.98</v>
      </c>
      <c r="J269" s="251">
        <v>7.0000000000000007E-2</v>
      </c>
      <c r="K269" s="251">
        <f t="shared" si="40"/>
        <v>3197.93</v>
      </c>
      <c r="L269" s="250"/>
      <c r="M269" s="250"/>
    </row>
    <row r="270" spans="1:13" x14ac:dyDescent="0.25">
      <c r="A270" s="250"/>
      <c r="B270" s="255">
        <v>42584</v>
      </c>
      <c r="C270" s="250">
        <v>40</v>
      </c>
      <c r="D270" s="251">
        <v>33.049999999999997</v>
      </c>
      <c r="E270" s="251">
        <v>0</v>
      </c>
      <c r="F270" s="251">
        <f t="shared" si="39"/>
        <v>1322</v>
      </c>
      <c r="G270" s="255">
        <v>42676</v>
      </c>
      <c r="H270" s="256">
        <v>100</v>
      </c>
      <c r="I270" s="251">
        <v>32.18</v>
      </c>
      <c r="J270" s="251">
        <v>7.0000000000000007E-2</v>
      </c>
      <c r="K270" s="251">
        <f t="shared" si="40"/>
        <v>3217.93</v>
      </c>
      <c r="L270" s="250"/>
      <c r="M270" s="250"/>
    </row>
    <row r="271" spans="1:13" x14ac:dyDescent="0.25">
      <c r="A271" s="250"/>
      <c r="B271" s="255">
        <v>42586</v>
      </c>
      <c r="C271" s="250">
        <v>100</v>
      </c>
      <c r="D271" s="251">
        <v>32.479999999999997</v>
      </c>
      <c r="E271" s="251">
        <v>0</v>
      </c>
      <c r="F271" s="251">
        <f t="shared" si="39"/>
        <v>3247.9999999999995</v>
      </c>
      <c r="G271" s="255">
        <v>42676</v>
      </c>
      <c r="H271" s="256">
        <v>100</v>
      </c>
      <c r="I271" s="251">
        <v>32.229999999999997</v>
      </c>
      <c r="J271" s="251">
        <v>7.0000000000000007E-2</v>
      </c>
      <c r="K271" s="251">
        <f t="shared" si="40"/>
        <v>3222.9299999999994</v>
      </c>
      <c r="L271" s="250"/>
      <c r="M271" s="250"/>
    </row>
    <row r="272" spans="1:13" x14ac:dyDescent="0.25">
      <c r="A272" s="250"/>
      <c r="B272" s="255">
        <v>42593</v>
      </c>
      <c r="C272" s="250">
        <v>100</v>
      </c>
      <c r="D272" s="251">
        <v>32.049999999999997</v>
      </c>
      <c r="E272" s="251">
        <v>0</v>
      </c>
      <c r="F272" s="251">
        <f t="shared" si="39"/>
        <v>3204.9999999999995</v>
      </c>
      <c r="G272" s="255">
        <v>42683</v>
      </c>
      <c r="H272" s="256">
        <v>100</v>
      </c>
      <c r="I272" s="251">
        <v>32.33</v>
      </c>
      <c r="J272" s="251">
        <v>7.0000000000000007E-2</v>
      </c>
      <c r="K272" s="251">
        <f t="shared" si="40"/>
        <v>3232.93</v>
      </c>
      <c r="L272" s="250"/>
      <c r="M272" s="250"/>
    </row>
    <row r="273" spans="1:13" x14ac:dyDescent="0.25">
      <c r="A273" s="250"/>
      <c r="B273" s="255">
        <v>42599</v>
      </c>
      <c r="C273" s="250">
        <v>100</v>
      </c>
      <c r="D273" s="251">
        <v>31.68</v>
      </c>
      <c r="E273" s="251">
        <v>0</v>
      </c>
      <c r="F273" s="251">
        <f t="shared" si="39"/>
        <v>3168</v>
      </c>
      <c r="G273" s="255">
        <v>42683</v>
      </c>
      <c r="H273" s="256">
        <v>200</v>
      </c>
      <c r="I273" s="251">
        <v>32.08</v>
      </c>
      <c r="J273" s="251">
        <v>0.14000000000000001</v>
      </c>
      <c r="K273" s="251">
        <f t="shared" si="40"/>
        <v>6415.86</v>
      </c>
      <c r="L273" s="250"/>
      <c r="M273" s="250"/>
    </row>
    <row r="274" spans="1:13" x14ac:dyDescent="0.25">
      <c r="A274" s="250"/>
      <c r="B274" s="255">
        <v>42620</v>
      </c>
      <c r="C274" s="250">
        <v>100</v>
      </c>
      <c r="D274" s="251">
        <v>31.65</v>
      </c>
      <c r="E274" s="251">
        <v>0</v>
      </c>
      <c r="F274" s="251">
        <f t="shared" si="39"/>
        <v>3165</v>
      </c>
      <c r="G274" s="255">
        <v>42684</v>
      </c>
      <c r="H274" s="256">
        <v>100</v>
      </c>
      <c r="I274" s="251">
        <v>32.950000000000003</v>
      </c>
      <c r="J274" s="251">
        <v>7.0000000000000007E-2</v>
      </c>
      <c r="K274" s="251">
        <f t="shared" si="40"/>
        <v>3294.9300000000003</v>
      </c>
      <c r="L274" s="250"/>
      <c r="M274" s="250"/>
    </row>
    <row r="275" spans="1:13" x14ac:dyDescent="0.25">
      <c r="A275" s="250"/>
      <c r="B275" s="255">
        <v>42620</v>
      </c>
      <c r="C275" s="250">
        <v>100</v>
      </c>
      <c r="D275" s="251">
        <v>31.18</v>
      </c>
      <c r="E275" s="251">
        <v>0</v>
      </c>
      <c r="F275" s="251">
        <f t="shared" si="39"/>
        <v>3118</v>
      </c>
      <c r="G275" s="255">
        <v>42712</v>
      </c>
      <c r="H275" s="256">
        <v>100</v>
      </c>
      <c r="I275" s="251">
        <v>34.22</v>
      </c>
      <c r="J275" s="251">
        <v>7.0000000000000007E-2</v>
      </c>
      <c r="K275" s="251">
        <f t="shared" si="40"/>
        <v>3421.93</v>
      </c>
      <c r="L275" s="250"/>
      <c r="M275" s="250"/>
    </row>
    <row r="276" spans="1:13" x14ac:dyDescent="0.25">
      <c r="A276" s="250"/>
      <c r="B276" s="255">
        <v>42625</v>
      </c>
      <c r="C276" s="250">
        <v>100</v>
      </c>
      <c r="D276" s="251">
        <v>30.8</v>
      </c>
      <c r="E276" s="251">
        <v>0</v>
      </c>
      <c r="F276" s="251">
        <f t="shared" si="39"/>
        <v>3080</v>
      </c>
      <c r="G276" s="255">
        <v>42713</v>
      </c>
      <c r="H276" s="256">
        <v>100</v>
      </c>
      <c r="I276" s="251">
        <v>34.79</v>
      </c>
      <c r="J276" s="251">
        <v>0.08</v>
      </c>
      <c r="K276" s="251">
        <f t="shared" si="40"/>
        <v>3478.92</v>
      </c>
      <c r="L276" s="250"/>
      <c r="M276" s="250"/>
    </row>
    <row r="277" spans="1:13" x14ac:dyDescent="0.25">
      <c r="A277" s="250"/>
      <c r="B277" s="255">
        <v>42639</v>
      </c>
      <c r="C277" s="250">
        <v>100</v>
      </c>
      <c r="D277" s="251">
        <v>30.08</v>
      </c>
      <c r="E277" s="251">
        <v>0</v>
      </c>
      <c r="F277" s="251">
        <f t="shared" si="39"/>
        <v>3008</v>
      </c>
      <c r="G277" s="255">
        <v>42718</v>
      </c>
      <c r="H277" s="256">
        <v>100</v>
      </c>
      <c r="I277" s="251">
        <v>35.21</v>
      </c>
      <c r="J277" s="251">
        <v>0.57999999999999996</v>
      </c>
      <c r="K277" s="251">
        <f t="shared" si="40"/>
        <v>3520.42</v>
      </c>
      <c r="L277" s="250"/>
      <c r="M277" s="250"/>
    </row>
    <row r="278" spans="1:13" x14ac:dyDescent="0.25">
      <c r="A278" s="250"/>
      <c r="B278" s="255">
        <v>42646</v>
      </c>
      <c r="C278" s="250">
        <v>100</v>
      </c>
      <c r="D278" s="251">
        <v>29.4</v>
      </c>
      <c r="E278" s="251">
        <v>0</v>
      </c>
      <c r="F278" s="251">
        <f t="shared" si="39"/>
        <v>2940</v>
      </c>
      <c r="G278" s="255">
        <v>42718</v>
      </c>
      <c r="H278" s="256">
        <v>100</v>
      </c>
      <c r="I278" s="251">
        <v>34.9</v>
      </c>
      <c r="J278" s="251">
        <v>0.08</v>
      </c>
      <c r="K278" s="251">
        <f t="shared" si="40"/>
        <v>3489.92</v>
      </c>
      <c r="L278" s="250"/>
      <c r="M278" s="250"/>
    </row>
    <row r="279" spans="1:13" x14ac:dyDescent="0.25">
      <c r="A279" s="250"/>
      <c r="B279" s="255">
        <v>42674</v>
      </c>
      <c r="C279" s="250">
        <v>100</v>
      </c>
      <c r="D279" s="251">
        <v>31.1</v>
      </c>
      <c r="E279" s="251">
        <v>0</v>
      </c>
      <c r="F279" s="251">
        <f t="shared" si="39"/>
        <v>3110</v>
      </c>
      <c r="G279" s="255">
        <v>42752</v>
      </c>
      <c r="H279" s="256">
        <v>100</v>
      </c>
      <c r="I279" s="251">
        <v>34.659999999999997</v>
      </c>
      <c r="J279" s="251">
        <v>0.08</v>
      </c>
      <c r="K279" s="251">
        <f t="shared" si="40"/>
        <v>3465.9199999999996</v>
      </c>
      <c r="L279" s="250"/>
      <c r="M279" s="250"/>
    </row>
    <row r="280" spans="1:13" x14ac:dyDescent="0.25">
      <c r="A280" s="250"/>
      <c r="B280" s="255">
        <v>42677</v>
      </c>
      <c r="C280" s="250">
        <v>200</v>
      </c>
      <c r="D280" s="251">
        <v>31.68</v>
      </c>
      <c r="E280" s="251">
        <v>0</v>
      </c>
      <c r="F280" s="251">
        <f t="shared" si="39"/>
        <v>6336</v>
      </c>
      <c r="G280" s="250"/>
      <c r="H280" s="250"/>
      <c r="I280" s="251"/>
      <c r="J280" s="251"/>
      <c r="K280" s="251"/>
      <c r="L280" s="250"/>
      <c r="M280" s="250"/>
    </row>
    <row r="281" spans="1:13" x14ac:dyDescent="0.25">
      <c r="A281" s="250"/>
      <c r="B281" s="255">
        <v>42677</v>
      </c>
      <c r="C281" s="250">
        <v>100</v>
      </c>
      <c r="D281" s="251">
        <v>31.2</v>
      </c>
      <c r="E281" s="251">
        <v>-0.5</v>
      </c>
      <c r="F281" s="251">
        <f t="shared" si="39"/>
        <v>3119.5</v>
      </c>
      <c r="G281" s="250"/>
      <c r="H281" s="250"/>
      <c r="I281" s="251"/>
      <c r="J281" s="251"/>
      <c r="K281" s="251"/>
      <c r="L281" s="250"/>
      <c r="M281" s="250"/>
    </row>
    <row r="282" spans="1:13" x14ac:dyDescent="0.25">
      <c r="A282" s="250"/>
      <c r="B282" s="255">
        <v>42716</v>
      </c>
      <c r="C282" s="250">
        <v>100</v>
      </c>
      <c r="D282" s="251">
        <v>34.18</v>
      </c>
      <c r="E282" s="251">
        <v>0</v>
      </c>
      <c r="F282" s="251">
        <f t="shared" si="39"/>
        <v>3418</v>
      </c>
      <c r="G282" s="250"/>
      <c r="H282" s="250"/>
      <c r="I282" s="251"/>
      <c r="J282" s="251"/>
      <c r="K282" s="251"/>
      <c r="L282" s="250"/>
      <c r="M282" s="250"/>
    </row>
    <row r="283" spans="1:13" x14ac:dyDescent="0.25">
      <c r="A283" s="250"/>
      <c r="B283" s="255"/>
      <c r="C283" s="250"/>
      <c r="D283" s="251"/>
      <c r="E283" s="251"/>
      <c r="F283" s="251"/>
      <c r="G283" s="250"/>
      <c r="H283" s="250"/>
      <c r="I283" s="251"/>
      <c r="J283" s="251"/>
      <c r="K283" s="251"/>
      <c r="L283" s="250"/>
      <c r="M283" s="250"/>
    </row>
    <row r="284" spans="1:13" x14ac:dyDescent="0.25">
      <c r="A284" s="250"/>
      <c r="B284" s="255"/>
      <c r="C284" s="250"/>
      <c r="D284" s="251"/>
      <c r="E284" s="251"/>
      <c r="F284" s="251"/>
      <c r="G284" s="250"/>
      <c r="H284" s="250"/>
      <c r="I284" s="251"/>
      <c r="J284" s="251"/>
      <c r="K284" s="251"/>
      <c r="L284" s="250"/>
      <c r="M284" s="250"/>
    </row>
    <row r="285" spans="1:13" x14ac:dyDescent="0.25">
      <c r="A285" s="250"/>
      <c r="B285" s="255"/>
      <c r="C285" s="250"/>
      <c r="D285" s="251"/>
      <c r="E285" s="251"/>
      <c r="F285" s="251"/>
      <c r="G285" s="250"/>
      <c r="H285" s="250"/>
      <c r="I285" s="251"/>
      <c r="J285" s="251"/>
      <c r="K285" s="251"/>
      <c r="L285" s="250"/>
      <c r="M285" s="18">
        <f>SUM(M259:M284)</f>
        <v>118.5</v>
      </c>
    </row>
    <row r="286" spans="1:13" x14ac:dyDescent="0.25">
      <c r="A286" s="250"/>
      <c r="B286" s="250"/>
      <c r="C286" s="250"/>
      <c r="D286" s="251"/>
      <c r="E286" s="251"/>
      <c r="F286" s="251"/>
      <c r="G286" s="250"/>
      <c r="H286" s="250"/>
      <c r="I286" s="251"/>
      <c r="J286" s="251"/>
      <c r="K286" s="251"/>
      <c r="L286" s="250"/>
    </row>
    <row r="287" spans="1:13" x14ac:dyDescent="0.25">
      <c r="A287" s="250"/>
      <c r="B287" s="250"/>
      <c r="C287" s="250"/>
      <c r="D287" s="251"/>
      <c r="E287" s="251"/>
      <c r="F287" s="251"/>
      <c r="G287" s="250"/>
      <c r="H287" s="250"/>
      <c r="I287" s="251"/>
      <c r="J287" s="251"/>
      <c r="K287" s="251"/>
      <c r="L287" s="250"/>
    </row>
    <row r="288" spans="1:13" x14ac:dyDescent="0.25">
      <c r="A288" s="31" t="s">
        <v>81</v>
      </c>
      <c r="B288" s="14"/>
      <c r="C288" s="14">
        <f>SUM(C262:C285)</f>
        <v>1780</v>
      </c>
      <c r="D288" s="18"/>
      <c r="E288" s="18"/>
      <c r="F288" s="18">
        <f>SUM(F262:F285)</f>
        <v>57638.33</v>
      </c>
      <c r="G288" s="14"/>
      <c r="H288" s="14">
        <f>SUM(H262:H287)</f>
        <v>1780</v>
      </c>
      <c r="I288" s="18"/>
      <c r="J288" s="18"/>
      <c r="K288" s="18">
        <f>SUM(K262:K287)</f>
        <v>59267.799999999996</v>
      </c>
      <c r="L288" s="14"/>
    </row>
  </sheetData>
  <mergeCells count="1">
    <mergeCell ref="O22:P22"/>
  </mergeCells>
  <conditionalFormatting sqref="O23:O43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3:F177 K94:K128 K132 K141:K142 F139:F142 H139:H142 F166:F167 H166:H167 K166:K167 K150:K151 H150:H152 F150:F152">
    <cfRule type="expression" dxfId="1919" priority="107">
      <formula>F94&gt;0</formula>
    </cfRule>
    <cfRule type="expression" dxfId="1918" priority="108">
      <formula>F94&lt;0</formula>
    </cfRule>
  </conditionalFormatting>
  <conditionalFormatting sqref="F178:F191 F194:F238 F241:F242">
    <cfRule type="expression" dxfId="1917" priority="103">
      <formula>F178&gt;0</formula>
    </cfRule>
    <cfRule type="expression" dxfId="1916" priority="104">
      <formula>F178&lt;0</formula>
    </cfRule>
  </conditionalFormatting>
  <conditionalFormatting sqref="F178:F191 F194:F238 F241:F242">
    <cfRule type="expression" dxfId="1915" priority="105">
      <formula>F178&gt;0</formula>
    </cfRule>
    <cfRule type="expression" dxfId="1914" priority="106">
      <formula>F178&lt;0</formula>
    </cfRule>
  </conditionalFormatting>
  <conditionalFormatting sqref="H173:H191 H194:H238 H241:H242">
    <cfRule type="expression" dxfId="1913" priority="101">
      <formula>H173&gt;0</formula>
    </cfRule>
    <cfRule type="expression" dxfId="1912" priority="102">
      <formula>H173&lt;0</formula>
    </cfRule>
  </conditionalFormatting>
  <conditionalFormatting sqref="F169:F172">
    <cfRule type="expression" dxfId="1911" priority="95">
      <formula>F169&gt;0</formula>
    </cfRule>
    <cfRule type="expression" dxfId="1910" priority="96">
      <formula>F169&lt;0</formula>
    </cfRule>
  </conditionalFormatting>
  <conditionalFormatting sqref="H169:H172">
    <cfRule type="expression" dxfId="1909" priority="93">
      <formula>H169&gt;0</formula>
    </cfRule>
    <cfRule type="expression" dxfId="1908" priority="94">
      <formula>H169&lt;0</formula>
    </cfRule>
  </conditionalFormatting>
  <conditionalFormatting sqref="Q8">
    <cfRule type="expression" dxfId="1907" priority="89">
      <formula>Q8&gt;0</formula>
    </cfRule>
    <cfRule type="expression" dxfId="1906" priority="90">
      <formula>Q8&lt;0</formula>
    </cfRule>
  </conditionalFormatting>
  <conditionalFormatting sqref="Q7">
    <cfRule type="expression" dxfId="1905" priority="91">
      <formula>Q7&gt;0</formula>
    </cfRule>
    <cfRule type="expression" dxfId="1904" priority="92">
      <formula>Q7&lt;0</formula>
    </cfRule>
  </conditionalFormatting>
  <conditionalFormatting sqref="F192">
    <cfRule type="expression" dxfId="1903" priority="85">
      <formula>F192&gt;0</formula>
    </cfRule>
    <cfRule type="expression" dxfId="1902" priority="86">
      <formula>F192&lt;0</formula>
    </cfRule>
  </conditionalFormatting>
  <conditionalFormatting sqref="F192">
    <cfRule type="expression" dxfId="1901" priority="87">
      <formula>F192&gt;0</formula>
    </cfRule>
    <cfRule type="expression" dxfId="1900" priority="88">
      <formula>F192&lt;0</formula>
    </cfRule>
  </conditionalFormatting>
  <conditionalFormatting sqref="H192">
    <cfRule type="expression" dxfId="1899" priority="83">
      <formula>H192&gt;0</formula>
    </cfRule>
    <cfRule type="expression" dxfId="1898" priority="84">
      <formula>H192&lt;0</formula>
    </cfRule>
  </conditionalFormatting>
  <conditionalFormatting sqref="F193">
    <cfRule type="expression" dxfId="1897" priority="79">
      <formula>F193&gt;0</formula>
    </cfRule>
    <cfRule type="expression" dxfId="1896" priority="80">
      <formula>F193&lt;0</formula>
    </cfRule>
  </conditionalFormatting>
  <conditionalFormatting sqref="F193">
    <cfRule type="expression" dxfId="1895" priority="81">
      <formula>F193&gt;0</formula>
    </cfRule>
    <cfRule type="expression" dxfId="1894" priority="82">
      <formula>F193&lt;0</formula>
    </cfRule>
  </conditionalFormatting>
  <conditionalFormatting sqref="H193">
    <cfRule type="expression" dxfId="1893" priority="77">
      <formula>H193&gt;0</formula>
    </cfRule>
    <cfRule type="expression" dxfId="1892" priority="78">
      <formula>H193&lt;0</formula>
    </cfRule>
  </conditionalFormatting>
  <conditionalFormatting sqref="F239:F240">
    <cfRule type="expression" dxfId="1891" priority="73">
      <formula>F239&gt;0</formula>
    </cfRule>
    <cfRule type="expression" dxfId="1890" priority="74">
      <formula>F239&lt;0</formula>
    </cfRule>
  </conditionalFormatting>
  <conditionalFormatting sqref="F239:F240">
    <cfRule type="expression" dxfId="1889" priority="75">
      <formula>F239&gt;0</formula>
    </cfRule>
    <cfRule type="expression" dxfId="1888" priority="76">
      <formula>F239&lt;0</formula>
    </cfRule>
  </conditionalFormatting>
  <conditionalFormatting sqref="H239:H240">
    <cfRule type="expression" dxfId="1887" priority="71">
      <formula>H239&gt;0</formula>
    </cfRule>
    <cfRule type="expression" dxfId="1886" priority="72">
      <formula>H239&lt;0</formula>
    </cfRule>
  </conditionalFormatting>
  <conditionalFormatting sqref="F64:F79">
    <cfRule type="expression" dxfId="1885" priority="69">
      <formula>F64&gt;0</formula>
    </cfRule>
    <cfRule type="expression" dxfId="1884" priority="70">
      <formula>F64&lt;0</formula>
    </cfRule>
  </conditionalFormatting>
  <conditionalFormatting sqref="H64:H79">
    <cfRule type="expression" dxfId="1883" priority="67">
      <formula>H64&gt;0</formula>
    </cfRule>
    <cfRule type="expression" dxfId="1882" priority="68">
      <formula>H64&lt;0</formula>
    </cfRule>
  </conditionalFormatting>
  <conditionalFormatting sqref="Q10">
    <cfRule type="expression" dxfId="1881" priority="65">
      <formula>Q10&gt;0</formula>
    </cfRule>
    <cfRule type="expression" dxfId="1880" priority="66">
      <formula>Q10&lt;0</formula>
    </cfRule>
  </conditionalFormatting>
  <conditionalFormatting sqref="J74:K74">
    <cfRule type="expression" dxfId="1879" priority="63">
      <formula>J74&gt;0</formula>
    </cfRule>
    <cfRule type="expression" dxfId="1878" priority="64">
      <formula>J74&lt;0</formula>
    </cfRule>
  </conditionalFormatting>
  <conditionalFormatting sqref="K75">
    <cfRule type="expression" dxfId="1877" priority="61">
      <formula>K75&gt;0</formula>
    </cfRule>
    <cfRule type="expression" dxfId="1876" priority="62">
      <formula>K75&lt;0</formula>
    </cfRule>
  </conditionalFormatting>
  <conditionalFormatting sqref="K76:K89">
    <cfRule type="expression" dxfId="1875" priority="59">
      <formula>K76&gt;0</formula>
    </cfRule>
    <cfRule type="expression" dxfId="1874" priority="60">
      <formula>K76&lt;0</formula>
    </cfRule>
  </conditionalFormatting>
  <conditionalFormatting sqref="F81:F89">
    <cfRule type="expression" dxfId="1873" priority="57">
      <formula>F81&gt;0</formula>
    </cfRule>
    <cfRule type="expression" dxfId="1872" priority="58">
      <formula>F81&lt;0</formula>
    </cfRule>
  </conditionalFormatting>
  <conditionalFormatting sqref="H81:H89">
    <cfRule type="expression" dxfId="1871" priority="55">
      <formula>H81&gt;0</formula>
    </cfRule>
    <cfRule type="expression" dxfId="1870" priority="56">
      <formula>H81&lt;0</formula>
    </cfRule>
  </conditionalFormatting>
  <conditionalFormatting sqref="R4">
    <cfRule type="expression" dxfId="1869" priority="53">
      <formula>R4&gt;0</formula>
    </cfRule>
    <cfRule type="expression" dxfId="1868" priority="54">
      <formula>R4&lt;0</formula>
    </cfRule>
  </conditionalFormatting>
  <conditionalFormatting sqref="Q9">
    <cfRule type="expression" dxfId="1867" priority="51">
      <formula>Q9&gt;0</formula>
    </cfRule>
    <cfRule type="expression" dxfId="1866" priority="52">
      <formula>Q9&lt;0</formula>
    </cfRule>
  </conditionalFormatting>
  <conditionalFormatting sqref="K90:K93">
    <cfRule type="expression" dxfId="1865" priority="49">
      <formula>K90&gt;0</formula>
    </cfRule>
    <cfRule type="expression" dxfId="1864" priority="50">
      <formula>K90&lt;0</formula>
    </cfRule>
  </conditionalFormatting>
  <conditionalFormatting sqref="F90:F113">
    <cfRule type="expression" dxfId="1863" priority="47">
      <formula>F90&gt;0</formula>
    </cfRule>
    <cfRule type="expression" dxfId="1862" priority="48">
      <formula>F90&lt;0</formula>
    </cfRule>
  </conditionalFormatting>
  <conditionalFormatting sqref="H90:H113">
    <cfRule type="expression" dxfId="1861" priority="45">
      <formula>H90&gt;0</formula>
    </cfRule>
    <cfRule type="expression" dxfId="1860" priority="46">
      <formula>H90&lt;0</formula>
    </cfRule>
  </conditionalFormatting>
  <conditionalFormatting sqref="W1:W3 W5:W6">
    <cfRule type="iconSet" priority="4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99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859" priority="41">
      <formula>F114&gt;0</formula>
    </cfRule>
    <cfRule type="expression" dxfId="1858" priority="42">
      <formula>F114&lt;0</formula>
    </cfRule>
  </conditionalFormatting>
  <conditionalFormatting sqref="H114:H138">
    <cfRule type="expression" dxfId="1857" priority="39">
      <formula>H114&gt;0</formula>
    </cfRule>
    <cfRule type="expression" dxfId="1856" priority="40">
      <formula>H114&lt;0</formula>
    </cfRule>
  </conditionalFormatting>
  <conditionalFormatting sqref="K129:K131">
    <cfRule type="expression" dxfId="1855" priority="37">
      <formula>K129&gt;0</formula>
    </cfRule>
    <cfRule type="expression" dxfId="1854" priority="38">
      <formula>K129&lt;0</formula>
    </cfRule>
  </conditionalFormatting>
  <conditionalFormatting sqref="K133:K135">
    <cfRule type="expression" dxfId="1853" priority="35">
      <formula>K133&gt;0</formula>
    </cfRule>
    <cfRule type="expression" dxfId="1852" priority="36">
      <formula>K133&lt;0</formula>
    </cfRule>
  </conditionalFormatting>
  <conditionalFormatting sqref="K140">
    <cfRule type="expression" dxfId="1851" priority="31">
      <formula>K140&gt;0</formula>
    </cfRule>
    <cfRule type="expression" dxfId="1850" priority="32">
      <formula>K140&lt;0</formula>
    </cfRule>
  </conditionalFormatting>
  <conditionalFormatting sqref="K136:K138">
    <cfRule type="expression" dxfId="1849" priority="29">
      <formula>K136&gt;0</formula>
    </cfRule>
    <cfRule type="expression" dxfId="1848" priority="30">
      <formula>K136&lt;0</formula>
    </cfRule>
  </conditionalFormatting>
  <conditionalFormatting sqref="K139">
    <cfRule type="expression" dxfId="1847" priority="23">
      <formula>K139&gt;0</formula>
    </cfRule>
    <cfRule type="expression" dxfId="1846" priority="24">
      <formula>K139&lt;0</formula>
    </cfRule>
  </conditionalFormatting>
  <conditionalFormatting sqref="H148:H149 F148:F149 K148:K149">
    <cfRule type="expression" dxfId="1845" priority="21">
      <formula>F148&gt;0</formula>
    </cfRule>
    <cfRule type="expression" dxfId="1844" priority="22">
      <formula>F148&lt;0</formula>
    </cfRule>
  </conditionalFormatting>
  <conditionalFormatting sqref="H143:H147 F143:F147 K143:K147">
    <cfRule type="expression" dxfId="1843" priority="19">
      <formula>F143&gt;0</formula>
    </cfRule>
    <cfRule type="expression" dxfId="1842" priority="20">
      <formula>F143&lt;0</formula>
    </cfRule>
  </conditionalFormatting>
  <conditionalFormatting sqref="F80">
    <cfRule type="expression" dxfId="1841" priority="17">
      <formula>F80&gt;0</formula>
    </cfRule>
    <cfRule type="expression" dxfId="1840" priority="18">
      <formula>F80&lt;0</formula>
    </cfRule>
  </conditionalFormatting>
  <conditionalFormatting sqref="H80">
    <cfRule type="expression" dxfId="1839" priority="15">
      <formula>H80&gt;0</formula>
    </cfRule>
    <cfRule type="expression" dxfId="1838" priority="16">
      <formula>H80&lt;0</formula>
    </cfRule>
  </conditionalFormatting>
  <conditionalFormatting sqref="F164:F165 H164:H165 K164:K165">
    <cfRule type="expression" dxfId="1837" priority="13">
      <formula>F164&gt;0</formula>
    </cfRule>
    <cfRule type="expression" dxfId="1836" priority="14">
      <formula>F164&lt;0</formula>
    </cfRule>
  </conditionalFormatting>
  <conditionalFormatting sqref="F163 H163 K162:K163">
    <cfRule type="expression" dxfId="1835" priority="11">
      <formula>F162&gt;0</formula>
    </cfRule>
    <cfRule type="expression" dxfId="1834" priority="12">
      <formula>F162&lt;0</formula>
    </cfRule>
  </conditionalFormatting>
  <conditionalFormatting sqref="K160:K161 F160:F162 H160:H162">
    <cfRule type="expression" dxfId="1833" priority="9">
      <formula>F160&gt;0</formula>
    </cfRule>
    <cfRule type="expression" dxfId="1832" priority="10">
      <formula>F160&lt;0</formula>
    </cfRule>
  </conditionalFormatting>
  <conditionalFormatting sqref="F157:F159 H157:H159 K156:K159">
    <cfRule type="expression" dxfId="1831" priority="5">
      <formula>F156&gt;0</formula>
    </cfRule>
    <cfRule type="expression" dxfId="1830" priority="6">
      <formula>F156&lt;0</formula>
    </cfRule>
  </conditionalFormatting>
  <conditionalFormatting sqref="K154:K155 F154:F156 H154:H156">
    <cfRule type="expression" dxfId="1829" priority="3">
      <formula>F154&gt;0</formula>
    </cfRule>
    <cfRule type="expression" dxfId="1828" priority="4">
      <formula>F154&lt;0</formula>
    </cfRule>
  </conditionalFormatting>
  <conditionalFormatting sqref="F153 H153 K152:K153">
    <cfRule type="expression" dxfId="1827" priority="1">
      <formula>F152&gt;0</formula>
    </cfRule>
    <cfRule type="expression" dxfId="1826" priority="2">
      <formula>F152&lt;0</formula>
    </cfRule>
  </conditionalFormatting>
  <hyperlinks>
    <hyperlink ref="A3" location="ACTIVE!A1" display="Back"/>
    <hyperlink ref="A26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9.91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9.91</v>
      </c>
      <c r="R4" s="475">
        <v>-1.3899999999999999E-2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59" t="s">
        <v>78</v>
      </c>
      <c r="P40" s="859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10.901000000000002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10.801900000000002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10.702800000000002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10.6037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10.5046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10.4055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10.3064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10.2073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10.1082</v>
      </c>
      <c r="Q49" s="2"/>
      <c r="T49" s="91" t="s">
        <v>103</v>
      </c>
      <c r="U49" s="86" t="s">
        <v>365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10.0091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9.91</v>
      </c>
      <c r="Q51" s="2"/>
      <c r="T51" s="91" t="s">
        <v>104</v>
      </c>
      <c r="U51" s="86" t="s">
        <v>570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9.8109000000000002</v>
      </c>
      <c r="Q52" s="2"/>
      <c r="T52" s="91" t="s">
        <v>105</v>
      </c>
      <c r="U52" s="86" t="s">
        <v>382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9.7118000000000002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9.6127000000000002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9.5136000000000003</v>
      </c>
      <c r="T55" s="91" t="s">
        <v>107</v>
      </c>
      <c r="U55" s="86" t="s">
        <v>571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9.4145000000000003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9.3154000000000003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9.2163000000000004</v>
      </c>
      <c r="T58" s="91" t="s">
        <v>108</v>
      </c>
      <c r="U58" s="86" t="s">
        <v>522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9.1172000000000004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9.0181000000000004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8.9190000000000005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249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259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272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825" priority="31">
      <formula>Q7&gt;0</formula>
    </cfRule>
    <cfRule type="expression" dxfId="1824" priority="32">
      <formula>Q7&lt;0</formula>
    </cfRule>
  </conditionalFormatting>
  <conditionalFormatting sqref="Q8">
    <cfRule type="expression" dxfId="1823" priority="29">
      <formula>Q8&gt;0</formula>
    </cfRule>
    <cfRule type="expression" dxfId="1822" priority="30">
      <formula>Q8&lt;0</formula>
    </cfRule>
  </conditionalFormatting>
  <conditionalFormatting sqref="F62:F65">
    <cfRule type="expression" dxfId="1821" priority="21">
      <formula>F62&gt;0</formula>
    </cfRule>
    <cfRule type="expression" dxfId="1820" priority="22">
      <formula>F62&lt;0</formula>
    </cfRule>
  </conditionalFormatting>
  <conditionalFormatting sqref="F66:F74 F78:F98 F102:F106">
    <cfRule type="expression" dxfId="1819" priority="17">
      <formula>F66&gt;0</formula>
    </cfRule>
    <cfRule type="expression" dxfId="1818" priority="18">
      <formula>F66&lt;0</formula>
    </cfRule>
  </conditionalFormatting>
  <conditionalFormatting sqref="F66:F74 F78:F98 F102:F106">
    <cfRule type="expression" dxfId="1817" priority="19">
      <formula>F66&gt;0</formula>
    </cfRule>
    <cfRule type="expression" dxfId="1816" priority="20">
      <formula>F66&lt;0</formula>
    </cfRule>
  </conditionalFormatting>
  <conditionalFormatting sqref="H62:H74 H78:H98 H102:H106">
    <cfRule type="expression" dxfId="1815" priority="15">
      <formula>H62&gt;0</formula>
    </cfRule>
    <cfRule type="expression" dxfId="1814" priority="16">
      <formula>H62&lt;0</formula>
    </cfRule>
  </conditionalFormatting>
  <conditionalFormatting sqref="F57:F61">
    <cfRule type="expression" dxfId="1813" priority="13">
      <formula>F57&gt;0</formula>
    </cfRule>
    <cfRule type="expression" dxfId="1812" priority="14">
      <formula>F57&lt;0</formula>
    </cfRule>
  </conditionalFormatting>
  <conditionalFormatting sqref="H57:H61">
    <cfRule type="expression" dxfId="1811" priority="11">
      <formula>H57&gt;0</formula>
    </cfRule>
    <cfRule type="expression" dxfId="1810" priority="12">
      <formula>H57&lt;0</formula>
    </cfRule>
  </conditionalFormatting>
  <conditionalFormatting sqref="F75:F77">
    <cfRule type="expression" dxfId="1809" priority="7">
      <formula>F75&gt;0</formula>
    </cfRule>
    <cfRule type="expression" dxfId="1808" priority="8">
      <formula>F75&lt;0</formula>
    </cfRule>
  </conditionalFormatting>
  <conditionalFormatting sqref="F75:F77">
    <cfRule type="expression" dxfId="1807" priority="9">
      <formula>F75&gt;0</formula>
    </cfRule>
    <cfRule type="expression" dxfId="1806" priority="10">
      <formula>F75&lt;0</formula>
    </cfRule>
  </conditionalFormatting>
  <conditionalFormatting sqref="H75:H77">
    <cfRule type="expression" dxfId="1805" priority="5">
      <formula>H75&gt;0</formula>
    </cfRule>
    <cfRule type="expression" dxfId="1804" priority="6">
      <formula>H75&lt;0</formula>
    </cfRule>
  </conditionalFormatting>
  <conditionalFormatting sqref="F22:F30">
    <cfRule type="expression" dxfId="1803" priority="3">
      <formula>F22&gt;0</formula>
    </cfRule>
    <cfRule type="expression" dxfId="1802" priority="4">
      <formula>F22&lt;0</formula>
    </cfRule>
  </conditionalFormatting>
  <conditionalFormatting sqref="F99:F101">
    <cfRule type="expression" dxfId="1801" priority="1">
      <formula>F99&gt;0</formula>
    </cfRule>
    <cfRule type="expression" dxfId="1800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266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477">
        <v>43292</v>
      </c>
      <c r="C3" s="4">
        <v>50</v>
      </c>
      <c r="D3" s="3">
        <v>126.18</v>
      </c>
      <c r="E3" s="3">
        <v>0</v>
      </c>
      <c r="F3" s="3">
        <f>C3*D3+E3</f>
        <v>6309</v>
      </c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118.6816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130.75</v>
      </c>
      <c r="R4" s="475">
        <v>-3.3999999999999998E-3</v>
      </c>
      <c r="T4" s="817">
        <v>43288</v>
      </c>
      <c r="U4" s="1" t="s">
        <v>1174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6537.5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5934.08</v>
      </c>
      <c r="T6" s="1">
        <v>43298</v>
      </c>
      <c r="U6" t="s">
        <v>1196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758.19999999999982</v>
      </c>
      <c r="R7">
        <v>50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603.42000000000007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0.10168720340811045</v>
      </c>
    </row>
    <row r="10" spans="1:21" x14ac:dyDescent="0.25">
      <c r="G10" s="29"/>
      <c r="H10" s="70"/>
      <c r="O10" s="11" t="s">
        <v>205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989</v>
      </c>
      <c r="Q12" s="1"/>
    </row>
    <row r="13" spans="1:21" x14ac:dyDescent="0.25">
      <c r="G13" s="29"/>
      <c r="H13" s="70"/>
      <c r="O13" s="11" t="s">
        <v>952</v>
      </c>
      <c r="Q13" s="2">
        <f>Q4/8.12</f>
        <v>16.102216748768473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50</v>
      </c>
      <c r="I18" s="18"/>
      <c r="J18" s="18"/>
      <c r="K18" s="18">
        <f>SUM(K2:K5)</f>
        <v>6368.92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5994</v>
      </c>
      <c r="G19" s="343"/>
      <c r="H19" s="343">
        <f>SumByColor($A$19,H2:H17)</f>
        <v>50</v>
      </c>
      <c r="I19" s="343"/>
      <c r="J19" s="343"/>
      <c r="K19" s="344">
        <f>SumByColor($A$19,K2:K17)</f>
        <v>6369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 t="shared" ref="F25" si="0">C25*(E25-D25)</f>
        <v>-23.999999999999488</v>
      </c>
      <c r="G25" s="39">
        <f t="shared" ref="G25" si="1">D25*C25</f>
        <v>5994</v>
      </c>
      <c r="H25" s="222">
        <f t="shared" ref="H25" si="2"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 t="shared" ref="F27" si="3">C27*(E27-D27)</f>
        <v>374.92000000000019</v>
      </c>
      <c r="G27" s="39">
        <f t="shared" ref="G27" si="4">D27*C27</f>
        <v>5934.08</v>
      </c>
      <c r="H27" s="222">
        <f t="shared" ref="H27" si="5"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 t="shared" ref="F28" si="6">C28*(E28-D28)</f>
        <v>455.91999999999973</v>
      </c>
      <c r="G28" s="39">
        <f t="shared" ref="G28" si="7">D28*C28</f>
        <v>5934.08</v>
      </c>
      <c r="H28" s="222">
        <f t="shared" ref="H28" si="8"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 t="shared" ref="F29" si="9">C29*(E29-D29)</f>
        <v>663.41999999999928</v>
      </c>
      <c r="G29" s="39">
        <f t="shared" ref="G29" si="10">D29*C29</f>
        <v>5934.08</v>
      </c>
      <c r="H29" s="222">
        <f t="shared" ref="H29" si="11">(E29-D29)/D29</f>
        <v>0.11179829055220004</v>
      </c>
      <c r="I29" s="39"/>
      <c r="J29" s="39">
        <v>818</v>
      </c>
    </row>
    <row r="30" spans="1:13" x14ac:dyDescent="0.25">
      <c r="A30" s="4"/>
      <c r="B30" s="150"/>
      <c r="C30" s="10"/>
      <c r="D30" s="39"/>
      <c r="E30" s="39"/>
      <c r="F30" s="39"/>
      <c r="G30" s="39"/>
      <c r="H30" s="222"/>
      <c r="I30" s="39"/>
      <c r="J30" s="39"/>
    </row>
    <row r="31" spans="1:13" x14ac:dyDescent="0.25">
      <c r="A31" s="4"/>
      <c r="B31" s="150"/>
      <c r="C31" s="10"/>
      <c r="D31" s="39"/>
      <c r="E31" s="39"/>
      <c r="F31" s="39"/>
      <c r="G31" s="39"/>
      <c r="H31" s="222"/>
      <c r="I31" s="39"/>
      <c r="J31" s="39"/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59" t="s">
        <v>78</v>
      </c>
      <c r="P40" s="859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143.82500000000002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12">O42*$Q$4</f>
        <v>142.51750000000001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12"/>
        <v>141.21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12"/>
        <v>139.9025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12"/>
        <v>138.595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12"/>
        <v>137.28749999999999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12"/>
        <v>135.98000000000002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12"/>
        <v>134.67250000000001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12"/>
        <v>133.36500000000001</v>
      </c>
      <c r="Q49" s="2"/>
      <c r="T49" s="91" t="s">
        <v>103</v>
      </c>
      <c r="U49" s="127" t="s">
        <v>350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12"/>
        <v>132.0575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12"/>
        <v>130.75</v>
      </c>
      <c r="Q51" s="2"/>
      <c r="T51" s="91" t="s">
        <v>104</v>
      </c>
      <c r="U51" s="127" t="s">
        <v>572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12"/>
        <v>129.4425</v>
      </c>
      <c r="Q52" s="2"/>
      <c r="T52" s="91" t="s">
        <v>105</v>
      </c>
      <c r="U52" s="127" t="s">
        <v>573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12"/>
        <v>128.13499999999999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12"/>
        <v>126.8275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12"/>
        <v>125.52</v>
      </c>
      <c r="T55" s="91" t="s">
        <v>107</v>
      </c>
      <c r="U55" s="127" t="s">
        <v>574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12"/>
        <v>124.21249999999999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12"/>
        <v>122.90499999999999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12"/>
        <v>121.59750000000001</v>
      </c>
      <c r="T58" s="91" t="s">
        <v>108</v>
      </c>
      <c r="U58" s="127" t="s">
        <v>529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12"/>
        <v>120.29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12"/>
        <v>118.9825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12"/>
        <v>117.675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266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3">C105*(E105-D105)</f>
        <v>-5.3999999999999204</v>
      </c>
      <c r="G105" s="363">
        <f t="shared" ref="G105:G117" si="14">D105*C105</f>
        <v>2370</v>
      </c>
      <c r="H105" s="364">
        <f t="shared" ref="H105:H117" si="15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3"/>
        <v>-12.800000000000011</v>
      </c>
      <c r="G106" s="363">
        <f t="shared" si="14"/>
        <v>2370</v>
      </c>
      <c r="H106" s="364">
        <f t="shared" si="15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3"/>
        <v>8.1999999999999318</v>
      </c>
      <c r="G107" s="363">
        <f t="shared" si="14"/>
        <v>2370</v>
      </c>
      <c r="H107" s="364">
        <f t="shared" si="15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3"/>
        <v>14.799999999999898</v>
      </c>
      <c r="G108" s="363">
        <f t="shared" si="14"/>
        <v>2370</v>
      </c>
      <c r="H108" s="364">
        <f t="shared" si="15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3"/>
        <v>-101.20000000000005</v>
      </c>
      <c r="G109" s="363">
        <f t="shared" si="14"/>
        <v>2370</v>
      </c>
      <c r="H109" s="364">
        <f t="shared" si="15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3"/>
        <v>-50.200000000000102</v>
      </c>
      <c r="G110" s="363">
        <f t="shared" si="14"/>
        <v>2370</v>
      </c>
      <c r="H110" s="364">
        <f t="shared" si="15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3"/>
        <v>-87.400000000000091</v>
      </c>
      <c r="G111" s="363">
        <f t="shared" si="14"/>
        <v>2370</v>
      </c>
      <c r="H111" s="364">
        <f t="shared" si="15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3"/>
        <v>-145.79999999999998</v>
      </c>
      <c r="G112" s="363">
        <f t="shared" si="14"/>
        <v>3484.7999999999997</v>
      </c>
      <c r="H112" s="364">
        <f t="shared" si="15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3"/>
        <v>-135.80100000000016</v>
      </c>
      <c r="G113" s="363">
        <f t="shared" si="14"/>
        <v>3468.8009999999999</v>
      </c>
      <c r="H113" s="364">
        <f t="shared" si="15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3"/>
        <v>-101.48850000000024</v>
      </c>
      <c r="G114" s="363">
        <f t="shared" si="14"/>
        <v>5136.5385000000006</v>
      </c>
      <c r="H114" s="364">
        <f t="shared" si="15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354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3"/>
        <v>-62.039999999999935</v>
      </c>
      <c r="G115" s="363">
        <f t="shared" si="14"/>
        <v>3446.04</v>
      </c>
      <c r="H115" s="364">
        <f t="shared" si="15"/>
        <v>-1.8003273322422242E-2</v>
      </c>
      <c r="I115" s="363"/>
      <c r="J115" s="363"/>
      <c r="K115" s="363"/>
      <c r="L115" s="362"/>
    </row>
    <row r="116" spans="1:12" x14ac:dyDescent="0.25">
      <c r="A116" s="362" t="s">
        <v>392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3"/>
        <v>-36.839999999999833</v>
      </c>
      <c r="G116" s="363">
        <f t="shared" si="14"/>
        <v>3446.04</v>
      </c>
      <c r="H116" s="364">
        <f t="shared" si="15"/>
        <v>-1.0690531740780674E-2</v>
      </c>
      <c r="I116" s="363"/>
      <c r="J116" s="363"/>
      <c r="K116" s="363"/>
      <c r="L116" s="362"/>
    </row>
    <row r="117" spans="1:12" x14ac:dyDescent="0.25">
      <c r="A117" s="362" t="s">
        <v>409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3"/>
        <v>10.219499999999897</v>
      </c>
      <c r="G117" s="363">
        <f t="shared" si="14"/>
        <v>1718.3805</v>
      </c>
      <c r="H117" s="364">
        <f t="shared" si="15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799" priority="25">
      <formula>F30&gt;0</formula>
    </cfRule>
    <cfRule type="expression" dxfId="1798" priority="26">
      <formula>F30&lt;0</formula>
    </cfRule>
  </conditionalFormatting>
  <conditionalFormatting sqref="Q7">
    <cfRule type="expression" dxfId="1797" priority="23">
      <formula>Q7&gt;0</formula>
    </cfRule>
    <cfRule type="expression" dxfId="1796" priority="24">
      <formula>Q7&lt;0</formula>
    </cfRule>
  </conditionalFormatting>
  <conditionalFormatting sqref="Q8">
    <cfRule type="expression" dxfId="1795" priority="21">
      <formula>Q8&gt;0</formula>
    </cfRule>
    <cfRule type="expression" dxfId="1794" priority="22">
      <formula>Q8&lt;0</formula>
    </cfRule>
  </conditionalFormatting>
  <conditionalFormatting sqref="M74">
    <cfRule type="expression" dxfId="1793" priority="15">
      <formula>M74&gt;0</formula>
    </cfRule>
    <cfRule type="expression" dxfId="1792" priority="16">
      <formula>M74&lt;0</formula>
    </cfRule>
  </conditionalFormatting>
  <conditionalFormatting sqref="F113:F149 H113:H149">
    <cfRule type="expression" dxfId="1791" priority="13">
      <formula>F113&gt;0</formula>
    </cfRule>
    <cfRule type="expression" dxfId="1790" priority="14">
      <formula>F113&lt;0</formula>
    </cfRule>
  </conditionalFormatting>
  <conditionalFormatting sqref="F105:F112">
    <cfRule type="expression" dxfId="1789" priority="11">
      <formula>F105&gt;0</formula>
    </cfRule>
    <cfRule type="expression" dxfId="1788" priority="12">
      <formula>F105&lt;0</formula>
    </cfRule>
  </conditionalFormatting>
  <conditionalFormatting sqref="H105:H112">
    <cfRule type="expression" dxfId="1787" priority="9">
      <formula>H105&gt;0</formula>
    </cfRule>
    <cfRule type="expression" dxfId="1786" priority="10">
      <formula>H105&lt;0</formula>
    </cfRule>
  </conditionalFormatting>
  <conditionalFormatting sqref="Q10">
    <cfRule type="expression" dxfId="1785" priority="7">
      <formula>Q10&gt;0</formula>
    </cfRule>
    <cfRule type="expression" dxfId="1784" priority="8">
      <formula>Q10&lt;0</formula>
    </cfRule>
  </conditionalFormatting>
  <conditionalFormatting sqref="F25:F29">
    <cfRule type="expression" dxfId="1783" priority="5">
      <formula>F25&gt;0</formula>
    </cfRule>
    <cfRule type="expression" dxfId="1782" priority="6">
      <formula>F25&lt;0</formula>
    </cfRule>
  </conditionalFormatting>
  <conditionalFormatting sqref="H25:H29">
    <cfRule type="expression" dxfId="1781" priority="3">
      <formula>H25&gt;0</formula>
    </cfRule>
    <cfRule type="expression" dxfId="1780" priority="4">
      <formula>H25&lt;0</formula>
    </cfRule>
  </conditionalFormatting>
  <conditionalFormatting sqref="J26:J35">
    <cfRule type="expression" dxfId="1779" priority="1">
      <formula>J26&gt;0</formula>
    </cfRule>
    <cfRule type="expression" dxfId="1778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674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6" si="1">H2*I2-J2</f>
        <v>2379.9499999999998</v>
      </c>
      <c r="L2" s="72"/>
      <c r="M2" s="3"/>
      <c r="O2" s="11" t="s">
        <v>57</v>
      </c>
      <c r="Q2" s="228">
        <f>C29-H29</f>
        <v>45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152.44888888888914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236.52</v>
      </c>
      <c r="R4" s="495">
        <v>1.6000000000000001E-3</v>
      </c>
      <c r="T4" s="770">
        <v>43103</v>
      </c>
      <c r="U4" s="30" t="s">
        <v>1015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10643.4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6860.2000000000116</v>
      </c>
      <c r="T6" s="1">
        <v>43140</v>
      </c>
      <c r="U6" t="s">
        <v>906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4007.9699999999884</v>
      </c>
      <c r="R7">
        <v>15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3783.199999999988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206</v>
      </c>
      <c r="Q9" s="134">
        <f>IF(Q2=0, 0, Q8/Q6)</f>
        <v>0.55147080260050463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205</v>
      </c>
      <c r="P10" s="33"/>
      <c r="Q10" s="2">
        <f>M88</f>
        <v>224.77000000000044</v>
      </c>
      <c r="U10" t="s">
        <v>961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925</v>
      </c>
      <c r="Q12" s="1" t="s">
        <v>1144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952</v>
      </c>
      <c r="Q13" s="2">
        <f>Q4/(8.16*1.2)</f>
        <v>24.154411764705884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1039</v>
      </c>
      <c r="Q14" s="1">
        <v>43324</v>
      </c>
    </row>
    <row r="15" spans="1:21" x14ac:dyDescent="0.25">
      <c r="A15" t="s">
        <v>947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947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434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H17" s="176"/>
      <c r="I17" s="3"/>
      <c r="J17" s="3"/>
      <c r="K17" s="3"/>
      <c r="T17" s="1">
        <v>43257</v>
      </c>
      <c r="U17" t="s">
        <v>1014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</row>
    <row r="19" spans="1:21" ht="20.25" thickBot="1" x14ac:dyDescent="0.3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59" t="s">
        <v>78</v>
      </c>
      <c r="P19" s="859"/>
      <c r="T19" s="1">
        <v>43285</v>
      </c>
      <c r="U19" t="s">
        <v>1145</v>
      </c>
    </row>
    <row r="20" spans="1:21" ht="15.75" thickTop="1" x14ac:dyDescent="0.25">
      <c r="B20" s="434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260.17200000000003</v>
      </c>
      <c r="T20" s="1">
        <v>43288</v>
      </c>
      <c r="U20" t="s">
        <v>1171</v>
      </c>
    </row>
    <row r="21" spans="1:21" x14ac:dyDescent="0.25">
      <c r="B21" s="72">
        <v>43283</v>
      </c>
      <c r="C21" s="4">
        <v>15</v>
      </c>
      <c r="D21" s="3">
        <v>231</v>
      </c>
      <c r="E21" s="3">
        <v>0</v>
      </c>
      <c r="F21" s="3">
        <f t="shared" si="3"/>
        <v>3465</v>
      </c>
      <c r="O21" s="81">
        <v>1.0900000000000001</v>
      </c>
      <c r="P21" s="81">
        <f t="shared" ref="P21:P40" si="4">O21*$Q$4</f>
        <v>257.80680000000001</v>
      </c>
    </row>
    <row r="22" spans="1:21" x14ac:dyDescent="0.25">
      <c r="B22" s="474">
        <v>43307</v>
      </c>
      <c r="C22" s="4">
        <v>15</v>
      </c>
      <c r="D22" s="3">
        <v>252.58</v>
      </c>
      <c r="E22" s="3">
        <v>0</v>
      </c>
      <c r="F22" s="3">
        <f t="shared" si="3"/>
        <v>3788.7000000000003</v>
      </c>
      <c r="O22" s="81">
        <v>1.08</v>
      </c>
      <c r="P22" s="81">
        <f t="shared" si="4"/>
        <v>255.44160000000002</v>
      </c>
      <c r="T22" s="770">
        <v>43314</v>
      </c>
      <c r="U22" t="s">
        <v>1258</v>
      </c>
    </row>
    <row r="23" spans="1:21" x14ac:dyDescent="0.25">
      <c r="B23" s="474">
        <v>43313</v>
      </c>
      <c r="C23" s="4">
        <v>15</v>
      </c>
      <c r="D23" s="3">
        <v>241.38</v>
      </c>
      <c r="E23" s="3">
        <v>0</v>
      </c>
      <c r="F23" s="3">
        <f t="shared" si="3"/>
        <v>3620.7</v>
      </c>
      <c r="O23" s="81">
        <v>1.07</v>
      </c>
      <c r="P23" s="81">
        <f t="shared" si="4"/>
        <v>253.07640000000004</v>
      </c>
    </row>
    <row r="24" spans="1:21" x14ac:dyDescent="0.25">
      <c r="C24" s="4"/>
      <c r="O24" s="81">
        <v>1.06</v>
      </c>
      <c r="P24" s="81">
        <f t="shared" si="4"/>
        <v>250.71120000000002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248.34600000000003</v>
      </c>
    </row>
    <row r="26" spans="1:21" x14ac:dyDescent="0.25">
      <c r="O26" s="81">
        <v>1.04</v>
      </c>
      <c r="P26" s="81">
        <f t="shared" si="4"/>
        <v>245.98080000000002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243.61560000000003</v>
      </c>
    </row>
    <row r="28" spans="1:21" x14ac:dyDescent="0.25">
      <c r="O28" s="81">
        <v>1.02</v>
      </c>
      <c r="P28" s="81">
        <f t="shared" si="4"/>
        <v>241.25040000000001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340</v>
      </c>
      <c r="I29" s="18"/>
      <c r="J29" s="18"/>
      <c r="K29" s="18">
        <f>SUM(K2:K28)</f>
        <v>76157.799999999988</v>
      </c>
      <c r="L29" s="14"/>
      <c r="M29" s="18">
        <f>SUM(M2:M10)</f>
        <v>0</v>
      </c>
      <c r="O29" s="81">
        <v>1.01</v>
      </c>
      <c r="P29" s="81">
        <f t="shared" si="4"/>
        <v>238.88520000000003</v>
      </c>
    </row>
    <row r="30" spans="1:21" ht="15.75" thickBot="1" x14ac:dyDescent="0.3">
      <c r="A30" s="341" t="s">
        <v>193</v>
      </c>
      <c r="B30" s="342"/>
      <c r="C30" s="343">
        <f>SumByColor($A$30,C2:C28)</f>
        <v>340</v>
      </c>
      <c r="D30" s="343"/>
      <c r="E30" s="343"/>
      <c r="F30" s="344">
        <f>SumByColor($A$30,F2:F28)</f>
        <v>72143</v>
      </c>
      <c r="G30" s="343"/>
      <c r="H30" s="343">
        <f>SumByColor($A$30,H2:H28)</f>
        <v>340</v>
      </c>
      <c r="I30" s="343"/>
      <c r="J30" s="343"/>
      <c r="K30" s="344">
        <f>SumByColor($A$30,K2:K28)</f>
        <v>76158</v>
      </c>
      <c r="L30" s="343"/>
      <c r="M30" s="344">
        <f>SumByColor($A$30,M2:M28)</f>
        <v>0</v>
      </c>
      <c r="O30" s="81">
        <v>1</v>
      </c>
      <c r="P30" s="81">
        <f t="shared" si="4"/>
        <v>236.52</v>
      </c>
    </row>
    <row r="31" spans="1:21" x14ac:dyDescent="0.25">
      <c r="O31" s="81">
        <v>0.99</v>
      </c>
      <c r="P31" s="81">
        <f t="shared" si="4"/>
        <v>234.15479999999999</v>
      </c>
    </row>
    <row r="32" spans="1:21" x14ac:dyDescent="0.25">
      <c r="O32" s="81">
        <v>0.98</v>
      </c>
      <c r="P32" s="81">
        <f t="shared" si="4"/>
        <v>231.78960000000001</v>
      </c>
    </row>
    <row r="33" spans="1:17" x14ac:dyDescent="0.25">
      <c r="O33" s="81">
        <v>0.97</v>
      </c>
      <c r="P33" s="81">
        <f t="shared" si="4"/>
        <v>229.42439999999999</v>
      </c>
    </row>
    <row r="34" spans="1:17" x14ac:dyDescent="0.25">
      <c r="O34" s="81">
        <v>0.96</v>
      </c>
      <c r="P34" s="81">
        <f t="shared" si="4"/>
        <v>227.0592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490</v>
      </c>
      <c r="L35" s="220" t="s">
        <v>952</v>
      </c>
      <c r="O35" s="81">
        <v>0.95</v>
      </c>
      <c r="P35" s="81">
        <f t="shared" si="4"/>
        <v>224.69399999999999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222.3288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219.96360000000001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F38+$M$88</f>
        <v>1434.0700000000006</v>
      </c>
      <c r="K38" s="39"/>
      <c r="L38" s="155"/>
      <c r="O38" s="81">
        <v>0.92</v>
      </c>
      <c r="P38" s="81">
        <f t="shared" si="4"/>
        <v>217.59840000000003</v>
      </c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F39+$M$88</f>
        <v>1827.5200000000009</v>
      </c>
      <c r="K39" s="39"/>
      <c r="L39" s="155"/>
      <c r="O39" s="81">
        <v>0.91</v>
      </c>
      <c r="P39" s="81">
        <f t="shared" si="4"/>
        <v>215.23320000000001</v>
      </c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F40+$M$88</f>
        <v>1684.3200000000008</v>
      </c>
      <c r="K40" s="39"/>
      <c r="L40" s="155"/>
      <c r="O40" s="81">
        <v>0.9</v>
      </c>
      <c r="P40" s="81">
        <f t="shared" si="4"/>
        <v>212.86800000000002</v>
      </c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228">
        <v>55</v>
      </c>
      <c r="D49" s="22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228">
        <v>55</v>
      </c>
      <c r="D59" s="22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228">
        <v>55</v>
      </c>
      <c r="D66" s="22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228">
        <v>55</v>
      </c>
      <c r="D68" s="22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10">
        <v>60</v>
      </c>
      <c r="D74" s="39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8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" si="20">D77*C77</f>
        <v>-549.15</v>
      </c>
      <c r="H77" s="222">
        <f t="shared" ref="H77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8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ref="G78:G79" si="22">D78*C78</f>
        <v>3239.4989999999998</v>
      </c>
      <c r="H78" s="222">
        <f t="shared" ref="H78:H79" si="23">(E78-D78)/D78</f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8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2"/>
        <v>6860.2005000000008</v>
      </c>
      <c r="H79" s="222">
        <f t="shared" si="23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84">
        <v>43320</v>
      </c>
      <c r="C80" s="10">
        <v>45</v>
      </c>
      <c r="D80" s="39">
        <v>152.44890000000001</v>
      </c>
      <c r="E80" s="39">
        <v>236</v>
      </c>
      <c r="F80" s="39">
        <f t="shared" ref="F80" si="24">C80*(E80-D80)</f>
        <v>3759.7994999999996</v>
      </c>
      <c r="G80" s="39">
        <f t="shared" ref="G80" si="25">D80*C80</f>
        <v>6860.2005000000008</v>
      </c>
      <c r="H80" s="222">
        <f t="shared" ref="H80" si="26">(E80-D80)/D80</f>
        <v>0.54805971049971491</v>
      </c>
      <c r="I80" s="39"/>
      <c r="J80" s="39">
        <v>3985</v>
      </c>
      <c r="K80" s="39"/>
      <c r="L80" s="39"/>
    </row>
    <row r="81" spans="1:13" x14ac:dyDescent="0.25">
      <c r="A81" s="4"/>
      <c r="B81" s="184"/>
      <c r="C81" s="10"/>
      <c r="D81" s="39"/>
      <c r="E81" s="39"/>
      <c r="F81" s="39"/>
      <c r="G81" s="39"/>
      <c r="H81" s="222"/>
      <c r="I81" s="39"/>
      <c r="J81" s="39"/>
      <c r="K81" s="39"/>
      <c r="L81" s="39"/>
    </row>
    <row r="82" spans="1:13" x14ac:dyDescent="0.25">
      <c r="A82" s="4"/>
      <c r="B82" s="184"/>
      <c r="C82" s="10"/>
      <c r="D82" s="39"/>
      <c r="E82" s="39"/>
      <c r="F82" s="39"/>
      <c r="G82" s="39"/>
      <c r="H82" s="222"/>
      <c r="I82" s="39"/>
      <c r="J82" s="39"/>
      <c r="K82" s="39"/>
      <c r="L82" s="39"/>
    </row>
    <row r="83" spans="1:13" x14ac:dyDescent="0.25">
      <c r="A83" s="4"/>
      <c r="B83" s="184"/>
      <c r="C83" s="10"/>
      <c r="D83" s="39"/>
      <c r="E83" s="39"/>
      <c r="F83" s="39"/>
      <c r="G83" s="39"/>
      <c r="H83" s="222"/>
      <c r="I83" s="39"/>
      <c r="J83" s="39"/>
      <c r="K83" s="39"/>
      <c r="L83" s="39"/>
    </row>
    <row r="84" spans="1:13" x14ac:dyDescent="0.25">
      <c r="A84" s="4"/>
      <c r="B84" s="184"/>
      <c r="C84" s="10"/>
      <c r="D84" s="39"/>
      <c r="E84" s="39"/>
      <c r="F84" s="39"/>
      <c r="G84" s="39"/>
      <c r="H84" s="222"/>
      <c r="I84" s="39"/>
      <c r="J84" s="39"/>
      <c r="K84" s="39"/>
      <c r="L84" s="39"/>
    </row>
    <row r="85" spans="1:13" x14ac:dyDescent="0.25">
      <c r="A85" s="4"/>
      <c r="B85" s="184"/>
      <c r="C85" s="10"/>
      <c r="D85" s="39"/>
      <c r="E85" s="39"/>
      <c r="F85" s="39"/>
      <c r="G85" s="39"/>
      <c r="H85" s="222"/>
      <c r="I85" s="39"/>
      <c r="J85" s="39"/>
      <c r="K85" s="39"/>
      <c r="L85" s="39"/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563"/>
      <c r="B88" s="563"/>
      <c r="C88" s="563"/>
      <c r="D88" s="564"/>
      <c r="E88" s="564"/>
      <c r="F88" s="564"/>
      <c r="G88" s="563"/>
      <c r="H88" s="563"/>
      <c r="I88" s="564"/>
      <c r="J88" s="564"/>
      <c r="K88" s="564"/>
      <c r="L88" s="563" t="s">
        <v>65</v>
      </c>
      <c r="M88" s="564">
        <f>M106+K106-F106</f>
        <v>224.77000000000044</v>
      </c>
    </row>
    <row r="89" spans="1:13" x14ac:dyDescent="0.25">
      <c r="A89" s="685" t="s">
        <v>1</v>
      </c>
      <c r="B89" s="685" t="s">
        <v>2</v>
      </c>
      <c r="C89" s="685" t="s">
        <v>4</v>
      </c>
      <c r="D89" s="686" t="s">
        <v>5</v>
      </c>
      <c r="E89" s="686" t="s">
        <v>94</v>
      </c>
      <c r="F89" s="686" t="s">
        <v>60</v>
      </c>
      <c r="G89" s="685" t="s">
        <v>3</v>
      </c>
      <c r="H89" s="685" t="s">
        <v>6</v>
      </c>
      <c r="I89" s="686" t="s">
        <v>7</v>
      </c>
      <c r="J89" s="686" t="s">
        <v>95</v>
      </c>
      <c r="K89" s="686" t="s">
        <v>61</v>
      </c>
      <c r="L89" s="685" t="s">
        <v>37</v>
      </c>
      <c r="M89" s="685" t="s">
        <v>38</v>
      </c>
    </row>
    <row r="90" spans="1:13" x14ac:dyDescent="0.25">
      <c r="A90" s="687" t="s">
        <v>674</v>
      </c>
      <c r="B90" s="566">
        <v>42972</v>
      </c>
      <c r="C90" s="563">
        <v>15</v>
      </c>
      <c r="D90" s="564">
        <v>210.01</v>
      </c>
      <c r="E90" s="564">
        <v>0</v>
      </c>
      <c r="F90" s="564">
        <f>C90*D90+E90</f>
        <v>3150.1499999999996</v>
      </c>
      <c r="G90" s="566">
        <v>43005</v>
      </c>
      <c r="H90" s="563">
        <v>15</v>
      </c>
      <c r="I90" s="564">
        <v>225</v>
      </c>
      <c r="J90" s="564">
        <v>0.08</v>
      </c>
      <c r="K90" s="564">
        <f>H90*I90-J90</f>
        <v>3374.92</v>
      </c>
      <c r="L90" s="566"/>
      <c r="M90" s="564"/>
    </row>
    <row r="91" spans="1:13" x14ac:dyDescent="0.25">
      <c r="A91" s="688"/>
      <c r="B91" s="566"/>
      <c r="C91" s="563"/>
      <c r="D91" s="564"/>
      <c r="E91" s="564"/>
      <c r="F91" s="564"/>
      <c r="G91" s="566"/>
      <c r="H91" s="565"/>
      <c r="I91" s="564"/>
      <c r="J91" s="564"/>
      <c r="K91" s="564"/>
      <c r="L91" s="563"/>
      <c r="M91" s="563"/>
    </row>
    <row r="92" spans="1:13" x14ac:dyDescent="0.25">
      <c r="A92" s="563"/>
      <c r="B92" s="566"/>
      <c r="C92" s="563"/>
      <c r="D92" s="564"/>
      <c r="E92" s="564"/>
      <c r="F92" s="564"/>
      <c r="G92" s="566"/>
      <c r="H92" s="565"/>
      <c r="I92" s="564"/>
      <c r="J92" s="564"/>
      <c r="K92" s="564"/>
      <c r="L92" s="563"/>
      <c r="M92" s="563"/>
    </row>
    <row r="93" spans="1:13" x14ac:dyDescent="0.25">
      <c r="A93" s="563"/>
      <c r="B93" s="566"/>
      <c r="C93" s="563"/>
      <c r="D93" s="564"/>
      <c r="E93" s="564"/>
      <c r="F93" s="564"/>
      <c r="G93" s="563"/>
      <c r="H93" s="565"/>
      <c r="I93" s="564"/>
      <c r="J93" s="564"/>
      <c r="K93" s="564"/>
      <c r="L93" s="563"/>
      <c r="M93" s="563"/>
    </row>
    <row r="94" spans="1:13" x14ac:dyDescent="0.25">
      <c r="A94" s="563"/>
      <c r="B94" s="566"/>
      <c r="C94" s="563"/>
      <c r="D94" s="564"/>
      <c r="E94" s="564"/>
      <c r="F94" s="564"/>
      <c r="G94" s="563"/>
      <c r="H94" s="565"/>
      <c r="I94" s="564"/>
      <c r="J94" s="564"/>
      <c r="K94" s="564"/>
      <c r="L94" s="563"/>
      <c r="M94" s="563"/>
    </row>
    <row r="95" spans="1:13" x14ac:dyDescent="0.25">
      <c r="A95" s="563"/>
      <c r="B95" s="563"/>
      <c r="C95" s="563"/>
      <c r="D95" s="564"/>
      <c r="E95" s="564"/>
      <c r="F95" s="564"/>
      <c r="G95" s="563"/>
      <c r="H95" s="565"/>
      <c r="I95" s="564"/>
      <c r="J95" s="564"/>
      <c r="K95" s="564"/>
      <c r="L95" s="563"/>
      <c r="M95" s="563"/>
    </row>
    <row r="96" spans="1:13" x14ac:dyDescent="0.25">
      <c r="A96" s="563"/>
      <c r="B96" s="563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3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5"/>
      <c r="I101" s="564"/>
      <c r="J101" s="564"/>
      <c r="K101" s="564"/>
      <c r="L101" s="563"/>
      <c r="M101" s="563"/>
    </row>
    <row r="102" spans="1:13" x14ac:dyDescent="0.25">
      <c r="A102" s="563"/>
      <c r="B102" s="563"/>
      <c r="C102" s="563"/>
      <c r="D102" s="564"/>
      <c r="E102" s="564"/>
      <c r="F102" s="564"/>
      <c r="G102" s="563"/>
      <c r="H102" s="565"/>
      <c r="I102" s="564"/>
      <c r="J102" s="564"/>
      <c r="K102" s="564"/>
      <c r="L102" s="563"/>
      <c r="M102" s="563"/>
    </row>
    <row r="103" spans="1:13" x14ac:dyDescent="0.25">
      <c r="A103" s="563"/>
      <c r="B103" s="563"/>
      <c r="C103" s="563"/>
      <c r="D103" s="564"/>
      <c r="E103" s="564"/>
      <c r="F103" s="564"/>
      <c r="G103" s="563"/>
      <c r="H103" s="565"/>
      <c r="I103" s="564"/>
      <c r="J103" s="564"/>
      <c r="K103" s="564"/>
      <c r="L103" s="563"/>
      <c r="M103" s="563"/>
    </row>
    <row r="104" spans="1:13" x14ac:dyDescent="0.25">
      <c r="A104" s="563"/>
      <c r="B104" s="563"/>
      <c r="C104" s="563"/>
      <c r="D104" s="564"/>
      <c r="E104" s="564"/>
      <c r="F104" s="564"/>
      <c r="G104" s="563"/>
      <c r="H104" s="565"/>
      <c r="I104" s="564"/>
      <c r="J104" s="564"/>
      <c r="K104" s="564"/>
      <c r="L104" s="563"/>
      <c r="M104" s="563"/>
    </row>
    <row r="105" spans="1:13" x14ac:dyDescent="0.25">
      <c r="A105" s="563"/>
      <c r="B105" s="563"/>
      <c r="C105" s="563"/>
      <c r="D105" s="564"/>
      <c r="E105" s="564"/>
      <c r="F105" s="564"/>
      <c r="G105" s="563"/>
      <c r="H105" s="563"/>
      <c r="I105" s="564"/>
      <c r="J105" s="564"/>
      <c r="K105" s="564"/>
      <c r="L105" s="563"/>
      <c r="M105" s="563"/>
    </row>
    <row r="106" spans="1:13" x14ac:dyDescent="0.25">
      <c r="A106" s="689" t="s">
        <v>81</v>
      </c>
      <c r="B106" s="690"/>
      <c r="C106" s="690">
        <f>SUM(C90:C94)</f>
        <v>15</v>
      </c>
      <c r="D106" s="691"/>
      <c r="E106" s="691"/>
      <c r="F106" s="691">
        <f>SUM(F90:F94)</f>
        <v>3150.1499999999996</v>
      </c>
      <c r="G106" s="690"/>
      <c r="H106" s="692">
        <f>SUM(H90:H93)</f>
        <v>15</v>
      </c>
      <c r="I106" s="691"/>
      <c r="J106" s="691"/>
      <c r="K106" s="691">
        <f>SUM(K90:K93)</f>
        <v>3374.92</v>
      </c>
      <c r="L106" s="690"/>
      <c r="M106" s="691">
        <f>SUM(M90:M98)</f>
        <v>0</v>
      </c>
    </row>
    <row r="107" spans="1:13" ht="15.75" thickBot="1" x14ac:dyDescent="0.3">
      <c r="A107" s="693" t="s">
        <v>193</v>
      </c>
      <c r="B107" s="725"/>
      <c r="C107" s="694">
        <f>SumByColor($A$30,C90:C105)</f>
        <v>0</v>
      </c>
      <c r="D107" s="694"/>
      <c r="E107" s="694"/>
      <c r="F107" s="695">
        <f>SumByColor($A$30,F90:F105)</f>
        <v>0</v>
      </c>
      <c r="G107" s="694"/>
      <c r="H107" s="694">
        <f>SumByColor($A$30,H90:H105)</f>
        <v>0</v>
      </c>
      <c r="I107" s="694"/>
      <c r="J107" s="694"/>
      <c r="K107" s="695">
        <f>SumByColor($A$30,K91:K105)</f>
        <v>0</v>
      </c>
      <c r="L107" s="694"/>
      <c r="M107" s="695">
        <f>SumByColor($A$30,M90:M105)</f>
        <v>0</v>
      </c>
    </row>
    <row r="110" spans="1:13" x14ac:dyDescent="0.25">
      <c r="B110" s="182" t="s">
        <v>113</v>
      </c>
      <c r="C110" s="182" t="s">
        <v>146</v>
      </c>
      <c r="D110" s="183" t="s">
        <v>145</v>
      </c>
      <c r="E110" s="185" t="s">
        <v>147</v>
      </c>
      <c r="F110" s="185" t="s">
        <v>65</v>
      </c>
      <c r="G110" s="220" t="s">
        <v>151</v>
      </c>
      <c r="H110" s="220" t="s">
        <v>88</v>
      </c>
      <c r="I110" s="220" t="s">
        <v>154</v>
      </c>
      <c r="J110" s="220" t="s">
        <v>150</v>
      </c>
      <c r="K110" s="220" t="s">
        <v>649</v>
      </c>
      <c r="L110" s="220" t="s">
        <v>655</v>
      </c>
    </row>
    <row r="111" spans="1:13" x14ac:dyDescent="0.25">
      <c r="B111" s="184">
        <v>42972</v>
      </c>
      <c r="C111" s="10">
        <v>15</v>
      </c>
      <c r="D111" s="39">
        <v>210.01</v>
      </c>
      <c r="E111" s="39">
        <v>212.36</v>
      </c>
      <c r="F111" s="39">
        <f>C111*(E111-D111)</f>
        <v>35.250000000000341</v>
      </c>
      <c r="G111" s="39">
        <f>D111*C111</f>
        <v>3150.1499999999996</v>
      </c>
      <c r="H111" s="222">
        <f>(E111-D111)/D111</f>
        <v>1.1189943336031726E-2</v>
      </c>
      <c r="I111" s="39"/>
      <c r="J111" s="39"/>
      <c r="K111" s="39"/>
      <c r="L111" s="39"/>
    </row>
    <row r="112" spans="1:13" x14ac:dyDescent="0.25">
      <c r="B112" s="184">
        <v>42983</v>
      </c>
      <c r="C112" s="10">
        <v>15</v>
      </c>
      <c r="D112" s="39">
        <v>210.01</v>
      </c>
      <c r="E112" s="39">
        <v>223.9</v>
      </c>
      <c r="F112" s="39">
        <f>C112*(E112-D112)</f>
        <v>208.35000000000022</v>
      </c>
      <c r="G112" s="39">
        <f>D112*C112</f>
        <v>3150.1499999999996</v>
      </c>
      <c r="H112" s="222">
        <f>(E112-D112)/D112</f>
        <v>6.6139707632969932E-2</v>
      </c>
      <c r="I112" s="39"/>
      <c r="J112" s="39"/>
      <c r="K112" s="39"/>
      <c r="L112" s="39"/>
    </row>
    <row r="113" spans="2:12" x14ac:dyDescent="0.25">
      <c r="B113" s="184">
        <v>43005</v>
      </c>
      <c r="C113" s="10">
        <v>0</v>
      </c>
      <c r="D113" s="39"/>
      <c r="E113" s="39"/>
      <c r="F113" s="39">
        <v>224.77</v>
      </c>
      <c r="G113" s="39"/>
      <c r="H113" s="222"/>
      <c r="I113" s="39"/>
      <c r="J113" s="39"/>
      <c r="K113" s="39"/>
      <c r="L113" s="155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155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155"/>
    </row>
    <row r="116" spans="2:12" x14ac:dyDescent="0.25">
      <c r="B116" s="184"/>
      <c r="C116" s="10"/>
      <c r="D116" s="39"/>
      <c r="E116" s="39"/>
      <c r="F116" s="39"/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155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155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155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155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39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39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39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</sheetData>
  <mergeCells count="1">
    <mergeCell ref="O19:P19"/>
  </mergeCells>
  <conditionalFormatting sqref="O20:O40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F83:F86 H83:H86 J83:J86">
    <cfRule type="expression" dxfId="1777" priority="45">
      <formula>F7&gt;0</formula>
    </cfRule>
    <cfRule type="expression" dxfId="1776" priority="46">
      <formula>F7&lt;0</formula>
    </cfRule>
  </conditionalFormatting>
  <conditionalFormatting sqref="Q8">
    <cfRule type="expression" dxfId="1775" priority="43">
      <formula>Q8&gt;0</formula>
    </cfRule>
    <cfRule type="expression" dxfId="1774" priority="44">
      <formula>Q8&lt;0</formula>
    </cfRule>
  </conditionalFormatting>
  <conditionalFormatting sqref="F41:F60">
    <cfRule type="expression" dxfId="1773" priority="41">
      <formula>F41&gt;0</formula>
    </cfRule>
    <cfRule type="expression" dxfId="1772" priority="42">
      <formula>F41&lt;0</formula>
    </cfRule>
  </conditionalFormatting>
  <conditionalFormatting sqref="H41:H60">
    <cfRule type="expression" dxfId="1771" priority="39">
      <formula>H41&gt;0</formula>
    </cfRule>
    <cfRule type="expression" dxfId="1770" priority="40">
      <formula>H41&lt;0</formula>
    </cfRule>
  </conditionalFormatting>
  <conditionalFormatting sqref="Q10">
    <cfRule type="expression" dxfId="1769" priority="33">
      <formula>Q10&gt;0</formula>
    </cfRule>
    <cfRule type="expression" dxfId="1768" priority="34">
      <formula>Q10&lt;0</formula>
    </cfRule>
  </conditionalFormatting>
  <conditionalFormatting sqref="J36:J60">
    <cfRule type="expression" dxfId="1767" priority="31">
      <formula>J36&gt;0</formula>
    </cfRule>
    <cfRule type="expression" dxfId="1766" priority="32">
      <formula>J36&lt;0</formula>
    </cfRule>
  </conditionalFormatting>
  <conditionalFormatting sqref="K36:K49">
    <cfRule type="expression" dxfId="1765" priority="29">
      <formula>K36&gt;0</formula>
    </cfRule>
    <cfRule type="expression" dxfId="1764" priority="30">
      <formula>K36&lt;0</formula>
    </cfRule>
  </conditionalFormatting>
  <conditionalFormatting sqref="L36:L49">
    <cfRule type="expression" dxfId="1763" priority="27">
      <formula>L36&gt;0</formula>
    </cfRule>
    <cfRule type="expression" dxfId="1762" priority="28">
      <formula>L36&lt;0</formula>
    </cfRule>
  </conditionalFormatting>
  <conditionalFormatting sqref="F111:F132">
    <cfRule type="expression" dxfId="1761" priority="25">
      <formula>F111&gt;0</formula>
    </cfRule>
    <cfRule type="expression" dxfId="1760" priority="26">
      <formula>F111&lt;0</formula>
    </cfRule>
  </conditionalFormatting>
  <conditionalFormatting sqref="H111:H132">
    <cfRule type="expression" dxfId="1759" priority="23">
      <formula>H111&gt;0</formula>
    </cfRule>
    <cfRule type="expression" dxfId="1758" priority="24">
      <formula>H111&lt;0</formula>
    </cfRule>
  </conditionalFormatting>
  <conditionalFormatting sqref="J111:J124">
    <cfRule type="expression" dxfId="1757" priority="21">
      <formula>J111&gt;0</formula>
    </cfRule>
    <cfRule type="expression" dxfId="1756" priority="22">
      <formula>J111&lt;0</formula>
    </cfRule>
  </conditionalFormatting>
  <conditionalFormatting sqref="K111:K124">
    <cfRule type="expression" dxfId="1755" priority="19">
      <formula>K111&gt;0</formula>
    </cfRule>
    <cfRule type="expression" dxfId="1754" priority="20">
      <formula>K111&lt;0</formula>
    </cfRule>
  </conditionalFormatting>
  <conditionalFormatting sqref="L111:L124">
    <cfRule type="expression" dxfId="1753" priority="17">
      <formula>L111&gt;0</formula>
    </cfRule>
    <cfRule type="expression" dxfId="1752" priority="18">
      <formula>L111&lt;0</formula>
    </cfRule>
  </conditionalFormatting>
  <conditionalFormatting sqref="F36:F40">
    <cfRule type="expression" dxfId="1751" priority="15">
      <formula>F36&gt;0</formula>
    </cfRule>
    <cfRule type="expression" dxfId="1750" priority="16">
      <formula>F36&lt;0</formula>
    </cfRule>
  </conditionalFormatting>
  <conditionalFormatting sqref="H36:H40">
    <cfRule type="expression" dxfId="1749" priority="13">
      <formula>H36&gt;0</formula>
    </cfRule>
    <cfRule type="expression" dxfId="1748" priority="14">
      <formula>H36&lt;0</formula>
    </cfRule>
  </conditionalFormatting>
  <conditionalFormatting sqref="F61:F62">
    <cfRule type="expression" dxfId="1747" priority="11">
      <formula>F61&gt;0</formula>
    </cfRule>
    <cfRule type="expression" dxfId="1746" priority="12">
      <formula>F61&lt;0</formula>
    </cfRule>
  </conditionalFormatting>
  <conditionalFormatting sqref="H61:H62">
    <cfRule type="expression" dxfId="1745" priority="9">
      <formula>H61&gt;0</formula>
    </cfRule>
    <cfRule type="expression" dxfId="1744" priority="10">
      <formula>H61&lt;0</formula>
    </cfRule>
  </conditionalFormatting>
  <conditionalFormatting sqref="J61:J62">
    <cfRule type="expression" dxfId="1743" priority="7">
      <formula>J61&gt;0</formula>
    </cfRule>
    <cfRule type="expression" dxfId="1742" priority="8">
      <formula>J61&lt;0</formula>
    </cfRule>
  </conditionalFormatting>
  <conditionalFormatting sqref="J74:J75 H74:H75 F74:F75">
    <cfRule type="expression" dxfId="1741" priority="5">
      <formula>F74&gt;0</formula>
    </cfRule>
    <cfRule type="expression" dxfId="1740" priority="6">
      <formula>F74&lt;0</formula>
    </cfRule>
  </conditionalFormatting>
  <conditionalFormatting sqref="F79:F82 H79:H82 J79:J82">
    <cfRule type="expression" dxfId="1739" priority="1">
      <formula>F79&gt;0</formula>
    </cfRule>
    <cfRule type="expression" dxfId="1738" priority="2">
      <formula>F79&lt;0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807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0</v>
      </c>
      <c r="T2" s="1">
        <v>43119</v>
      </c>
      <c r="U2" t="s">
        <v>882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101.08</v>
      </c>
      <c r="T3" s="1"/>
      <c r="U3" t="s">
        <v>883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101.08</v>
      </c>
      <c r="R4" s="495">
        <v>-1.1999999999999999E-3</v>
      </c>
      <c r="T4" s="1"/>
      <c r="U4" t="s">
        <v>884</v>
      </c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U6" t="s">
        <v>885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604.30000000000109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604.30000000000109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">
        <v>43203</v>
      </c>
      <c r="U9" t="s">
        <v>983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982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6.7273446774831821E-3</v>
      </c>
      <c r="R11">
        <v>0.17</v>
      </c>
      <c r="W11" s="134"/>
    </row>
    <row r="12" spans="1:23" x14ac:dyDescent="0.25">
      <c r="H12" s="70"/>
      <c r="O12" s="11" t="s">
        <v>974</v>
      </c>
      <c r="Q12" s="1" t="s">
        <v>1100</v>
      </c>
      <c r="W12" s="134"/>
    </row>
    <row r="13" spans="1:23" x14ac:dyDescent="0.25">
      <c r="H13" s="70"/>
      <c r="O13" s="11" t="s">
        <v>952</v>
      </c>
      <c r="Q13">
        <f>Q4/4.75</f>
        <v>21.28</v>
      </c>
      <c r="W13" s="134"/>
    </row>
    <row r="14" spans="1:23" x14ac:dyDescent="0.25">
      <c r="H14" s="70"/>
      <c r="T14" s="1">
        <v>43294</v>
      </c>
      <c r="U14" t="s">
        <v>1177</v>
      </c>
      <c r="W14" s="134"/>
    </row>
    <row r="15" spans="1:23" ht="20.25" thickBot="1" x14ac:dyDescent="0.35">
      <c r="H15" s="70"/>
      <c r="O15" s="859" t="s">
        <v>78</v>
      </c>
      <c r="P15" s="859"/>
      <c r="W15" s="134"/>
    </row>
    <row r="16" spans="1:23" ht="15.75" thickTop="1" x14ac:dyDescent="0.25">
      <c r="H16" s="70"/>
      <c r="O16" s="81">
        <v>1.1000000000000001</v>
      </c>
      <c r="P16" s="81">
        <f>O16*$Q$4</f>
        <v>111.188</v>
      </c>
      <c r="W16" s="134"/>
    </row>
    <row r="17" spans="1:23" x14ac:dyDescent="0.25">
      <c r="O17" s="81">
        <v>1.0900000000000001</v>
      </c>
      <c r="P17" s="81">
        <f t="shared" ref="P17:P36" si="0">O17*$Q$4</f>
        <v>110.1772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1">
        <v>1.08</v>
      </c>
      <c r="P18" s="81">
        <f t="shared" si="0"/>
        <v>109.16640000000001</v>
      </c>
      <c r="W18" s="134"/>
    </row>
    <row r="19" spans="1:23" ht="15.75" thickBot="1" x14ac:dyDescent="0.3">
      <c r="A19" s="341" t="s">
        <v>193</v>
      </c>
      <c r="B19" s="342"/>
      <c r="C19" s="343">
        <f>SumByColor($A$19,C3:C17)</f>
        <v>60</v>
      </c>
      <c r="D19" s="343"/>
      <c r="E19" s="343"/>
      <c r="F19" s="344">
        <f>SumByColor($A$19,F3:F17)</f>
        <v>5526</v>
      </c>
      <c r="G19" s="343"/>
      <c r="H19" s="343">
        <f>SumByColor($A$19,H2:H17)</f>
        <v>90</v>
      </c>
      <c r="I19" s="343"/>
      <c r="J19" s="343"/>
      <c r="K19" s="344">
        <f>SumByColor($A$19,K3:K17)</f>
        <v>5946</v>
      </c>
      <c r="L19" s="343"/>
      <c r="M19" s="344">
        <f>SumByColor($A$19,M2:M17)</f>
        <v>15</v>
      </c>
      <c r="O19" s="81">
        <v>1.07</v>
      </c>
      <c r="P19" s="81">
        <f t="shared" si="0"/>
        <v>108.15560000000001</v>
      </c>
      <c r="W19" s="134"/>
    </row>
    <row r="20" spans="1:23" x14ac:dyDescent="0.25">
      <c r="O20" s="81">
        <v>1.06</v>
      </c>
      <c r="P20" s="81">
        <f t="shared" si="0"/>
        <v>107.1448</v>
      </c>
      <c r="W20" s="134"/>
    </row>
    <row r="21" spans="1:23" x14ac:dyDescent="0.25">
      <c r="O21" s="81">
        <v>1.05</v>
      </c>
      <c r="P21" s="81">
        <f t="shared" si="0"/>
        <v>106.134</v>
      </c>
      <c r="W21" s="134"/>
    </row>
    <row r="22" spans="1:23" x14ac:dyDescent="0.25">
      <c r="O22" s="81">
        <v>1.04</v>
      </c>
      <c r="P22" s="81">
        <f t="shared" si="0"/>
        <v>105.1232</v>
      </c>
      <c r="W22" s="134"/>
    </row>
    <row r="23" spans="1:23" x14ac:dyDescent="0.25">
      <c r="O23" s="81">
        <v>1.03</v>
      </c>
      <c r="P23" s="81">
        <f t="shared" si="0"/>
        <v>104.11239999999999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O24" s="81">
        <v>1.02</v>
      </c>
      <c r="P24" s="81">
        <f t="shared" si="0"/>
        <v>103.1016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6" si="2">D25*C25</f>
        <v>2555.4</v>
      </c>
      <c r="H25" s="222">
        <f t="shared" ref="H25:H36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102.0908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</v>
      </c>
      <c r="P26" s="81">
        <f t="shared" si="0"/>
        <v>101.08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100.0692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0.98</v>
      </c>
      <c r="P28" s="81">
        <f t="shared" si="0"/>
        <v>99.058399999999992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98.047600000000003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0.96</v>
      </c>
      <c r="P30" s="81">
        <f t="shared" si="0"/>
        <v>97.036799999999999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0.95</v>
      </c>
      <c r="P31" s="81">
        <f t="shared" si="0"/>
        <v>96.025999999999996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0.94</v>
      </c>
      <c r="P32" s="81">
        <f t="shared" si="0"/>
        <v>95.015199999999993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0.93</v>
      </c>
      <c r="P33" s="81">
        <f t="shared" si="0"/>
        <v>94.004400000000004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92.993600000000001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0.91</v>
      </c>
      <c r="P35" s="81">
        <f t="shared" si="0"/>
        <v>91.982799999999997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</v>
      </c>
      <c r="P36" s="81">
        <f t="shared" si="0"/>
        <v>90.971999999999994</v>
      </c>
      <c r="W36" s="134"/>
    </row>
    <row r="37" spans="1:23" x14ac:dyDescent="0.25">
      <c r="B37" s="184">
        <v>43236</v>
      </c>
      <c r="C37" s="10">
        <v>0</v>
      </c>
      <c r="D37" s="39"/>
      <c r="E37" s="39">
        <v>99.12</v>
      </c>
      <c r="F37" s="39">
        <v>604.29999999999995</v>
      </c>
      <c r="G37" s="39"/>
      <c r="H37" s="222"/>
      <c r="I37" s="39"/>
      <c r="J37" s="39"/>
      <c r="K37" s="39"/>
      <c r="L37" s="39">
        <v>20.87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807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737" priority="21">
      <formula>F47&gt;0</formula>
    </cfRule>
    <cfRule type="expression" dxfId="1736" priority="22">
      <formula>F47&lt;0</formula>
    </cfRule>
  </conditionalFormatting>
  <conditionalFormatting sqref="Q7">
    <cfRule type="expression" dxfId="1735" priority="19">
      <formula>Q7&gt;0</formula>
    </cfRule>
    <cfRule type="expression" dxfId="1734" priority="20">
      <formula>Q7&lt;0</formula>
    </cfRule>
  </conditionalFormatting>
  <conditionalFormatting sqref="Q8">
    <cfRule type="expression" dxfId="1733" priority="17">
      <formula>Q8&gt;0</formula>
    </cfRule>
    <cfRule type="expression" dxfId="1732" priority="18">
      <formula>Q8&lt;0</formula>
    </cfRule>
  </conditionalFormatting>
  <conditionalFormatting sqref="F25:F46">
    <cfRule type="expression" dxfId="1731" priority="15">
      <formula>F25&gt;0</formula>
    </cfRule>
    <cfRule type="expression" dxfId="1730" priority="16">
      <formula>F25&lt;0</formula>
    </cfRule>
  </conditionalFormatting>
  <conditionalFormatting sqref="H25:H46">
    <cfRule type="expression" dxfId="1729" priority="13">
      <formula>H25&gt;0</formula>
    </cfRule>
    <cfRule type="expression" dxfId="1728" priority="14">
      <formula>H25&lt;0</formula>
    </cfRule>
  </conditionalFormatting>
  <conditionalFormatting sqref="F89:F110">
    <cfRule type="expression" dxfId="1727" priority="11">
      <formula>F89&gt;0</formula>
    </cfRule>
    <cfRule type="expression" dxfId="1726" priority="12">
      <formula>F89&lt;0</formula>
    </cfRule>
  </conditionalFormatting>
  <conditionalFormatting sqref="H89:H110">
    <cfRule type="expression" dxfId="1725" priority="9">
      <formula>H89&gt;0</formula>
    </cfRule>
    <cfRule type="expression" dxfId="1724" priority="10">
      <formula>H89&lt;0</formula>
    </cfRule>
  </conditionalFormatting>
  <conditionalFormatting sqref="Q10">
    <cfRule type="expression" dxfId="1723" priority="7">
      <formula>Q10&gt;0</formula>
    </cfRule>
    <cfRule type="expression" dxfId="1722" priority="8">
      <formula>Q10&lt;0</formula>
    </cfRule>
  </conditionalFormatting>
  <conditionalFormatting sqref="J25:J38">
    <cfRule type="expression" dxfId="1721" priority="5">
      <formula>J25&gt;0</formula>
    </cfRule>
    <cfRule type="expression" dxfId="1720" priority="6">
      <formula>J25&lt;0</formula>
    </cfRule>
  </conditionalFormatting>
  <conditionalFormatting sqref="K25:K38">
    <cfRule type="expression" dxfId="1719" priority="3">
      <formula>K25&gt;0</formula>
    </cfRule>
    <cfRule type="expression" dxfId="1718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659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805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0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0</v>
      </c>
      <c r="R4" s="495">
        <v>0</v>
      </c>
      <c r="T4" s="29">
        <v>42738</v>
      </c>
      <c r="U4" t="s">
        <v>804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831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837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206</v>
      </c>
      <c r="Q9" s="134">
        <f>IF(Q2=0, 0, Q8/Q6)</f>
        <v>0</v>
      </c>
      <c r="T9" s="29">
        <v>43114</v>
      </c>
      <c r="U9" t="s">
        <v>858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205</v>
      </c>
      <c r="P10" s="33"/>
      <c r="Q10" s="2">
        <f>M70</f>
        <v>0</v>
      </c>
      <c r="U10" t="s">
        <v>859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974</v>
      </c>
      <c r="Q12" s="29"/>
      <c r="T12" s="29">
        <v>43193</v>
      </c>
      <c r="U12" t="s">
        <v>945</v>
      </c>
    </row>
    <row r="13" spans="1:21" x14ac:dyDescent="0.25">
      <c r="C13" s="4"/>
      <c r="D13" s="3"/>
      <c r="E13" s="3"/>
      <c r="F13" s="3"/>
      <c r="H13" s="70"/>
      <c r="O13" s="11" t="s">
        <v>952</v>
      </c>
      <c r="Q13">
        <f>Q4/6.69</f>
        <v>0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59" t="s">
        <v>78</v>
      </c>
      <c r="P17" s="859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0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0</v>
      </c>
      <c r="Q19" s="2"/>
    </row>
    <row r="20" spans="1:17" x14ac:dyDescent="0.25">
      <c r="O20" s="81">
        <v>1.08</v>
      </c>
      <c r="P20" s="81">
        <f t="shared" si="2"/>
        <v>0</v>
      </c>
      <c r="Q20" s="2"/>
    </row>
    <row r="21" spans="1:17" x14ac:dyDescent="0.25">
      <c r="O21" s="81">
        <v>1.07</v>
      </c>
      <c r="P21" s="81">
        <f t="shared" si="2"/>
        <v>0</v>
      </c>
      <c r="Q21" s="2"/>
    </row>
    <row r="22" spans="1:17" x14ac:dyDescent="0.25">
      <c r="O22" s="81">
        <v>1.06</v>
      </c>
      <c r="P22" s="81">
        <f t="shared" si="2"/>
        <v>0</v>
      </c>
      <c r="Q22" s="2"/>
    </row>
    <row r="23" spans="1:17" x14ac:dyDescent="0.25">
      <c r="O23" s="81">
        <v>1.05</v>
      </c>
      <c r="P23" s="81">
        <f t="shared" si="2"/>
        <v>0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M24" s="220" t="s">
        <v>70</v>
      </c>
      <c r="O24" s="81">
        <v>1.04</v>
      </c>
      <c r="P24" s="81">
        <f t="shared" si="2"/>
        <v>0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0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0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0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0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0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0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0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0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0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0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0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0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0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0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836</v>
      </c>
      <c r="J47" s="39"/>
      <c r="K47" s="39"/>
      <c r="L47" s="39">
        <v>74.34</v>
      </c>
      <c r="M47" s="39" t="s">
        <v>857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919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950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717" priority="25">
      <formula>F7&gt;0</formula>
    </cfRule>
    <cfRule type="expression" dxfId="1716" priority="26">
      <formula>F7&lt;0</formula>
    </cfRule>
  </conditionalFormatting>
  <conditionalFormatting sqref="Q8">
    <cfRule type="expression" dxfId="1715" priority="23">
      <formula>Q8&gt;0</formula>
    </cfRule>
    <cfRule type="expression" dxfId="1714" priority="24">
      <formula>Q8&lt;0</formula>
    </cfRule>
  </conditionalFormatting>
  <conditionalFormatting sqref="F93:F114">
    <cfRule type="expression" dxfId="1713" priority="17">
      <formula>F93&gt;0</formula>
    </cfRule>
    <cfRule type="expression" dxfId="1712" priority="18">
      <formula>F93&lt;0</formula>
    </cfRule>
  </conditionalFormatting>
  <conditionalFormatting sqref="H93:H114">
    <cfRule type="expression" dxfId="1711" priority="15">
      <formula>H93&gt;0</formula>
    </cfRule>
    <cfRule type="expression" dxfId="1710" priority="16">
      <formula>H93&lt;0</formula>
    </cfRule>
  </conditionalFormatting>
  <conditionalFormatting sqref="Q10">
    <cfRule type="expression" dxfId="1709" priority="13">
      <formula>Q10&gt;0</formula>
    </cfRule>
    <cfRule type="expression" dxfId="1708" priority="14">
      <formula>Q10&lt;0</formula>
    </cfRule>
  </conditionalFormatting>
  <conditionalFormatting sqref="J25:J38">
    <cfRule type="expression" dxfId="1707" priority="11">
      <formula>J25&gt;0</formula>
    </cfRule>
    <cfRule type="expression" dxfId="1706" priority="12">
      <formula>J25&lt;0</formula>
    </cfRule>
  </conditionalFormatting>
  <conditionalFormatting sqref="K25:K38">
    <cfRule type="expression" dxfId="1705" priority="9">
      <formula>K25&gt;0</formula>
    </cfRule>
    <cfRule type="expression" dxfId="1704" priority="10">
      <formula>K25&lt;0</formula>
    </cfRule>
  </conditionalFormatting>
  <conditionalFormatting sqref="L25:L34">
    <cfRule type="expression" dxfId="1703" priority="7">
      <formula>L25&gt;0</formula>
    </cfRule>
    <cfRule type="expression" dxfId="1702" priority="8">
      <formula>L25&lt;0</formula>
    </cfRule>
  </conditionalFormatting>
  <conditionalFormatting sqref="J43">
    <cfRule type="expression" dxfId="1701" priority="5">
      <formula>J43&gt;0</formula>
    </cfRule>
    <cfRule type="expression" dxfId="1700" priority="6">
      <formula>J43&lt;0</formula>
    </cfRule>
  </conditionalFormatting>
  <conditionalFormatting sqref="M25:M34">
    <cfRule type="expression" dxfId="1699" priority="3">
      <formula>M25&gt;0</formula>
    </cfRule>
    <cfRule type="expression" dxfId="1698" priority="4">
      <formula>M25&lt;0</formula>
    </cfRule>
  </conditionalFormatting>
  <conditionalFormatting sqref="H61:H64 F61:F64">
    <cfRule type="expression" dxfId="1697" priority="1">
      <formula>F61&gt;0</formula>
    </cfRule>
    <cfRule type="expression" dxfId="1696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:F7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>H2*I2-J2</f>
        <v>3179.96</v>
      </c>
      <c r="L2" s="72">
        <v>43216</v>
      </c>
      <c r="M2" s="43">
        <v>28.5</v>
      </c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72">
        <v>43178</v>
      </c>
      <c r="C3" s="4">
        <v>50</v>
      </c>
      <c r="D3" s="3">
        <v>35.380000000000003</v>
      </c>
      <c r="E3" s="3">
        <v>0</v>
      </c>
      <c r="F3" s="3">
        <f t="shared" si="0"/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>H3*I3-J3</f>
        <v>5036.93</v>
      </c>
      <c r="L3" s="72">
        <v>43306</v>
      </c>
      <c r="M3" s="43">
        <v>47.5</v>
      </c>
      <c r="O3" s="11" t="s">
        <v>58</v>
      </c>
      <c r="Q3" s="221">
        <f>IF(Q2=0, Q4, (F18-K18-M18)/Q2)</f>
        <v>29.954800000000009</v>
      </c>
      <c r="T3" s="1">
        <v>43215</v>
      </c>
      <c r="U3" t="s">
        <v>1005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>H4*I4-J4</f>
        <v>1683.98</v>
      </c>
      <c r="L4" s="4"/>
      <c r="M4" s="4"/>
      <c r="O4" s="11" t="s">
        <v>66</v>
      </c>
      <c r="Q4" s="54">
        <v>35.08</v>
      </c>
      <c r="R4" s="495">
        <v>-1.1599999999999999E-2</v>
      </c>
      <c r="T4" s="770"/>
      <c r="U4" s="30" t="s">
        <v>1006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>H5*I5-J5</f>
        <v>3399.46</v>
      </c>
      <c r="L5" s="4"/>
      <c r="M5" s="4"/>
      <c r="O5" s="11" t="s">
        <v>67</v>
      </c>
      <c r="Q5" s="3">
        <f>Q4*Q2</f>
        <v>5262</v>
      </c>
    </row>
    <row r="6" spans="1:21" x14ac:dyDescent="0.25">
      <c r="B6" s="434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434">
        <v>43307</v>
      </c>
      <c r="H6" s="80">
        <v>100</v>
      </c>
      <c r="I6" s="43">
        <v>34.78</v>
      </c>
      <c r="J6" s="43">
        <v>0.05</v>
      </c>
      <c r="K6" s="43">
        <f>H6*I6-J6</f>
        <v>3477.95</v>
      </c>
      <c r="L6" s="4"/>
      <c r="M6" s="4"/>
      <c r="O6" s="11" t="s">
        <v>64</v>
      </c>
      <c r="Q6" s="2">
        <f>Q3*Q2</f>
        <v>4493.2200000000012</v>
      </c>
      <c r="T6" s="1">
        <v>43217</v>
      </c>
      <c r="U6" t="s">
        <v>1013</v>
      </c>
    </row>
    <row r="7" spans="1:21" x14ac:dyDescent="0.25">
      <c r="B7" s="474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768.77999999999884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768.77999999999884</v>
      </c>
      <c r="T8" s="1">
        <v>43228</v>
      </c>
      <c r="U8" t="s">
        <v>1048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0.17109778733291461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2.1664766248574687E-2</v>
      </c>
      <c r="R11">
        <v>0.19</v>
      </c>
      <c r="T11" s="156">
        <v>43262</v>
      </c>
      <c r="U11" t="s">
        <v>1014</v>
      </c>
    </row>
    <row r="12" spans="1:21" x14ac:dyDescent="0.25">
      <c r="H12" s="70"/>
      <c r="O12" s="11" t="s">
        <v>974</v>
      </c>
      <c r="Q12" s="1" t="s">
        <v>1113</v>
      </c>
      <c r="T12" s="67"/>
    </row>
    <row r="13" spans="1:21" x14ac:dyDescent="0.25">
      <c r="H13" s="70"/>
      <c r="O13" s="11" t="s">
        <v>952</v>
      </c>
      <c r="Q13">
        <f>Q4/2.5</f>
        <v>14.032</v>
      </c>
      <c r="T13" s="156">
        <v>43263</v>
      </c>
      <c r="U13" t="s">
        <v>1093</v>
      </c>
    </row>
    <row r="14" spans="1:21" x14ac:dyDescent="0.25">
      <c r="H14" s="70"/>
      <c r="O14" s="11" t="s">
        <v>1088</v>
      </c>
    </row>
    <row r="15" spans="1:21" x14ac:dyDescent="0.25">
      <c r="H15" s="70"/>
      <c r="O15" s="11" t="s">
        <v>1017</v>
      </c>
      <c r="Q15" s="1">
        <v>43218</v>
      </c>
      <c r="T15" s="1">
        <v>43271</v>
      </c>
      <c r="U15" t="s">
        <v>1114</v>
      </c>
    </row>
    <row r="16" spans="1:21" x14ac:dyDescent="0.25">
      <c r="H16" s="70"/>
      <c r="T16" s="1">
        <v>43300</v>
      </c>
      <c r="U16" t="s">
        <v>1197</v>
      </c>
    </row>
    <row r="17" spans="1:21" x14ac:dyDescent="0.25">
      <c r="T17" s="156">
        <v>43308</v>
      </c>
      <c r="U17" t="s">
        <v>1147</v>
      </c>
    </row>
    <row r="18" spans="1:21" x14ac:dyDescent="0.25">
      <c r="A18" s="31" t="s">
        <v>81</v>
      </c>
      <c r="B18" s="14"/>
      <c r="C18" s="14">
        <f>SUM(C2:C8)</f>
        <v>650</v>
      </c>
      <c r="D18" s="18"/>
      <c r="E18" s="18"/>
      <c r="F18" s="18">
        <f>SUM(F2:F8)</f>
        <v>21347.5</v>
      </c>
      <c r="G18" s="14"/>
      <c r="H18" s="71">
        <f>SUM(H2:H6)</f>
        <v>500</v>
      </c>
      <c r="I18" s="18"/>
      <c r="J18" s="18"/>
      <c r="K18" s="18">
        <f>SUM(K2:K6)</f>
        <v>16778.28</v>
      </c>
      <c r="L18" s="14"/>
      <c r="M18" s="18">
        <f>SUM(M2:M17)</f>
        <v>76</v>
      </c>
    </row>
    <row r="19" spans="1:21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16040</v>
      </c>
      <c r="G19" s="343"/>
      <c r="H19" s="343">
        <f>SumByColor($A$19,H2:H17)</f>
        <v>500</v>
      </c>
      <c r="I19" s="343"/>
      <c r="J19" s="343"/>
      <c r="K19" s="344">
        <f>SumByColor($A$19,K2:K17)</f>
        <v>16778</v>
      </c>
      <c r="L19" s="343"/>
      <c r="M19" s="344">
        <f>SumByColor($A$19,M2:M17)</f>
        <v>76</v>
      </c>
    </row>
    <row r="22" spans="1:21" ht="20.25" thickBot="1" x14ac:dyDescent="0.35">
      <c r="O22" s="797" t="s">
        <v>78</v>
      </c>
      <c r="P22" s="797"/>
    </row>
    <row r="23" spans="1:21" ht="15.75" thickTop="1" x14ac:dyDescent="0.25">
      <c r="O23" s="81">
        <v>1.1000000000000001</v>
      </c>
      <c r="P23" s="81">
        <f>O23*$Q$4</f>
        <v>38.588000000000001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38.237200000000001</v>
      </c>
      <c r="Q24" s="2"/>
    </row>
    <row r="25" spans="1:21" x14ac:dyDescent="0.25">
      <c r="B25" s="184">
        <v>43178</v>
      </c>
      <c r="C25" s="228">
        <v>150</v>
      </c>
      <c r="D25" s="22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1"/>
        <v>37.886400000000002</v>
      </c>
      <c r="Q25" s="2"/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1"/>
        <v>37.535600000000002</v>
      </c>
      <c r="Q26" s="2"/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1"/>
        <v>37.184800000000003</v>
      </c>
      <c r="Q27" s="2"/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2">C28*(E28-D28)</f>
        <v>-228.00000000000045</v>
      </c>
      <c r="G28" s="39">
        <f t="shared" ref="G28:G33" si="3">D28*C28</f>
        <v>5307</v>
      </c>
      <c r="H28" s="222">
        <f t="shared" ref="H28:H33" si="4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1"/>
        <v>36.834000000000003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2"/>
        <v>-168.00000000000068</v>
      </c>
      <c r="G29" s="39">
        <f t="shared" si="3"/>
        <v>5307</v>
      </c>
      <c r="H29" s="222">
        <f t="shared" si="4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1"/>
        <v>36.483199999999997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2"/>
        <v>-516.00000000000068</v>
      </c>
      <c r="G30" s="39">
        <f t="shared" si="3"/>
        <v>10059</v>
      </c>
      <c r="H30" s="222">
        <f t="shared" si="4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1"/>
        <v>36.132399999999997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2"/>
        <v>-883.20000000000073</v>
      </c>
      <c r="G31" s="39">
        <f t="shared" si="3"/>
        <v>13119.2</v>
      </c>
      <c r="H31" s="222">
        <f t="shared" si="4"/>
        <v>-6.7321178120617164E-2</v>
      </c>
      <c r="I31" s="39"/>
      <c r="J31" s="39"/>
      <c r="K31" s="39"/>
      <c r="L31" s="155"/>
      <c r="O31" s="81">
        <v>1.02</v>
      </c>
      <c r="P31" s="81">
        <f t="shared" si="1"/>
        <v>35.781599999999997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2"/>
        <v>-99.000000000000909</v>
      </c>
      <c r="G32" s="39">
        <f t="shared" si="3"/>
        <v>13119</v>
      </c>
      <c r="H32" s="222">
        <f t="shared" si="4"/>
        <v>-7.5463068831466504E-3</v>
      </c>
      <c r="I32" s="39"/>
      <c r="J32" s="39"/>
      <c r="K32" s="39"/>
      <c r="L32" s="155"/>
      <c r="O32" s="81">
        <v>1.01</v>
      </c>
      <c r="P32" s="81">
        <f t="shared" si="1"/>
        <v>35.430799999999998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2"/>
        <v>-414.0000000000008</v>
      </c>
      <c r="G33" s="39">
        <f t="shared" si="3"/>
        <v>9939</v>
      </c>
      <c r="H33" s="222">
        <f t="shared" si="4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1"/>
        <v>35.08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5">C34*(E34-D34)</f>
        <v>-315.00000000000125</v>
      </c>
      <c r="G34" s="39">
        <f t="shared" ref="G34:G43" si="6">D34*C34</f>
        <v>9939</v>
      </c>
      <c r="H34" s="222">
        <f t="shared" ref="H34:H43" si="7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1"/>
        <v>34.729199999999999</v>
      </c>
      <c r="Q34" s="2"/>
    </row>
    <row r="35" spans="1:17" x14ac:dyDescent="0.25">
      <c r="B35" s="184">
        <v>43265</v>
      </c>
      <c r="C35" s="228">
        <v>150</v>
      </c>
      <c r="D35" s="229">
        <v>32.680700000000002</v>
      </c>
      <c r="E35" s="39">
        <v>33.82</v>
      </c>
      <c r="F35" s="39">
        <f t="shared" si="5"/>
        <v>170.89499999999981</v>
      </c>
      <c r="G35" s="39">
        <f t="shared" si="6"/>
        <v>4902.1050000000005</v>
      </c>
      <c r="H35" s="222">
        <f t="shared" si="7"/>
        <v>3.48615543730703E-2</v>
      </c>
      <c r="I35" s="39" t="s">
        <v>1110</v>
      </c>
      <c r="J35" s="39"/>
      <c r="K35" s="39">
        <v>13.53</v>
      </c>
      <c r="L35" s="155"/>
      <c r="O35" s="81">
        <v>0.98</v>
      </c>
      <c r="P35" s="81">
        <f t="shared" si="1"/>
        <v>34.378399999999999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5"/>
        <v>-30.120000000000147</v>
      </c>
      <c r="G36" s="39">
        <f t="shared" si="6"/>
        <v>9804.119999999999</v>
      </c>
      <c r="H36" s="222">
        <f t="shared" si="7"/>
        <v>-3.0721778191209561E-3</v>
      </c>
      <c r="I36" s="39" t="s">
        <v>1110</v>
      </c>
      <c r="J36" s="39"/>
      <c r="K36" s="39">
        <v>13.03</v>
      </c>
      <c r="L36" s="39"/>
      <c r="O36" s="81">
        <v>0.97</v>
      </c>
      <c r="P36" s="81">
        <f t="shared" si="1"/>
        <v>34.0276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5"/>
        <v>227.37500000000034</v>
      </c>
      <c r="G37" s="39">
        <f t="shared" si="6"/>
        <v>8120.125</v>
      </c>
      <c r="H37" s="222">
        <f t="shared" si="7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1"/>
        <v>33.6768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5"/>
        <v>-47.625000000000028</v>
      </c>
      <c r="G38" s="39">
        <f t="shared" si="6"/>
        <v>8120.125</v>
      </c>
      <c r="H38" s="222">
        <f t="shared" si="7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1"/>
        <v>33.325999999999993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5"/>
        <v>274.87499999999977</v>
      </c>
      <c r="G39" s="39">
        <f t="shared" si="6"/>
        <v>8120.125</v>
      </c>
      <c r="H39" s="222">
        <f t="shared" si="7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1"/>
        <v>32.975199999999994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5"/>
        <v>379.33500000000004</v>
      </c>
      <c r="G40" s="39">
        <f t="shared" si="6"/>
        <v>4720.665</v>
      </c>
      <c r="H40" s="222">
        <f t="shared" si="7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1"/>
        <v>32.624400000000001</v>
      </c>
    </row>
    <row r="41" spans="1:17" x14ac:dyDescent="0.25">
      <c r="A41">
        <v>150</v>
      </c>
      <c r="B41" s="184">
        <v>43305</v>
      </c>
      <c r="C41" s="228">
        <v>150</v>
      </c>
      <c r="D41" s="229">
        <v>31.154499999999999</v>
      </c>
      <c r="E41" s="39">
        <v>33.39</v>
      </c>
      <c r="F41" s="39">
        <f t="shared" si="5"/>
        <v>335.32500000000027</v>
      </c>
      <c r="G41" s="39">
        <f t="shared" si="6"/>
        <v>4673.1750000000002</v>
      </c>
      <c r="H41" s="222">
        <f t="shared" si="7"/>
        <v>7.175528414835744E-2</v>
      </c>
      <c r="I41" s="39" t="s">
        <v>1208</v>
      </c>
      <c r="J41" s="39"/>
      <c r="K41" s="39">
        <v>13.356</v>
      </c>
      <c r="L41" s="39" t="s">
        <v>185</v>
      </c>
      <c r="O41" s="81">
        <v>0.92</v>
      </c>
      <c r="P41" s="81">
        <f t="shared" si="1"/>
        <v>32.273600000000002</v>
      </c>
    </row>
    <row r="42" spans="1:17" x14ac:dyDescent="0.25">
      <c r="B42" s="18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5"/>
        <v>273.82499999999953</v>
      </c>
      <c r="G42" s="39">
        <f t="shared" si="6"/>
        <v>7971.1749999999993</v>
      </c>
      <c r="H42" s="222">
        <f t="shared" si="7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1"/>
        <v>31.922799999999999</v>
      </c>
    </row>
    <row r="43" spans="1:17" x14ac:dyDescent="0.25">
      <c r="A43">
        <v>50</v>
      </c>
      <c r="B43" s="184">
        <v>43307</v>
      </c>
      <c r="C43" s="228">
        <v>150</v>
      </c>
      <c r="D43" s="229">
        <v>29.954799999999999</v>
      </c>
      <c r="E43" s="39">
        <v>34.78</v>
      </c>
      <c r="F43" s="39">
        <f t="shared" si="5"/>
        <v>723.78000000000031</v>
      </c>
      <c r="G43" s="39">
        <f t="shared" si="6"/>
        <v>4493.22</v>
      </c>
      <c r="H43" s="222">
        <f t="shared" si="7"/>
        <v>0.16108269793155028</v>
      </c>
      <c r="I43" s="39" t="s">
        <v>1209</v>
      </c>
      <c r="J43" s="39"/>
      <c r="K43" s="39"/>
      <c r="L43" s="39"/>
      <c r="O43" s="81">
        <v>0.9</v>
      </c>
      <c r="P43" s="81">
        <f t="shared" si="1"/>
        <v>31.571999999999999</v>
      </c>
    </row>
    <row r="44" spans="1:17" x14ac:dyDescent="0.25">
      <c r="A44">
        <v>50</v>
      </c>
      <c r="B44" s="18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" si="8">C44*(E44-D44)</f>
        <v>818.27999999999963</v>
      </c>
      <c r="G44" s="39">
        <f t="shared" ref="G44" si="9">D44*C44</f>
        <v>4493.22</v>
      </c>
      <c r="H44" s="222">
        <f t="shared" ref="H44" si="10">(E44-D44)/D44</f>
        <v>0.18211438567441607</v>
      </c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695" priority="33">
      <formula>F54&gt;0</formula>
    </cfRule>
    <cfRule type="expression" dxfId="1694" priority="34">
      <formula>F54&lt;0</formula>
    </cfRule>
  </conditionalFormatting>
  <conditionalFormatting sqref="Q7">
    <cfRule type="expression" dxfId="1693" priority="31">
      <formula>Q7&gt;0</formula>
    </cfRule>
    <cfRule type="expression" dxfId="1692" priority="32">
      <formula>Q7&lt;0</formula>
    </cfRule>
  </conditionalFormatting>
  <conditionalFormatting sqref="Q8">
    <cfRule type="expression" dxfId="1691" priority="29">
      <formula>Q8&gt;0</formula>
    </cfRule>
    <cfRule type="expression" dxfId="1690" priority="30">
      <formula>Q8&lt;0</formula>
    </cfRule>
  </conditionalFormatting>
  <conditionalFormatting sqref="F30:F53">
    <cfRule type="expression" dxfId="1689" priority="27">
      <formula>F30&gt;0</formula>
    </cfRule>
    <cfRule type="expression" dxfId="1688" priority="28">
      <formula>F30&lt;0</formula>
    </cfRule>
  </conditionalFormatting>
  <conditionalFormatting sqref="H30:H53">
    <cfRule type="expression" dxfId="1687" priority="25">
      <formula>H30&gt;0</formula>
    </cfRule>
    <cfRule type="expression" dxfId="1686" priority="26">
      <formula>H30&lt;0</formula>
    </cfRule>
  </conditionalFormatting>
  <conditionalFormatting sqref="Q10">
    <cfRule type="expression" dxfId="1685" priority="23">
      <formula>Q10&gt;0</formula>
    </cfRule>
    <cfRule type="expression" dxfId="1684" priority="24">
      <formula>Q10&lt;0</formula>
    </cfRule>
  </conditionalFormatting>
  <conditionalFormatting sqref="J25:J38">
    <cfRule type="expression" dxfId="1683" priority="21">
      <formula>J25&gt;0</formula>
    </cfRule>
    <cfRule type="expression" dxfId="1682" priority="22">
      <formula>J25&lt;0</formula>
    </cfRule>
  </conditionalFormatting>
  <conditionalFormatting sqref="K25:K33">
    <cfRule type="expression" dxfId="1681" priority="19">
      <formula>K25&gt;0</formula>
    </cfRule>
    <cfRule type="expression" dxfId="1680" priority="20">
      <formula>K25&lt;0</formula>
    </cfRule>
  </conditionalFormatting>
  <conditionalFormatting sqref="L25:L38">
    <cfRule type="expression" dxfId="1679" priority="17">
      <formula>L25&gt;0</formula>
    </cfRule>
    <cfRule type="expression" dxfId="1678" priority="18">
      <formula>L25&lt;0</formula>
    </cfRule>
  </conditionalFormatting>
  <conditionalFormatting sqref="F89:F110">
    <cfRule type="expression" dxfId="1677" priority="15">
      <formula>F89&gt;0</formula>
    </cfRule>
    <cfRule type="expression" dxfId="1676" priority="16">
      <formula>F89&lt;0</formula>
    </cfRule>
  </conditionalFormatting>
  <conditionalFormatting sqref="H89:H110">
    <cfRule type="expression" dxfId="1675" priority="13">
      <formula>H89&gt;0</formula>
    </cfRule>
    <cfRule type="expression" dxfId="1674" priority="14">
      <formula>H89&lt;0</formula>
    </cfRule>
  </conditionalFormatting>
  <conditionalFormatting sqref="J89:J102">
    <cfRule type="expression" dxfId="1673" priority="11">
      <formula>J89&gt;0</formula>
    </cfRule>
    <cfRule type="expression" dxfId="1672" priority="12">
      <formula>J89&lt;0</formula>
    </cfRule>
  </conditionalFormatting>
  <conditionalFormatting sqref="K89:K102">
    <cfRule type="expression" dxfId="1671" priority="9">
      <formula>K89&gt;0</formula>
    </cfRule>
    <cfRule type="expression" dxfId="1670" priority="10">
      <formula>K89&lt;0</formula>
    </cfRule>
  </conditionalFormatting>
  <conditionalFormatting sqref="L89:L102">
    <cfRule type="expression" dxfId="1669" priority="7">
      <formula>L89&gt;0</formula>
    </cfRule>
    <cfRule type="expression" dxfId="1668" priority="8">
      <formula>L89&lt;0</formula>
    </cfRule>
  </conditionalFormatting>
  <conditionalFormatting sqref="F25:F29">
    <cfRule type="expression" dxfId="1667" priority="5">
      <formula>F25&gt;0</formula>
    </cfRule>
    <cfRule type="expression" dxfId="1666" priority="6">
      <formula>F25&lt;0</formula>
    </cfRule>
  </conditionalFormatting>
  <conditionalFormatting sqref="H25:H29">
    <cfRule type="expression" dxfId="1665" priority="3">
      <formula>H25&gt;0</formula>
    </cfRule>
    <cfRule type="expression" dxfId="1664" priority="4">
      <formula>H25&lt;0</formula>
    </cfRule>
  </conditionalFormatting>
  <conditionalFormatting sqref="F29">
    <cfRule type="expression" dxfId="1663" priority="1">
      <formula>F29&gt;0</formula>
    </cfRule>
    <cfRule type="expression" dxfId="1662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88.87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88.87</v>
      </c>
      <c r="R4" s="495">
        <v>-8.9999999999999998E-4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7.2015303251941037E-3</v>
      </c>
      <c r="R11">
        <v>0.16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Q4/7.38</f>
        <v>12.042005420054201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97.757000000000019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96.868300000000005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95.979600000000005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95.090900000000005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94.202200000000005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93.313500000000005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92.424800000000005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91.536100000000005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90.647400000000005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89.758700000000005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88.87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87.981300000000005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87.092600000000004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86.203900000000004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85.315200000000004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84.426500000000004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83.537800000000004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82.649100000000004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81.760400000000004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80.871700000000004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79.983000000000004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61" priority="31">
      <formula>F47&gt;0</formula>
    </cfRule>
    <cfRule type="expression" dxfId="1660" priority="32">
      <formula>F47&lt;0</formula>
    </cfRule>
  </conditionalFormatting>
  <conditionalFormatting sqref="Q7">
    <cfRule type="expression" dxfId="1659" priority="29">
      <formula>Q7&gt;0</formula>
    </cfRule>
    <cfRule type="expression" dxfId="1658" priority="30">
      <formula>Q7&lt;0</formula>
    </cfRule>
  </conditionalFormatting>
  <conditionalFormatting sqref="Q8">
    <cfRule type="expression" dxfId="1657" priority="27">
      <formula>Q8&gt;0</formula>
    </cfRule>
    <cfRule type="expression" dxfId="1656" priority="28">
      <formula>Q8&lt;0</formula>
    </cfRule>
  </conditionalFormatting>
  <conditionalFormatting sqref="F30:F46">
    <cfRule type="expression" dxfId="1655" priority="25">
      <formula>F30&gt;0</formula>
    </cfRule>
    <cfRule type="expression" dxfId="1654" priority="26">
      <formula>F30&lt;0</formula>
    </cfRule>
  </conditionalFormatting>
  <conditionalFormatting sqref="H30:H46">
    <cfRule type="expression" dxfId="1653" priority="23">
      <formula>H30&gt;0</formula>
    </cfRule>
    <cfRule type="expression" dxfId="1652" priority="24">
      <formula>H30&lt;0</formula>
    </cfRule>
  </conditionalFormatting>
  <conditionalFormatting sqref="Q10">
    <cfRule type="expression" dxfId="1651" priority="21">
      <formula>Q10&gt;0</formula>
    </cfRule>
    <cfRule type="expression" dxfId="1650" priority="22">
      <formula>Q10&lt;0</formula>
    </cfRule>
  </conditionalFormatting>
  <conditionalFormatting sqref="J25:J38">
    <cfRule type="expression" dxfId="1649" priority="19">
      <formula>J25&gt;0</formula>
    </cfRule>
    <cfRule type="expression" dxfId="1648" priority="20">
      <formula>J25&lt;0</formula>
    </cfRule>
  </conditionalFormatting>
  <conditionalFormatting sqref="K25:K38">
    <cfRule type="expression" dxfId="1647" priority="17">
      <formula>K25&gt;0</formula>
    </cfRule>
    <cfRule type="expression" dxfId="1646" priority="18">
      <formula>K25&lt;0</formula>
    </cfRule>
  </conditionalFormatting>
  <conditionalFormatting sqref="L25:L38">
    <cfRule type="expression" dxfId="1645" priority="15">
      <formula>L25&gt;0</formula>
    </cfRule>
    <cfRule type="expression" dxfId="1644" priority="16">
      <formula>L25&lt;0</formula>
    </cfRule>
  </conditionalFormatting>
  <conditionalFormatting sqref="F89:F110">
    <cfRule type="expression" dxfId="1643" priority="13">
      <formula>F89&gt;0</formula>
    </cfRule>
    <cfRule type="expression" dxfId="1642" priority="14">
      <formula>F89&lt;0</formula>
    </cfRule>
  </conditionalFormatting>
  <conditionalFormatting sqref="H89:H110">
    <cfRule type="expression" dxfId="1641" priority="11">
      <formula>H89&gt;0</formula>
    </cfRule>
    <cfRule type="expression" dxfId="1640" priority="12">
      <formula>H89&lt;0</formula>
    </cfRule>
  </conditionalFormatting>
  <conditionalFormatting sqref="J89:J102">
    <cfRule type="expression" dxfId="1639" priority="9">
      <formula>J89&gt;0</formula>
    </cfRule>
    <cfRule type="expression" dxfId="1638" priority="10">
      <formula>J89&lt;0</formula>
    </cfRule>
  </conditionalFormatting>
  <conditionalFormatting sqref="K89:K102">
    <cfRule type="expression" dxfId="1637" priority="7">
      <formula>K89&gt;0</formula>
    </cfRule>
    <cfRule type="expression" dxfId="1636" priority="8">
      <formula>K89&lt;0</formula>
    </cfRule>
  </conditionalFormatting>
  <conditionalFormatting sqref="L89:L102">
    <cfRule type="expression" dxfId="1635" priority="5">
      <formula>L89&gt;0</formula>
    </cfRule>
    <cfRule type="expression" dxfId="1634" priority="6">
      <formula>L89&lt;0</formula>
    </cfRule>
  </conditionalFormatting>
  <conditionalFormatting sqref="F25:F29">
    <cfRule type="expression" dxfId="1633" priority="3">
      <formula>F25&gt;0</formula>
    </cfRule>
    <cfRule type="expression" dxfId="1632" priority="4">
      <formula>F25&lt;0</formula>
    </cfRule>
  </conditionalFormatting>
  <conditionalFormatting sqref="H25:H29">
    <cfRule type="expression" dxfId="1631" priority="1">
      <formula>H25&gt;0</formula>
    </cfRule>
    <cfRule type="expression" dxfId="163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4">
        <v>100</v>
      </c>
      <c r="D2" s="3">
        <v>60.57</v>
      </c>
      <c r="E2" s="3">
        <v>0</v>
      </c>
      <c r="F2" s="3">
        <f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>H2*I2-J2</f>
        <v>2918.96</v>
      </c>
      <c r="L2" s="72">
        <v>43261</v>
      </c>
      <c r="M2" s="43">
        <v>105</v>
      </c>
      <c r="O2" s="11" t="s">
        <v>57</v>
      </c>
      <c r="Q2">
        <f>C18-H18</f>
        <v>200</v>
      </c>
      <c r="T2" s="1"/>
      <c r="U2" t="s">
        <v>1143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>C3*D3+E3</f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>H3*I3-J3</f>
        <v>2938.46</v>
      </c>
      <c r="L3" s="4"/>
      <c r="M3" s="4"/>
      <c r="O3" s="11" t="s">
        <v>58</v>
      </c>
      <c r="Q3" s="78">
        <f>IF(Q2=0, Q4, (F18-K18-M18)/Q2)</f>
        <v>56.6158</v>
      </c>
      <c r="T3" s="1"/>
    </row>
    <row r="4" spans="1:21" x14ac:dyDescent="0.25">
      <c r="B4" s="434">
        <v>43283</v>
      </c>
      <c r="C4" s="7">
        <v>50</v>
      </c>
      <c r="D4" s="43">
        <v>55.8</v>
      </c>
      <c r="E4" s="43">
        <v>0</v>
      </c>
      <c r="F4" s="43">
        <f>C4*D4+E4</f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>H4*I4-J4</f>
        <v>2822.46</v>
      </c>
      <c r="L4" s="4"/>
      <c r="M4" s="4"/>
      <c r="O4" s="11" t="s">
        <v>66</v>
      </c>
      <c r="Q4" s="54">
        <v>59.049900000000001</v>
      </c>
      <c r="R4" s="495">
        <v>-2.8999999999999998E-3</v>
      </c>
      <c r="T4" s="770"/>
      <c r="U4" s="30"/>
    </row>
    <row r="5" spans="1:21" x14ac:dyDescent="0.25">
      <c r="B5" s="474">
        <v>43297</v>
      </c>
      <c r="C5" s="4">
        <v>100</v>
      </c>
      <c r="D5" s="3">
        <v>57.43</v>
      </c>
      <c r="E5" s="3">
        <v>0</v>
      </c>
      <c r="F5" s="3">
        <f>C5*D5+E5</f>
        <v>5743</v>
      </c>
      <c r="G5" s="434">
        <v>43314</v>
      </c>
      <c r="H5" s="80">
        <v>50</v>
      </c>
      <c r="I5" s="43">
        <v>58.78</v>
      </c>
      <c r="J5" s="43">
        <v>0.04</v>
      </c>
      <c r="K5" s="43">
        <f>H5*I5-J5</f>
        <v>2938.96</v>
      </c>
      <c r="L5" s="4"/>
      <c r="M5" s="4"/>
      <c r="O5" s="11" t="s">
        <v>67</v>
      </c>
      <c r="Q5" s="3">
        <f>Q4*Q2</f>
        <v>11809.98</v>
      </c>
      <c r="T5" s="1">
        <v>43209</v>
      </c>
      <c r="U5" t="s">
        <v>986</v>
      </c>
    </row>
    <row r="6" spans="1:21" x14ac:dyDescent="0.25">
      <c r="B6" s="474">
        <v>43300</v>
      </c>
      <c r="C6" s="7">
        <v>100</v>
      </c>
      <c r="D6" s="43">
        <v>55.38</v>
      </c>
      <c r="E6" s="43">
        <v>0</v>
      </c>
      <c r="F6" s="43">
        <f>C6*D6+E6</f>
        <v>5538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11323.16</v>
      </c>
      <c r="U6" t="s">
        <v>987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486.81999999999971</v>
      </c>
      <c r="R7" s="29">
        <v>43328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486.81999999999971</v>
      </c>
      <c r="T8" s="1">
        <v>43216</v>
      </c>
      <c r="U8" t="s">
        <v>1010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4.299329869047154E-2</v>
      </c>
      <c r="T9" s="156"/>
      <c r="U9" t="s">
        <v>1011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4.7417523145678479E-2</v>
      </c>
      <c r="R11">
        <v>0.7</v>
      </c>
      <c r="T11" s="1">
        <v>43285</v>
      </c>
      <c r="U11" t="s">
        <v>1142</v>
      </c>
    </row>
    <row r="12" spans="1:21" x14ac:dyDescent="0.25">
      <c r="H12" s="70"/>
      <c r="O12" s="11" t="s">
        <v>925</v>
      </c>
      <c r="Q12" s="1" t="s">
        <v>1220</v>
      </c>
    </row>
    <row r="13" spans="1:21" x14ac:dyDescent="0.25">
      <c r="H13" s="70"/>
      <c r="O13" s="11" t="s">
        <v>952</v>
      </c>
      <c r="Q13" s="2">
        <f>Q4/(3.94+4.03)*2</f>
        <v>14.818042659974905</v>
      </c>
    </row>
    <row r="14" spans="1:21" x14ac:dyDescent="0.25">
      <c r="H14" s="70"/>
      <c r="O14" s="11" t="s">
        <v>1039</v>
      </c>
      <c r="Q14" s="1">
        <v>43319</v>
      </c>
      <c r="T14" s="770">
        <v>43300</v>
      </c>
      <c r="U14" t="s">
        <v>1166</v>
      </c>
    </row>
    <row r="15" spans="1:21" x14ac:dyDescent="0.25">
      <c r="H15" s="70"/>
      <c r="U15" t="s">
        <v>1195</v>
      </c>
    </row>
    <row r="16" spans="1:21" ht="20.25" thickBot="1" x14ac:dyDescent="0.35">
      <c r="H16" s="70"/>
      <c r="O16" s="859" t="s">
        <v>78</v>
      </c>
      <c r="P16" s="859"/>
    </row>
    <row r="17" spans="1:21" ht="15.75" thickTop="1" x14ac:dyDescent="0.25">
      <c r="O17" s="81">
        <v>1.1000000000000001</v>
      </c>
      <c r="P17" s="81">
        <f>O17*$Q$4</f>
        <v>64.954890000000006</v>
      </c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23047</v>
      </c>
      <c r="G18" s="14"/>
      <c r="H18" s="71">
        <f>SUM(H2:H5)</f>
        <v>200</v>
      </c>
      <c r="I18" s="18"/>
      <c r="J18" s="18"/>
      <c r="K18" s="18">
        <f>SUM(K2:K5)</f>
        <v>11618.84</v>
      </c>
      <c r="L18" s="14"/>
      <c r="M18" s="18">
        <f>SUM(M2:M10)</f>
        <v>105</v>
      </c>
      <c r="O18" s="81">
        <v>1.0900000000000001</v>
      </c>
      <c r="P18" s="81">
        <f t="shared" ref="P18:P37" si="0">O18*$Q$4</f>
        <v>64.364391000000012</v>
      </c>
      <c r="T18" s="1">
        <v>43307</v>
      </c>
      <c r="U18" t="s">
        <v>1210</v>
      </c>
    </row>
    <row r="19" spans="1:21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11247</v>
      </c>
      <c r="G19" s="343"/>
      <c r="H19" s="343">
        <f>SumByColor($A$19,H2:H17)</f>
        <v>200</v>
      </c>
      <c r="I19" s="343"/>
      <c r="J19" s="343"/>
      <c r="K19" s="344">
        <f>SumByColor($A$19,K2:K17)</f>
        <v>11618</v>
      </c>
      <c r="L19" s="343"/>
      <c r="M19" s="344">
        <f>SumByColor($A$19,M2:M17)</f>
        <v>105</v>
      </c>
      <c r="O19" s="81">
        <v>1.08</v>
      </c>
      <c r="P19" s="81">
        <f t="shared" si="0"/>
        <v>63.773892000000004</v>
      </c>
    </row>
    <row r="20" spans="1:21" x14ac:dyDescent="0.25">
      <c r="O20" s="81">
        <v>1.07</v>
      </c>
      <c r="P20" s="81">
        <f t="shared" si="0"/>
        <v>63.183393000000002</v>
      </c>
    </row>
    <row r="21" spans="1:21" x14ac:dyDescent="0.25">
      <c r="O21" s="81">
        <v>1.06</v>
      </c>
      <c r="P21" s="81">
        <f t="shared" si="0"/>
        <v>62.592894000000001</v>
      </c>
    </row>
    <row r="22" spans="1:21" x14ac:dyDescent="0.25">
      <c r="O22" s="81">
        <v>1.05</v>
      </c>
      <c r="P22" s="81">
        <f t="shared" si="0"/>
        <v>62.002395000000007</v>
      </c>
    </row>
    <row r="23" spans="1:21" x14ac:dyDescent="0.25">
      <c r="O23" s="81">
        <v>1.04</v>
      </c>
      <c r="P23" s="81">
        <f t="shared" si="0"/>
        <v>61.411896000000006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60.821397000000005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1">C25*(E25-D25)</f>
        <v>0</v>
      </c>
      <c r="G25" s="39">
        <f t="shared" ref="G25:G38" si="2">D25*C25</f>
        <v>6057</v>
      </c>
      <c r="H25" s="222">
        <f t="shared" ref="H25:H38" si="3">(E25-D25)/D25</f>
        <v>0</v>
      </c>
      <c r="I25" s="39"/>
      <c r="J25" s="39"/>
      <c r="K25" s="39"/>
      <c r="L25" s="39"/>
      <c r="O25" s="81">
        <v>1.02</v>
      </c>
      <c r="P25" s="81">
        <f t="shared" si="0"/>
        <v>60.230898000000003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1"/>
        <v>-129.99999999999972</v>
      </c>
      <c r="G26" s="39">
        <f t="shared" si="2"/>
        <v>6057</v>
      </c>
      <c r="H26" s="222">
        <f t="shared" si="3"/>
        <v>-2.1462770348357224E-2</v>
      </c>
      <c r="I26" s="39"/>
      <c r="J26" s="39"/>
      <c r="K26" s="39"/>
      <c r="L26" s="39"/>
      <c r="O26" s="81">
        <v>1.01</v>
      </c>
      <c r="P26" s="81">
        <f t="shared" si="0"/>
        <v>59.640399000000002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1"/>
        <v>-309.00000000000034</v>
      </c>
      <c r="G27" s="39">
        <f t="shared" si="2"/>
        <v>8976</v>
      </c>
      <c r="H27" s="222">
        <f t="shared" si="3"/>
        <v>-3.4425133689839606E-2</v>
      </c>
      <c r="I27" s="39"/>
      <c r="J27" s="39"/>
      <c r="K27" s="39"/>
      <c r="L27" s="39"/>
      <c r="O27" s="81">
        <v>1</v>
      </c>
      <c r="P27" s="81">
        <f t="shared" si="0"/>
        <v>59.049900000000001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1"/>
        <v>-760.5</v>
      </c>
      <c r="G28" s="39">
        <f t="shared" si="2"/>
        <v>8976</v>
      </c>
      <c r="H28" s="222">
        <f t="shared" si="3"/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0"/>
        <v>58.459401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1"/>
        <v>-577.50000000000023</v>
      </c>
      <c r="G29" s="39">
        <f t="shared" si="2"/>
        <v>8976</v>
      </c>
      <c r="H29" s="222">
        <f t="shared" si="3"/>
        <v>-6.4338235294117668E-2</v>
      </c>
      <c r="I29" s="39"/>
      <c r="J29" s="39"/>
      <c r="K29" s="39"/>
      <c r="L29" s="39">
        <v>14.12</v>
      </c>
      <c r="O29" s="81">
        <v>0.98</v>
      </c>
      <c r="P29" s="81">
        <f t="shared" si="0"/>
        <v>57.868901999999999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1"/>
        <v>-592.00000000000023</v>
      </c>
      <c r="G30" s="39">
        <f t="shared" si="2"/>
        <v>11766</v>
      </c>
      <c r="H30" s="222">
        <f t="shared" si="3"/>
        <v>-5.0314465408805048E-2</v>
      </c>
      <c r="I30" s="39"/>
      <c r="J30" s="39"/>
      <c r="K30" s="39"/>
      <c r="L30" s="39">
        <v>14.09</v>
      </c>
      <c r="O30" s="81">
        <v>0.97</v>
      </c>
      <c r="P30" s="81">
        <f t="shared" si="0"/>
        <v>57.278402999999997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1"/>
        <v>-473.99999999999949</v>
      </c>
      <c r="G31" s="39">
        <f t="shared" si="2"/>
        <v>11766</v>
      </c>
      <c r="H31" s="222">
        <f t="shared" si="3"/>
        <v>-4.0285568587455335E-2</v>
      </c>
      <c r="I31" s="39"/>
      <c r="J31" s="39"/>
      <c r="K31" s="39"/>
      <c r="L31" s="39">
        <v>14.24</v>
      </c>
      <c r="O31" s="81">
        <v>0.96</v>
      </c>
      <c r="P31" s="81">
        <f t="shared" si="0"/>
        <v>56.687903999999996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1"/>
        <v>-202.49999999999915</v>
      </c>
      <c r="G32" s="39">
        <f t="shared" si="2"/>
        <v>8847</v>
      </c>
      <c r="H32" s="222">
        <f t="shared" si="3"/>
        <v>-2.2889114954221676E-2</v>
      </c>
      <c r="I32" s="39"/>
      <c r="J32" s="39"/>
      <c r="K32" s="39"/>
      <c r="L32" s="39">
        <v>14.53</v>
      </c>
      <c r="O32" s="81">
        <v>0.95</v>
      </c>
      <c r="P32" s="81">
        <f t="shared" si="0"/>
        <v>56.097404999999995</v>
      </c>
    </row>
    <row r="33" spans="1:17" x14ac:dyDescent="0.25">
      <c r="A33" t="s">
        <v>1175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1"/>
        <v>70.499999999999829</v>
      </c>
      <c r="G33" s="39">
        <f t="shared" si="2"/>
        <v>8742</v>
      </c>
      <c r="H33" s="222">
        <f t="shared" si="3"/>
        <v>8.0645161290322388E-3</v>
      </c>
      <c r="I33" s="39"/>
      <c r="J33" s="39"/>
      <c r="K33" s="39"/>
      <c r="L33" s="39">
        <v>14.63</v>
      </c>
      <c r="O33" s="81">
        <v>0.94</v>
      </c>
      <c r="P33" s="81">
        <f t="shared" si="0"/>
        <v>55.506906000000001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1"/>
        <v>73.000000000000398</v>
      </c>
      <c r="G34" s="39">
        <f t="shared" si="2"/>
        <v>5804</v>
      </c>
      <c r="H34" s="222">
        <f t="shared" si="3"/>
        <v>1.2577532736044176E-2</v>
      </c>
      <c r="I34" s="39"/>
      <c r="J34" s="39"/>
      <c r="K34" s="39"/>
      <c r="L34" s="39">
        <v>14.824999999999999</v>
      </c>
      <c r="O34" s="81">
        <v>0.93</v>
      </c>
      <c r="P34" s="81">
        <f t="shared" si="0"/>
        <v>54.916407000000007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1"/>
        <v>-60.599999999999454</v>
      </c>
      <c r="G35" s="39">
        <f t="shared" si="2"/>
        <v>11546.599999999999</v>
      </c>
      <c r="H35" s="222">
        <f t="shared" si="3"/>
        <v>-5.2482982003359824E-3</v>
      </c>
      <c r="I35" s="39"/>
      <c r="J35" s="39"/>
      <c r="K35" s="39"/>
      <c r="L35" s="39">
        <v>14.48</v>
      </c>
      <c r="O35" s="81">
        <v>0.92</v>
      </c>
      <c r="P35" s="81">
        <f t="shared" si="0"/>
        <v>54.325908000000005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1"/>
        <v>-470.69999999999868</v>
      </c>
      <c r="G36" s="39">
        <f t="shared" si="2"/>
        <v>17084.7</v>
      </c>
      <c r="H36" s="222">
        <f t="shared" si="3"/>
        <v>-2.7550966654374891E-2</v>
      </c>
      <c r="I36" s="39"/>
      <c r="J36" s="39"/>
      <c r="K36" s="39"/>
      <c r="L36" s="39"/>
      <c r="O36" s="81">
        <v>0.91</v>
      </c>
      <c r="P36" s="81">
        <f t="shared" si="0"/>
        <v>53.735409000000004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1"/>
        <v>-149.49999999999974</v>
      </c>
      <c r="G37" s="39">
        <f t="shared" si="2"/>
        <v>14262</v>
      </c>
      <c r="H37" s="222">
        <f t="shared" si="3"/>
        <v>-1.0482400785303585E-2</v>
      </c>
      <c r="I37" s="39"/>
      <c r="J37" s="39"/>
      <c r="K37" s="39"/>
      <c r="L37" s="39">
        <v>14.24</v>
      </c>
      <c r="O37" s="81">
        <v>0.9</v>
      </c>
      <c r="P37" s="81">
        <f t="shared" si="0"/>
        <v>53.144910000000003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1"/>
        <v>147.50000000000085</v>
      </c>
      <c r="G38" s="39">
        <f t="shared" si="2"/>
        <v>14262.5</v>
      </c>
      <c r="H38" s="222">
        <f t="shared" si="3"/>
        <v>1.0341805433830033E-2</v>
      </c>
      <c r="I38" s="39"/>
      <c r="J38" s="39"/>
      <c r="K38" s="39"/>
      <c r="L38" s="39">
        <v>14.54</v>
      </c>
    </row>
    <row r="39" spans="1:17" x14ac:dyDescent="0.25">
      <c r="A39">
        <v>0</v>
      </c>
      <c r="B39" s="184">
        <v>43307</v>
      </c>
      <c r="C39" s="10">
        <v>250</v>
      </c>
      <c r="D39" s="39">
        <v>57.05</v>
      </c>
      <c r="E39" s="39">
        <v>56.1</v>
      </c>
      <c r="F39" s="39">
        <f t="shared" ref="F39:F42" si="4">C39*(E39-D39)</f>
        <v>-237.49999999999892</v>
      </c>
      <c r="G39" s="39">
        <f t="shared" ref="G39:G42" si="5">D39*C39</f>
        <v>14262.5</v>
      </c>
      <c r="H39" s="222">
        <f t="shared" ref="H39:H42" si="6">(E39-D39)/D39</f>
        <v>-1.66520595968448E-2</v>
      </c>
      <c r="I39" s="39"/>
      <c r="J39" s="39"/>
      <c r="K39" s="39"/>
      <c r="L39" s="39">
        <v>14.08</v>
      </c>
    </row>
    <row r="40" spans="1:17" x14ac:dyDescent="0.25">
      <c r="A40">
        <v>0</v>
      </c>
      <c r="B40" s="184">
        <v>43312</v>
      </c>
      <c r="C40" s="10">
        <v>250</v>
      </c>
      <c r="D40" s="39">
        <v>57.05</v>
      </c>
      <c r="E40" s="39">
        <v>58.68</v>
      </c>
      <c r="F40" s="39">
        <f t="shared" si="4"/>
        <v>407.50000000000063</v>
      </c>
      <c r="G40" s="39">
        <f t="shared" si="5"/>
        <v>14262.5</v>
      </c>
      <c r="H40" s="222">
        <f t="shared" si="6"/>
        <v>2.8571428571428619E-2</v>
      </c>
      <c r="I40" s="39"/>
      <c r="J40" s="39"/>
      <c r="K40" s="39"/>
      <c r="L40" s="39">
        <v>14.73</v>
      </c>
    </row>
    <row r="41" spans="1:17" x14ac:dyDescent="0.25">
      <c r="B41" s="184">
        <v>43314</v>
      </c>
      <c r="C41" s="7">
        <v>200</v>
      </c>
      <c r="D41" s="43">
        <v>56.616</v>
      </c>
      <c r="E41" s="39">
        <v>58.78</v>
      </c>
      <c r="F41" s="39">
        <f t="shared" si="4"/>
        <v>432.8000000000003</v>
      </c>
      <c r="G41" s="39">
        <f t="shared" si="5"/>
        <v>11323.2</v>
      </c>
      <c r="H41" s="222">
        <f t="shared" si="6"/>
        <v>3.8222410625971481E-2</v>
      </c>
      <c r="I41" s="39"/>
      <c r="J41" s="39"/>
      <c r="K41" s="39"/>
      <c r="L41" s="39">
        <v>14.75</v>
      </c>
      <c r="Q41" s="2"/>
    </row>
    <row r="42" spans="1:17" x14ac:dyDescent="0.25">
      <c r="B42" s="184">
        <v>43316</v>
      </c>
      <c r="C42" s="10">
        <v>200</v>
      </c>
      <c r="D42" s="39">
        <v>56.65</v>
      </c>
      <c r="E42" s="39">
        <v>59.73</v>
      </c>
      <c r="F42" s="39">
        <f t="shared" si="4"/>
        <v>615.99999999999966</v>
      </c>
      <c r="G42" s="39">
        <f t="shared" si="5"/>
        <v>11330</v>
      </c>
      <c r="H42" s="222">
        <f t="shared" si="6"/>
        <v>5.4368932038834923E-2</v>
      </c>
      <c r="I42" s="39"/>
      <c r="J42" s="39"/>
      <c r="K42" s="39"/>
      <c r="L42" s="39">
        <v>14.99</v>
      </c>
      <c r="Q42" s="2"/>
    </row>
    <row r="43" spans="1:17" x14ac:dyDescent="0.25">
      <c r="B43" s="184">
        <v>43320</v>
      </c>
      <c r="C43" s="10">
        <v>200</v>
      </c>
      <c r="D43" s="39">
        <v>56.65</v>
      </c>
      <c r="E43" s="39">
        <v>58.61</v>
      </c>
      <c r="F43" s="39">
        <f t="shared" ref="F43" si="7">C43*(E43-D43)</f>
        <v>392.00000000000017</v>
      </c>
      <c r="G43" s="39">
        <f t="shared" ref="G43" si="8">D43*C43</f>
        <v>11330</v>
      </c>
      <c r="H43" s="222">
        <f t="shared" ref="H43" si="9">(E43-D43)/D43</f>
        <v>3.4598411297440443E-2</v>
      </c>
      <c r="I43" s="39">
        <v>56</v>
      </c>
      <c r="J43" s="39"/>
      <c r="K43" s="39"/>
      <c r="L43" s="39">
        <v>15.99</v>
      </c>
      <c r="Q43" s="2"/>
    </row>
    <row r="44" spans="1:17" x14ac:dyDescent="0.25">
      <c r="B44" s="184">
        <v>43324</v>
      </c>
      <c r="C44" s="10">
        <v>200</v>
      </c>
      <c r="D44" s="39">
        <v>56.65</v>
      </c>
      <c r="E44" s="39">
        <v>59.05</v>
      </c>
      <c r="F44" s="39">
        <f t="shared" ref="F44" si="10">C44*(E44-D44)</f>
        <v>479.99999999999972</v>
      </c>
      <c r="G44" s="39">
        <f t="shared" ref="G44" si="11">D44*C44</f>
        <v>11330</v>
      </c>
      <c r="H44" s="222">
        <f t="shared" ref="H44" si="12">(E44-D44)/D44</f>
        <v>4.2365401588702535E-2</v>
      </c>
      <c r="I44" s="39"/>
      <c r="J44" s="39"/>
      <c r="K44" s="39"/>
      <c r="L44" s="39">
        <v>14.82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629" priority="35">
      <formula>F54&gt;0</formula>
    </cfRule>
    <cfRule type="expression" dxfId="1628" priority="36">
      <formula>F54&lt;0</formula>
    </cfRule>
  </conditionalFormatting>
  <conditionalFormatting sqref="Q7">
    <cfRule type="expression" dxfId="1627" priority="33">
      <formula>Q7&gt;0</formula>
    </cfRule>
    <cfRule type="expression" dxfId="1626" priority="34">
      <formula>Q7&lt;0</formula>
    </cfRule>
  </conditionalFormatting>
  <conditionalFormatting sqref="Q8">
    <cfRule type="expression" dxfId="1625" priority="31">
      <formula>Q8&gt;0</formula>
    </cfRule>
    <cfRule type="expression" dxfId="1624" priority="32">
      <formula>Q8&lt;0</formula>
    </cfRule>
  </conditionalFormatting>
  <conditionalFormatting sqref="F30:F53">
    <cfRule type="expression" dxfId="1623" priority="29">
      <formula>F30&gt;0</formula>
    </cfRule>
    <cfRule type="expression" dxfId="1622" priority="30">
      <formula>F30&lt;0</formula>
    </cfRule>
  </conditionalFormatting>
  <conditionalFormatting sqref="H30:H53">
    <cfRule type="expression" dxfId="1621" priority="27">
      <formula>H30&gt;0</formula>
    </cfRule>
    <cfRule type="expression" dxfId="1620" priority="28">
      <formula>H30&lt;0</formula>
    </cfRule>
  </conditionalFormatting>
  <conditionalFormatting sqref="Q10">
    <cfRule type="expression" dxfId="1619" priority="25">
      <formula>Q10&gt;0</formula>
    </cfRule>
    <cfRule type="expression" dxfId="1618" priority="26">
      <formula>Q10&lt;0</formula>
    </cfRule>
  </conditionalFormatting>
  <conditionalFormatting sqref="J25:J39">
    <cfRule type="expression" dxfId="1617" priority="23">
      <formula>J25&gt;0</formula>
    </cfRule>
    <cfRule type="expression" dxfId="1616" priority="24">
      <formula>J25&lt;0</formula>
    </cfRule>
  </conditionalFormatting>
  <conditionalFormatting sqref="K25:K39">
    <cfRule type="expression" dxfId="1615" priority="21">
      <formula>K25&gt;0</formula>
    </cfRule>
    <cfRule type="expression" dxfId="1614" priority="22">
      <formula>K25&lt;0</formula>
    </cfRule>
  </conditionalFormatting>
  <conditionalFormatting sqref="L25">
    <cfRule type="expression" dxfId="1613" priority="19">
      <formula>L25&gt;0</formula>
    </cfRule>
    <cfRule type="expression" dxfId="1612" priority="20">
      <formula>L25&lt;0</formula>
    </cfRule>
  </conditionalFormatting>
  <conditionalFormatting sqref="F89:F110">
    <cfRule type="expression" dxfId="1611" priority="17">
      <formula>F89&gt;0</formula>
    </cfRule>
    <cfRule type="expression" dxfId="1610" priority="18">
      <formula>F89&lt;0</formula>
    </cfRule>
  </conditionalFormatting>
  <conditionalFormatting sqref="H89:H110">
    <cfRule type="expression" dxfId="1609" priority="15">
      <formula>H89&gt;0</formula>
    </cfRule>
    <cfRule type="expression" dxfId="1608" priority="16">
      <formula>H89&lt;0</formula>
    </cfRule>
  </conditionalFormatting>
  <conditionalFormatting sqref="J89:J102">
    <cfRule type="expression" dxfId="1607" priority="13">
      <formula>J89&gt;0</formula>
    </cfRule>
    <cfRule type="expression" dxfId="1606" priority="14">
      <formula>J89&lt;0</formula>
    </cfRule>
  </conditionalFormatting>
  <conditionalFormatting sqref="K89:K102">
    <cfRule type="expression" dxfId="1605" priority="11">
      <formula>K89&gt;0</formula>
    </cfRule>
    <cfRule type="expression" dxfId="1604" priority="12">
      <formula>K89&lt;0</formula>
    </cfRule>
  </conditionalFormatting>
  <conditionalFormatting sqref="L89:L102">
    <cfRule type="expression" dxfId="1603" priority="9">
      <formula>L89&gt;0</formula>
    </cfRule>
    <cfRule type="expression" dxfId="1602" priority="10">
      <formula>L89&lt;0</formula>
    </cfRule>
  </conditionalFormatting>
  <conditionalFormatting sqref="F25 F29">
    <cfRule type="expression" dxfId="1601" priority="7">
      <formula>F25&gt;0</formula>
    </cfRule>
    <cfRule type="expression" dxfId="1600" priority="8">
      <formula>F25&lt;0</formula>
    </cfRule>
  </conditionalFormatting>
  <conditionalFormatting sqref="H25 H29">
    <cfRule type="expression" dxfId="1599" priority="5">
      <formula>H25&gt;0</formula>
    </cfRule>
    <cfRule type="expression" dxfId="1598" priority="6">
      <formula>H25&lt;0</formula>
    </cfRule>
  </conditionalFormatting>
  <conditionalFormatting sqref="F26:F28">
    <cfRule type="expression" dxfId="1597" priority="3">
      <formula>F26&gt;0</formula>
    </cfRule>
    <cfRule type="expression" dxfId="1596" priority="4">
      <formula>F26&lt;0</formula>
    </cfRule>
  </conditionalFormatting>
  <conditionalFormatting sqref="H26:H28">
    <cfRule type="expression" dxfId="1595" priority="1">
      <formula>H26&gt;0</formula>
    </cfRule>
    <cfRule type="expression" dxfId="1594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899</v>
      </c>
      <c r="B2" s="434">
        <v>43136</v>
      </c>
      <c r="C2" s="7">
        <v>100</v>
      </c>
      <c r="D2" s="43">
        <v>36.58</v>
      </c>
      <c r="E2" s="43">
        <v>0</v>
      </c>
      <c r="F2" s="43">
        <f t="shared" ref="F2:F10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1400</v>
      </c>
      <c r="T2" s="1"/>
      <c r="U2" t="s">
        <v>1068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>H3*I3-J3</f>
        <v>3449.96</v>
      </c>
      <c r="L3" s="72">
        <v>43313</v>
      </c>
      <c r="M3" s="43">
        <v>50</v>
      </c>
      <c r="O3" s="11" t="s">
        <v>58</v>
      </c>
      <c r="Q3" s="221">
        <f>IF(Q2=0, Q4, (F18-K18-M18)/Q2)</f>
        <v>30.683714285714284</v>
      </c>
      <c r="T3" t="s">
        <v>1122</v>
      </c>
      <c r="U3" t="s">
        <v>1254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>H4*I4-J4</f>
        <v>3288.96</v>
      </c>
      <c r="L4" s="4"/>
      <c r="M4" s="4"/>
      <c r="O4" s="11" t="s">
        <v>66</v>
      </c>
      <c r="Q4" s="54">
        <v>32.26</v>
      </c>
      <c r="R4" s="495">
        <v>-7.1000000000000004E-3</v>
      </c>
    </row>
    <row r="5" spans="1:21" x14ac:dyDescent="0.25">
      <c r="B5" s="434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34">
        <v>43311</v>
      </c>
      <c r="H5" s="80">
        <v>100</v>
      </c>
      <c r="I5" s="43">
        <v>32.08</v>
      </c>
      <c r="J5" s="43">
        <v>0.04</v>
      </c>
      <c r="K5" s="43">
        <f>H5*I5-J5</f>
        <v>3207.96</v>
      </c>
      <c r="L5" s="4"/>
      <c r="M5" s="4"/>
      <c r="O5" s="11" t="s">
        <v>67</v>
      </c>
      <c r="Q5" s="3">
        <f>Q4*Q2</f>
        <v>45164</v>
      </c>
    </row>
    <row r="6" spans="1:21" x14ac:dyDescent="0.25">
      <c r="B6" s="72">
        <v>43292</v>
      </c>
      <c r="C6" s="4">
        <v>100</v>
      </c>
      <c r="D6" s="3">
        <v>32.090000000000003</v>
      </c>
      <c r="E6" s="3">
        <v>0</v>
      </c>
      <c r="F6" s="3">
        <f t="shared" si="0"/>
        <v>3209.0000000000005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42957.2</v>
      </c>
    </row>
    <row r="7" spans="1:21" x14ac:dyDescent="0.25">
      <c r="B7" s="72">
        <v>43294</v>
      </c>
      <c r="C7" s="4">
        <v>100</v>
      </c>
      <c r="D7" s="3">
        <v>31.55</v>
      </c>
      <c r="E7" s="3">
        <v>0</v>
      </c>
      <c r="F7" s="3">
        <f t="shared" si="0"/>
        <v>3155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2206.8000000000029</v>
      </c>
      <c r="R7">
        <v>200</v>
      </c>
      <c r="T7" s="1">
        <v>43215</v>
      </c>
      <c r="U7" t="s">
        <v>1007</v>
      </c>
    </row>
    <row r="8" spans="1:21" x14ac:dyDescent="0.25">
      <c r="B8" s="474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2206.8000000000029</v>
      </c>
      <c r="T8" s="770"/>
      <c r="U8" s="30" t="s">
        <v>1008</v>
      </c>
    </row>
    <row r="9" spans="1:21" x14ac:dyDescent="0.25">
      <c r="B9" s="474">
        <v>43306</v>
      </c>
      <c r="C9" s="4">
        <v>600</v>
      </c>
      <c r="D9" s="3">
        <v>30.48</v>
      </c>
      <c r="E9" s="3">
        <v>0</v>
      </c>
      <c r="F9" s="3">
        <f t="shared" si="0"/>
        <v>18288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5.1372063356084734E-2</v>
      </c>
    </row>
    <row r="10" spans="1:21" x14ac:dyDescent="0.25">
      <c r="B10" s="474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43216</v>
      </c>
      <c r="U10" t="s">
        <v>1009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6.1996280223186616E-2</v>
      </c>
      <c r="R11">
        <v>0.5</v>
      </c>
    </row>
    <row r="12" spans="1:21" x14ac:dyDescent="0.25">
      <c r="H12" s="70"/>
      <c r="O12" s="11" t="s">
        <v>925</v>
      </c>
      <c r="Q12" s="1" t="s">
        <v>1248</v>
      </c>
      <c r="T12" s="1">
        <v>43294</v>
      </c>
      <c r="U12" t="s">
        <v>1179</v>
      </c>
    </row>
    <row r="13" spans="1:21" x14ac:dyDescent="0.25">
      <c r="H13" s="70"/>
      <c r="O13" s="11" t="s">
        <v>952</v>
      </c>
      <c r="Q13" s="2">
        <f>Q4/3.47</f>
        <v>9.2968299711815554</v>
      </c>
      <c r="T13" s="770"/>
    </row>
    <row r="14" spans="1:21" x14ac:dyDescent="0.25">
      <c r="H14" s="70"/>
      <c r="O14" s="11" t="s">
        <v>1214</v>
      </c>
      <c r="Q14" s="29">
        <v>43317</v>
      </c>
    </row>
    <row r="15" spans="1:21" x14ac:dyDescent="0.25">
      <c r="H15" s="70"/>
    </row>
    <row r="16" spans="1:21" x14ac:dyDescent="0.25">
      <c r="H16" s="70"/>
      <c r="T16" s="1">
        <v>43305</v>
      </c>
      <c r="U16" t="s">
        <v>856</v>
      </c>
    </row>
    <row r="17" spans="1:21" ht="20.25" thickBot="1" x14ac:dyDescent="0.35">
      <c r="O17" s="859" t="s">
        <v>78</v>
      </c>
      <c r="P17" s="859"/>
    </row>
    <row r="18" spans="1:21" ht="15.75" thickTop="1" x14ac:dyDescent="0.25">
      <c r="A18" s="31" t="s">
        <v>81</v>
      </c>
      <c r="B18" s="14"/>
      <c r="C18" s="14">
        <f>SUM(C2:C11)</f>
        <v>1800</v>
      </c>
      <c r="D18" s="18"/>
      <c r="E18" s="18"/>
      <c r="F18" s="18">
        <f>SUM(F2:F11)</f>
        <v>56353</v>
      </c>
      <c r="G18" s="14"/>
      <c r="H18" s="71">
        <f>SUM(H2:H17)</f>
        <v>400</v>
      </c>
      <c r="I18" s="18"/>
      <c r="J18" s="18"/>
      <c r="K18" s="18">
        <f>SUM(K2:K17)</f>
        <v>13295.8</v>
      </c>
      <c r="L18" s="14"/>
      <c r="M18" s="18">
        <f>SUM(M2:M10)</f>
        <v>100</v>
      </c>
      <c r="O18" s="81">
        <v>1.1000000000000001</v>
      </c>
      <c r="P18" s="81">
        <f>O18*$Q$4</f>
        <v>35.486000000000004</v>
      </c>
      <c r="T18" s="1">
        <v>43308</v>
      </c>
      <c r="U18" t="s">
        <v>1212</v>
      </c>
    </row>
    <row r="19" spans="1:21" ht="15.75" thickBot="1" x14ac:dyDescent="0.3">
      <c r="A19" s="341" t="s">
        <v>193</v>
      </c>
      <c r="B19" s="342"/>
      <c r="C19" s="343">
        <f>SumByColor($A$19,C2:C17)</f>
        <v>400</v>
      </c>
      <c r="D19" s="343"/>
      <c r="E19" s="343"/>
      <c r="F19" s="344">
        <f>SumByColor($A$19,F2:F17)</f>
        <v>13359</v>
      </c>
      <c r="G19" s="343"/>
      <c r="H19" s="343">
        <f>SumByColor($A$19,H2:H17)</f>
        <v>400</v>
      </c>
      <c r="I19" s="343"/>
      <c r="J19" s="343"/>
      <c r="K19" s="344">
        <f>SumByColor($A$19,K2:K17)</f>
        <v>13296</v>
      </c>
      <c r="L19" s="343"/>
      <c r="M19" s="344">
        <f>SumByColor($A$19,M2:M17)</f>
        <v>100</v>
      </c>
      <c r="O19" s="81">
        <v>1.0900000000000001</v>
      </c>
      <c r="P19" s="81">
        <f t="shared" ref="P19:P38" si="1">O19*$Q$4</f>
        <v>35.163400000000003</v>
      </c>
    </row>
    <row r="20" spans="1:21" x14ac:dyDescent="0.25">
      <c r="O20" s="81">
        <v>1.08</v>
      </c>
      <c r="P20" s="81">
        <f t="shared" si="1"/>
        <v>34.840800000000002</v>
      </c>
      <c r="T20" s="1">
        <v>43320</v>
      </c>
      <c r="U20" t="s">
        <v>1250</v>
      </c>
    </row>
    <row r="21" spans="1:21" x14ac:dyDescent="0.25">
      <c r="O21" s="81">
        <v>1.07</v>
      </c>
      <c r="P21" s="81">
        <f t="shared" si="1"/>
        <v>34.5182</v>
      </c>
    </row>
    <row r="22" spans="1:21" x14ac:dyDescent="0.25">
      <c r="O22" s="81">
        <v>1.06</v>
      </c>
      <c r="P22" s="81">
        <f t="shared" si="1"/>
        <v>34.195599999999999</v>
      </c>
    </row>
    <row r="23" spans="1:21" x14ac:dyDescent="0.25">
      <c r="O23" s="81">
        <v>1.05</v>
      </c>
      <c r="P23" s="81">
        <f t="shared" si="1"/>
        <v>33.872999999999998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1.04</v>
      </c>
      <c r="P24" s="81">
        <f t="shared" si="1"/>
        <v>33.550399999999996</v>
      </c>
    </row>
    <row r="25" spans="1:21" x14ac:dyDescent="0.25">
      <c r="B25" s="184">
        <v>43185</v>
      </c>
      <c r="C25" s="10">
        <v>100</v>
      </c>
      <c r="D25" s="39">
        <v>36.58</v>
      </c>
      <c r="E25" s="39">
        <v>34.69</v>
      </c>
      <c r="F25" s="39">
        <f t="shared" ref="F25:F43" si="2">C25*(E25-D25)</f>
        <v>-189.00000000000006</v>
      </c>
      <c r="G25" s="39">
        <f t="shared" ref="G25:G43" si="3">D25*C25</f>
        <v>3658</v>
      </c>
      <c r="H25" s="222">
        <f t="shared" ref="H25:H43" si="4">(E25-D25)/D25</f>
        <v>-5.166757791142703E-2</v>
      </c>
      <c r="I25" s="39"/>
      <c r="J25" s="39"/>
      <c r="K25" s="39"/>
      <c r="L25" s="39"/>
      <c r="O25" s="81">
        <v>1.03</v>
      </c>
      <c r="P25" s="81">
        <f t="shared" si="1"/>
        <v>33.227800000000002</v>
      </c>
    </row>
    <row r="26" spans="1:21" x14ac:dyDescent="0.25">
      <c r="A26">
        <v>100</v>
      </c>
      <c r="B26" s="184">
        <v>43216</v>
      </c>
      <c r="C26" s="10">
        <v>200</v>
      </c>
      <c r="D26" s="39">
        <v>34.630000000000003</v>
      </c>
      <c r="E26" s="39">
        <v>33.1</v>
      </c>
      <c r="F26" s="39">
        <f t="shared" si="2"/>
        <v>-306.00000000000023</v>
      </c>
      <c r="G26" s="39">
        <f t="shared" si="3"/>
        <v>6926.0000000000009</v>
      </c>
      <c r="H26" s="222">
        <f t="shared" si="4"/>
        <v>-4.4181345654057208E-2</v>
      </c>
      <c r="I26" s="39">
        <v>34</v>
      </c>
      <c r="J26" s="39"/>
      <c r="K26" s="39"/>
      <c r="L26" s="39"/>
      <c r="O26" s="81">
        <v>1.02</v>
      </c>
      <c r="P26" s="81">
        <f t="shared" si="1"/>
        <v>32.905200000000001</v>
      </c>
    </row>
    <row r="27" spans="1:21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2"/>
        <v>-228.00000000000011</v>
      </c>
      <c r="G27" s="39">
        <f t="shared" si="3"/>
        <v>3577.0000000000005</v>
      </c>
      <c r="H27" s="222">
        <f t="shared" si="4"/>
        <v>-6.3740564719038328E-2</v>
      </c>
      <c r="I27" s="39">
        <v>35.25</v>
      </c>
      <c r="J27" s="39"/>
      <c r="K27" s="39"/>
      <c r="L27" s="155"/>
      <c r="O27" s="81">
        <v>1.01</v>
      </c>
      <c r="P27" s="81">
        <f t="shared" si="1"/>
        <v>32.582599999999999</v>
      </c>
    </row>
    <row r="28" spans="1:21" x14ac:dyDescent="0.25">
      <c r="A28">
        <v>0</v>
      </c>
      <c r="B28" s="184">
        <v>43222</v>
      </c>
      <c r="C28" s="10">
        <v>100</v>
      </c>
      <c r="D28" s="39">
        <v>35.270800000000001</v>
      </c>
      <c r="E28" s="39">
        <v>32.06</v>
      </c>
      <c r="F28" s="39">
        <f t="shared" si="2"/>
        <v>-321.07999999999993</v>
      </c>
      <c r="G28" s="39">
        <f t="shared" si="3"/>
        <v>3527.08</v>
      </c>
      <c r="H28" s="222">
        <f t="shared" si="4"/>
        <v>-9.1032809009152019E-2</v>
      </c>
      <c r="I28" s="39"/>
      <c r="J28" s="39"/>
      <c r="K28" s="39"/>
      <c r="L28" s="155"/>
      <c r="O28" s="81">
        <v>1</v>
      </c>
      <c r="P28" s="81">
        <f t="shared" si="1"/>
        <v>32.26</v>
      </c>
    </row>
    <row r="29" spans="1:21" x14ac:dyDescent="0.25">
      <c r="A29">
        <v>0</v>
      </c>
      <c r="B29" s="184">
        <v>43222</v>
      </c>
      <c r="C29" s="10">
        <v>200</v>
      </c>
      <c r="D29" s="39">
        <v>33.675400000000003</v>
      </c>
      <c r="E29" s="39">
        <v>34.18</v>
      </c>
      <c r="F29" s="39">
        <f t="shared" si="2"/>
        <v>100.91999999999928</v>
      </c>
      <c r="G29" s="39">
        <f t="shared" si="3"/>
        <v>6735.0800000000008</v>
      </c>
      <c r="H29" s="222">
        <f t="shared" si="4"/>
        <v>1.4984231813133514E-2</v>
      </c>
      <c r="I29" s="39">
        <v>33.5</v>
      </c>
      <c r="J29" s="39"/>
      <c r="K29" s="39"/>
      <c r="L29" s="155"/>
      <c r="O29" s="81">
        <v>0.99</v>
      </c>
      <c r="P29" s="81">
        <f t="shared" si="1"/>
        <v>31.937399999999997</v>
      </c>
    </row>
    <row r="30" spans="1:21" x14ac:dyDescent="0.25">
      <c r="A30">
        <v>200</v>
      </c>
      <c r="B30" s="184">
        <v>43263</v>
      </c>
      <c r="C30" s="10">
        <v>100</v>
      </c>
      <c r="D30" s="39">
        <v>32.851199999999999</v>
      </c>
      <c r="E30" s="39">
        <v>34.35</v>
      </c>
      <c r="F30" s="39">
        <f t="shared" si="2"/>
        <v>149.88000000000028</v>
      </c>
      <c r="G30" s="39">
        <f t="shared" si="3"/>
        <v>3285.12</v>
      </c>
      <c r="H30" s="222">
        <f t="shared" si="4"/>
        <v>4.5623904149620191E-2</v>
      </c>
      <c r="I30" s="193" t="s">
        <v>1104</v>
      </c>
      <c r="J30" s="39"/>
      <c r="K30" s="39"/>
      <c r="L30" s="155"/>
      <c r="O30" s="81">
        <v>0.98</v>
      </c>
      <c r="P30" s="81">
        <f t="shared" si="1"/>
        <v>31.614799999999999</v>
      </c>
    </row>
    <row r="31" spans="1:21" x14ac:dyDescent="0.25">
      <c r="B31" s="184">
        <v>43264</v>
      </c>
      <c r="C31" s="10">
        <v>200</v>
      </c>
      <c r="D31" s="39">
        <v>32.550600000000003</v>
      </c>
      <c r="E31" s="39">
        <v>32.22</v>
      </c>
      <c r="F31" s="39">
        <f t="shared" si="2"/>
        <v>-66.1200000000008</v>
      </c>
      <c r="G31" s="39">
        <f t="shared" si="3"/>
        <v>6510.1200000000008</v>
      </c>
      <c r="H31" s="222">
        <f t="shared" si="4"/>
        <v>-1.0156494811155678E-2</v>
      </c>
      <c r="I31" s="193" t="s">
        <v>1106</v>
      </c>
      <c r="J31" s="39"/>
      <c r="K31" s="39"/>
      <c r="L31" s="155"/>
      <c r="O31" s="81">
        <v>0.97</v>
      </c>
      <c r="P31" s="81">
        <f t="shared" si="1"/>
        <v>31.292199999999998</v>
      </c>
    </row>
    <row r="32" spans="1:21" x14ac:dyDescent="0.25">
      <c r="B32" s="184">
        <v>43265</v>
      </c>
      <c r="C32" s="10">
        <v>100</v>
      </c>
      <c r="D32" s="39">
        <v>32.211599999999997</v>
      </c>
      <c r="E32" s="39">
        <v>32.520000000000003</v>
      </c>
      <c r="F32" s="39">
        <f t="shared" si="2"/>
        <v>30.8400000000006</v>
      </c>
      <c r="G32" s="39">
        <f t="shared" si="3"/>
        <v>3221.16</v>
      </c>
      <c r="H32" s="222">
        <f t="shared" si="4"/>
        <v>9.5741906642329479E-3</v>
      </c>
      <c r="I32" s="39">
        <v>32</v>
      </c>
      <c r="J32" s="39"/>
      <c r="K32" s="39"/>
      <c r="L32" s="155"/>
      <c r="O32" s="81">
        <v>0.96</v>
      </c>
      <c r="P32" s="81">
        <f t="shared" si="1"/>
        <v>30.969599999999996</v>
      </c>
    </row>
    <row r="33" spans="1:17" x14ac:dyDescent="0.25">
      <c r="B33" s="184">
        <v>43292</v>
      </c>
      <c r="C33" s="10">
        <v>200</v>
      </c>
      <c r="D33" s="39">
        <v>32.150799999999997</v>
      </c>
      <c r="E33" s="39">
        <v>32.090000000000003</v>
      </c>
      <c r="F33" s="39">
        <f t="shared" si="2"/>
        <v>-12.159999999998661</v>
      </c>
      <c r="G33" s="39">
        <f t="shared" si="3"/>
        <v>6430.1599999999989</v>
      </c>
      <c r="H33" s="222">
        <f t="shared" si="4"/>
        <v>-1.8910882466375116E-3</v>
      </c>
      <c r="I33" s="39">
        <v>32</v>
      </c>
      <c r="J33" s="39"/>
      <c r="K33" s="39"/>
      <c r="L33" s="155"/>
      <c r="O33" s="81">
        <v>0.95</v>
      </c>
      <c r="P33" s="81">
        <f t="shared" si="1"/>
        <v>30.646999999999995</v>
      </c>
    </row>
    <row r="34" spans="1:17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2"/>
        <v>-84.149999999999991</v>
      </c>
      <c r="G34" s="39">
        <f t="shared" si="3"/>
        <v>9585.15</v>
      </c>
      <c r="H34" s="222">
        <f t="shared" si="4"/>
        <v>-8.7792053332498704E-3</v>
      </c>
      <c r="I34" s="39">
        <v>31.5</v>
      </c>
      <c r="J34" s="39"/>
      <c r="K34" s="39"/>
      <c r="L34" s="39"/>
      <c r="O34" s="81">
        <v>0.94</v>
      </c>
      <c r="P34" s="81">
        <f t="shared" si="1"/>
        <v>30.324399999999997</v>
      </c>
    </row>
    <row r="35" spans="1:17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2"/>
        <v>-15.150000000000929</v>
      </c>
      <c r="G35" s="39">
        <f t="shared" si="3"/>
        <v>9585.15</v>
      </c>
      <c r="H35" s="222">
        <f t="shared" si="4"/>
        <v>-1.5805699441324265E-3</v>
      </c>
      <c r="I35" s="39"/>
      <c r="J35" s="39"/>
      <c r="K35" s="39"/>
      <c r="L35" s="39"/>
      <c r="O35" s="81">
        <v>0.93</v>
      </c>
      <c r="P35" s="81">
        <f t="shared" si="1"/>
        <v>30.001799999999999</v>
      </c>
    </row>
    <row r="36" spans="1:17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2"/>
        <v>-254.99999999999937</v>
      </c>
      <c r="G36" s="39">
        <f t="shared" si="3"/>
        <v>9585</v>
      </c>
      <c r="H36" s="222">
        <f t="shared" si="4"/>
        <v>-2.6604068857589917E-2</v>
      </c>
      <c r="I36" s="39"/>
      <c r="J36" s="39"/>
      <c r="K36" s="39"/>
      <c r="L36" s="39">
        <v>8.9600000000000009</v>
      </c>
      <c r="O36" s="81">
        <v>0.92</v>
      </c>
      <c r="P36" s="81">
        <f t="shared" si="1"/>
        <v>29.679199999999998</v>
      </c>
    </row>
    <row r="37" spans="1:17" x14ac:dyDescent="0.25">
      <c r="B37" s="184">
        <v>43306</v>
      </c>
      <c r="C37" s="7">
        <v>600</v>
      </c>
      <c r="D37" s="43">
        <v>31.420300000000001</v>
      </c>
      <c r="E37" s="39">
        <v>30.89</v>
      </c>
      <c r="F37" s="39">
        <f t="shared" si="2"/>
        <v>-318.18000000000029</v>
      </c>
      <c r="G37" s="39">
        <f t="shared" si="3"/>
        <v>18852.18</v>
      </c>
      <c r="H37" s="222">
        <f t="shared" si="4"/>
        <v>-1.6877623701874279E-2</v>
      </c>
      <c r="I37" s="39"/>
      <c r="J37" s="39"/>
      <c r="K37" s="39"/>
      <c r="L37" s="39"/>
      <c r="O37" s="81">
        <v>0.91</v>
      </c>
      <c r="P37" s="81">
        <f t="shared" si="1"/>
        <v>29.3566</v>
      </c>
    </row>
    <row r="38" spans="1:17" x14ac:dyDescent="0.25">
      <c r="B38" s="184">
        <v>43306</v>
      </c>
      <c r="C38" s="867">
        <v>1200</v>
      </c>
      <c r="D38" s="868">
        <v>30.95</v>
      </c>
      <c r="E38" s="39">
        <v>30.48</v>
      </c>
      <c r="F38" s="39">
        <f t="shared" si="2"/>
        <v>-563.99999999999864</v>
      </c>
      <c r="G38" s="39">
        <f t="shared" si="3"/>
        <v>37140</v>
      </c>
      <c r="H38" s="222">
        <f t="shared" si="4"/>
        <v>-1.5185783521809333E-2</v>
      </c>
      <c r="I38" s="39">
        <v>30.25</v>
      </c>
      <c r="J38" s="39"/>
      <c r="K38" s="39"/>
      <c r="L38" s="39"/>
      <c r="O38" s="81">
        <v>0.9</v>
      </c>
      <c r="P38" s="81">
        <f t="shared" si="1"/>
        <v>29.033999999999999</v>
      </c>
    </row>
    <row r="39" spans="1:17" x14ac:dyDescent="0.25">
      <c r="B39" s="184">
        <v>43306</v>
      </c>
      <c r="C39" s="10">
        <v>1500</v>
      </c>
      <c r="D39" s="39">
        <v>30.81</v>
      </c>
      <c r="E39" s="39">
        <v>30.25</v>
      </c>
      <c r="F39" s="39">
        <f t="shared" si="2"/>
        <v>-839.99999999999807</v>
      </c>
      <c r="G39" s="39">
        <f t="shared" si="3"/>
        <v>46215</v>
      </c>
      <c r="H39" s="222">
        <f t="shared" si="4"/>
        <v>-1.8175916910094084E-2</v>
      </c>
      <c r="I39" s="39"/>
      <c r="J39" s="39"/>
      <c r="K39" s="39"/>
      <c r="L39" s="39"/>
    </row>
    <row r="40" spans="1:17" x14ac:dyDescent="0.25">
      <c r="A40">
        <v>100</v>
      </c>
      <c r="B40" s="184">
        <v>43308</v>
      </c>
      <c r="C40" s="10">
        <v>1500</v>
      </c>
      <c r="D40" s="39">
        <v>30.81</v>
      </c>
      <c r="E40" s="39">
        <v>31.08</v>
      </c>
      <c r="F40" s="39">
        <f t="shared" si="2"/>
        <v>404.99999999999937</v>
      </c>
      <c r="G40" s="39">
        <f t="shared" si="3"/>
        <v>46215</v>
      </c>
      <c r="H40" s="222">
        <f t="shared" si="4"/>
        <v>8.7633885102239399E-3</v>
      </c>
      <c r="I40" s="39"/>
      <c r="J40" s="39"/>
      <c r="K40" s="39"/>
      <c r="L40" s="39">
        <v>8.9600000000000009</v>
      </c>
    </row>
    <row r="41" spans="1:17" x14ac:dyDescent="0.25">
      <c r="A41">
        <v>0</v>
      </c>
      <c r="B41" s="184">
        <v>43311</v>
      </c>
      <c r="C41" s="10">
        <v>1400</v>
      </c>
      <c r="D41" s="39">
        <v>30.7194</v>
      </c>
      <c r="E41" s="39">
        <v>32</v>
      </c>
      <c r="F41" s="39">
        <f t="shared" si="2"/>
        <v>1792.8399999999997</v>
      </c>
      <c r="G41" s="39">
        <f t="shared" si="3"/>
        <v>43007.16</v>
      </c>
      <c r="H41" s="222">
        <f t="shared" si="4"/>
        <v>4.1687012116122052E-2</v>
      </c>
      <c r="I41" s="39"/>
      <c r="J41" s="39"/>
      <c r="K41" s="39"/>
      <c r="L41" s="39">
        <v>9.2200000000000006</v>
      </c>
      <c r="Q41" s="2"/>
    </row>
    <row r="42" spans="1:17" x14ac:dyDescent="0.25">
      <c r="A42">
        <v>0</v>
      </c>
      <c r="B42" s="184">
        <v>43313</v>
      </c>
      <c r="C42" s="10">
        <v>1400</v>
      </c>
      <c r="D42" s="39">
        <v>30.683700000000002</v>
      </c>
      <c r="E42" s="39">
        <v>31.9</v>
      </c>
      <c r="F42" s="39">
        <f t="shared" si="2"/>
        <v>1702.8199999999956</v>
      </c>
      <c r="G42" s="39">
        <f t="shared" si="3"/>
        <v>42957.18</v>
      </c>
      <c r="H42" s="222">
        <f t="shared" si="4"/>
        <v>3.9639939120770858E-2</v>
      </c>
      <c r="I42" s="39"/>
      <c r="J42" s="39"/>
      <c r="K42" s="39"/>
      <c r="L42" s="39">
        <v>9.19</v>
      </c>
      <c r="Q42" s="2"/>
    </row>
    <row r="43" spans="1:17" x14ac:dyDescent="0.25">
      <c r="A43" s="1">
        <v>43325</v>
      </c>
      <c r="B43" s="184">
        <v>43316</v>
      </c>
      <c r="C43" s="10">
        <v>1400</v>
      </c>
      <c r="D43" s="39">
        <v>30.68</v>
      </c>
      <c r="E43" s="39">
        <v>32.270000000000003</v>
      </c>
      <c r="F43" s="39">
        <f t="shared" si="2"/>
        <v>2226.0000000000045</v>
      </c>
      <c r="G43" s="39">
        <f t="shared" si="3"/>
        <v>42952</v>
      </c>
      <c r="H43" s="222">
        <f t="shared" si="4"/>
        <v>5.1825293350717193E-2</v>
      </c>
      <c r="I43" s="39"/>
      <c r="J43" s="39"/>
      <c r="K43" s="39"/>
      <c r="L43" s="39">
        <v>9.3000000000000007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7:P17"/>
  </mergeCells>
  <conditionalFormatting sqref="O18:O3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3:F63 H53:H63">
    <cfRule type="expression" dxfId="1593" priority="31">
      <formula>F53&gt;0</formula>
    </cfRule>
    <cfRule type="expression" dxfId="1592" priority="32">
      <formula>F53&lt;0</formula>
    </cfRule>
  </conditionalFormatting>
  <conditionalFormatting sqref="Q7">
    <cfRule type="expression" dxfId="1591" priority="29">
      <formula>Q7&gt;0</formula>
    </cfRule>
    <cfRule type="expression" dxfId="1590" priority="30">
      <formula>Q7&lt;0</formula>
    </cfRule>
  </conditionalFormatting>
  <conditionalFormatting sqref="Q8">
    <cfRule type="expression" dxfId="1589" priority="27">
      <formula>Q8&gt;0</formula>
    </cfRule>
    <cfRule type="expression" dxfId="1588" priority="28">
      <formula>Q8&lt;0</formula>
    </cfRule>
  </conditionalFormatting>
  <conditionalFormatting sqref="F30:F52">
    <cfRule type="expression" dxfId="1587" priority="25">
      <formula>F30&gt;0</formula>
    </cfRule>
    <cfRule type="expression" dxfId="1586" priority="26">
      <formula>F30&lt;0</formula>
    </cfRule>
  </conditionalFormatting>
  <conditionalFormatting sqref="H30:H52">
    <cfRule type="expression" dxfId="1585" priority="23">
      <formula>H30&gt;0</formula>
    </cfRule>
    <cfRule type="expression" dxfId="1584" priority="24">
      <formula>H30&lt;0</formula>
    </cfRule>
  </conditionalFormatting>
  <conditionalFormatting sqref="Q10">
    <cfRule type="expression" dxfId="1583" priority="21">
      <formula>Q10&gt;0</formula>
    </cfRule>
    <cfRule type="expression" dxfId="1582" priority="22">
      <formula>Q10&lt;0</formula>
    </cfRule>
  </conditionalFormatting>
  <conditionalFormatting sqref="J25:J38">
    <cfRule type="expression" dxfId="1581" priority="19">
      <formula>J25&gt;0</formula>
    </cfRule>
    <cfRule type="expression" dxfId="1580" priority="20">
      <formula>J25&lt;0</formula>
    </cfRule>
  </conditionalFormatting>
  <conditionalFormatting sqref="K25:K38">
    <cfRule type="expression" dxfId="1579" priority="17">
      <formula>K25&gt;0</formula>
    </cfRule>
    <cfRule type="expression" dxfId="1578" priority="18">
      <formula>K25&lt;0</formula>
    </cfRule>
  </conditionalFormatting>
  <conditionalFormatting sqref="L25:L33">
    <cfRule type="expression" dxfId="1577" priority="15">
      <formula>L25&gt;0</formula>
    </cfRule>
    <cfRule type="expression" dxfId="1576" priority="16">
      <formula>L25&lt;0</formula>
    </cfRule>
  </conditionalFormatting>
  <conditionalFormatting sqref="F89:F110">
    <cfRule type="expression" dxfId="1575" priority="13">
      <formula>F89&gt;0</formula>
    </cfRule>
    <cfRule type="expression" dxfId="1574" priority="14">
      <formula>F89&lt;0</formula>
    </cfRule>
  </conditionalFormatting>
  <conditionalFormatting sqref="H89:H110">
    <cfRule type="expression" dxfId="1573" priority="11">
      <formula>H89&gt;0</formula>
    </cfRule>
    <cfRule type="expression" dxfId="1572" priority="12">
      <formula>H89&lt;0</formula>
    </cfRule>
  </conditionalFormatting>
  <conditionalFormatting sqref="J89:J102">
    <cfRule type="expression" dxfId="1571" priority="9">
      <formula>J89&gt;0</formula>
    </cfRule>
    <cfRule type="expression" dxfId="1570" priority="10">
      <formula>J89&lt;0</formula>
    </cfRule>
  </conditionalFormatting>
  <conditionalFormatting sqref="K89:K102">
    <cfRule type="expression" dxfId="1569" priority="7">
      <formula>K89&gt;0</formula>
    </cfRule>
    <cfRule type="expression" dxfId="1568" priority="8">
      <formula>K89&lt;0</formula>
    </cfRule>
  </conditionalFormatting>
  <conditionalFormatting sqref="L89:L102">
    <cfRule type="expression" dxfId="1567" priority="5">
      <formula>L89&gt;0</formula>
    </cfRule>
    <cfRule type="expression" dxfId="1566" priority="6">
      <formula>L89&lt;0</formula>
    </cfRule>
  </conditionalFormatting>
  <conditionalFormatting sqref="F25:F29">
    <cfRule type="expression" dxfId="1565" priority="3">
      <formula>F25&gt;0</formula>
    </cfRule>
    <cfRule type="expression" dxfId="1564" priority="4">
      <formula>F25&lt;0</formula>
    </cfRule>
  </conditionalFormatting>
  <conditionalFormatting sqref="H25:H29">
    <cfRule type="expression" dxfId="1563" priority="1">
      <formula>H25&gt;0</formula>
    </cfRule>
    <cfRule type="expression" dxfId="156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661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0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0</v>
      </c>
      <c r="R4" s="495">
        <v>0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1066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 t="e">
        <f>0.5/Q4</f>
        <v>#DIV/0!</v>
      </c>
      <c r="S11">
        <v>0.5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>
        <f>Q4/6.86</f>
        <v>0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59" t="s">
        <v>78</v>
      </c>
      <c r="P24" s="859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0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0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0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0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0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0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0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0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0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0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0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0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0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0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0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976</v>
      </c>
      <c r="J40" s="39">
        <v>1048</v>
      </c>
      <c r="K40" s="39"/>
      <c r="L40" s="39">
        <v>27.52</v>
      </c>
      <c r="O40" s="81">
        <v>0.95</v>
      </c>
      <c r="P40" s="81">
        <f t="shared" si="3"/>
        <v>0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0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0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0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0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0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561" priority="24">
      <formula>F51&gt;0</formula>
    </cfRule>
    <cfRule type="expression" dxfId="1560" priority="25">
      <formula>F51&lt;0</formula>
    </cfRule>
  </conditionalFormatting>
  <conditionalFormatting sqref="Q7">
    <cfRule type="expression" dxfId="1559" priority="22">
      <formula>Q7&gt;0</formula>
    </cfRule>
    <cfRule type="expression" dxfId="1558" priority="23">
      <formula>Q7&lt;0</formula>
    </cfRule>
  </conditionalFormatting>
  <conditionalFormatting sqref="Q8">
    <cfRule type="expression" dxfId="1557" priority="20">
      <formula>Q8&gt;0</formula>
    </cfRule>
    <cfRule type="expression" dxfId="1556" priority="21">
      <formula>Q8&lt;0</formula>
    </cfRule>
  </conditionalFormatting>
  <conditionalFormatting sqref="F25:F50">
    <cfRule type="expression" dxfId="1555" priority="18">
      <formula>F25&gt;0</formula>
    </cfRule>
    <cfRule type="expression" dxfId="1554" priority="19">
      <formula>F25&lt;0</formula>
    </cfRule>
  </conditionalFormatting>
  <conditionalFormatting sqref="H25:H50">
    <cfRule type="expression" dxfId="1553" priority="16">
      <formula>H25&gt;0</formula>
    </cfRule>
    <cfRule type="expression" dxfId="1552" priority="17">
      <formula>H25&lt;0</formula>
    </cfRule>
  </conditionalFormatting>
  <conditionalFormatting sqref="F89:F110">
    <cfRule type="expression" dxfId="1551" priority="14">
      <formula>F89&gt;0</formula>
    </cfRule>
    <cfRule type="expression" dxfId="1550" priority="15">
      <formula>F89&lt;0</formula>
    </cfRule>
  </conditionalFormatting>
  <conditionalFormatting sqref="H89:H110">
    <cfRule type="expression" dxfId="1549" priority="12">
      <formula>H89&gt;0</formula>
    </cfRule>
    <cfRule type="expression" dxfId="1548" priority="13">
      <formula>H89&lt;0</formula>
    </cfRule>
  </conditionalFormatting>
  <conditionalFormatting sqref="Q10">
    <cfRule type="expression" dxfId="1547" priority="10">
      <formula>Q10&gt;0</formula>
    </cfRule>
    <cfRule type="expression" dxfId="1546" priority="11">
      <formula>Q10&lt;0</formula>
    </cfRule>
  </conditionalFormatting>
  <conditionalFormatting sqref="J25:J39">
    <cfRule type="expression" dxfId="1545" priority="8">
      <formula>J25&gt;0</formula>
    </cfRule>
    <cfRule type="expression" dxfId="1544" priority="9">
      <formula>J25&lt;0</formula>
    </cfRule>
  </conditionalFormatting>
  <conditionalFormatting sqref="K25:K38">
    <cfRule type="expression" dxfId="1543" priority="6">
      <formula>K25&gt;0</formula>
    </cfRule>
    <cfRule type="expression" dxfId="1542" priority="7">
      <formula>K25&lt;0</formula>
    </cfRule>
  </conditionalFormatting>
  <conditionalFormatting sqref="L25:L38">
    <cfRule type="expression" dxfId="1541" priority="4">
      <formula>L25&gt;0</formula>
    </cfRule>
    <cfRule type="expression" dxfId="1540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539" priority="1">
      <formula>J40&gt;0</formula>
    </cfRule>
    <cfRule type="expression" dxfId="1538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206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205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61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61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487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488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62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62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273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293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291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292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294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300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318</v>
      </c>
      <c r="J235" s="39"/>
      <c r="K235" s="39"/>
    </row>
    <row r="236" spans="1:11" x14ac:dyDescent="0.25">
      <c r="A236" t="s">
        <v>327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352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352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369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373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388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395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398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403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404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405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410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410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410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537" priority="74">
      <formula>F12&gt;0</formula>
    </cfRule>
    <cfRule type="expression" dxfId="1536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35" priority="67">
      <formula>F124&gt;0</formula>
    </cfRule>
    <cfRule type="expression" dxfId="1534" priority="68">
      <formula>F124&lt;0</formula>
    </cfRule>
  </conditionalFormatting>
  <conditionalFormatting sqref="H124:H130">
    <cfRule type="expression" dxfId="1533" priority="55">
      <formula>H124&gt;0</formula>
    </cfRule>
    <cfRule type="expression" dxfId="1532" priority="56">
      <formula>H124&lt;0</formula>
    </cfRule>
  </conditionalFormatting>
  <conditionalFormatting sqref="H131">
    <cfRule type="expression" dxfId="1531" priority="53">
      <formula>H131&gt;0</formula>
    </cfRule>
    <cfRule type="expression" dxfId="1530" priority="54">
      <formula>H131&lt;0</formula>
    </cfRule>
  </conditionalFormatting>
  <conditionalFormatting sqref="H132">
    <cfRule type="expression" dxfId="1529" priority="51">
      <formula>H132&gt;0</formula>
    </cfRule>
    <cfRule type="expression" dxfId="1528" priority="52">
      <formula>H132&lt;0</formula>
    </cfRule>
  </conditionalFormatting>
  <conditionalFormatting sqref="H133:H135">
    <cfRule type="expression" dxfId="1527" priority="49">
      <formula>H133&gt;0</formula>
    </cfRule>
    <cfRule type="expression" dxfId="1526" priority="50">
      <formula>H133&lt;0</formula>
    </cfRule>
  </conditionalFormatting>
  <conditionalFormatting sqref="H136">
    <cfRule type="expression" dxfId="1525" priority="45">
      <formula>H136&gt;0</formula>
    </cfRule>
    <cfRule type="expression" dxfId="1524" priority="46">
      <formula>H136&lt;0</formula>
    </cfRule>
  </conditionalFormatting>
  <conditionalFormatting sqref="Q7">
    <cfRule type="expression" dxfId="1523" priority="39">
      <formula>Q7&gt;0</formula>
    </cfRule>
    <cfRule type="expression" dxfId="1522" priority="40">
      <formula>Q7&lt;0</formula>
    </cfRule>
  </conditionalFormatting>
  <conditionalFormatting sqref="Q8">
    <cfRule type="expression" dxfId="1521" priority="37">
      <formula>Q8&gt;0</formula>
    </cfRule>
    <cfRule type="expression" dxfId="1520" priority="38">
      <formula>Q8&lt;0</formula>
    </cfRule>
  </conditionalFormatting>
  <conditionalFormatting sqref="F167:F178 H167:H178">
    <cfRule type="expression" dxfId="1519" priority="35">
      <formula>F167&gt;0</formula>
    </cfRule>
    <cfRule type="expression" dxfId="1518" priority="36">
      <formula>F167&lt;0</formula>
    </cfRule>
  </conditionalFormatting>
  <conditionalFormatting sqref="F183:F197 H183:H197">
    <cfRule type="expression" dxfId="1517" priority="33">
      <formula>F183&gt;0</formula>
    </cfRule>
    <cfRule type="expression" dxfId="1516" priority="34">
      <formula>F183&lt;0</formula>
    </cfRule>
  </conditionalFormatting>
  <conditionalFormatting sqref="F198:F206 H198:H206">
    <cfRule type="expression" dxfId="1515" priority="31">
      <formula>F198&gt;0</formula>
    </cfRule>
    <cfRule type="expression" dxfId="1514" priority="32">
      <formula>F198&lt;0</formula>
    </cfRule>
  </conditionalFormatting>
  <conditionalFormatting sqref="F141:F147 H141:H147">
    <cfRule type="expression" dxfId="1513" priority="29">
      <formula>F141&gt;0</formula>
    </cfRule>
    <cfRule type="expression" dxfId="1512" priority="30">
      <formula>F141&lt;0</formula>
    </cfRule>
  </conditionalFormatting>
  <conditionalFormatting sqref="H149:H152 F149:F152">
    <cfRule type="expression" dxfId="1511" priority="27">
      <formula>F149&gt;0</formula>
    </cfRule>
    <cfRule type="expression" dxfId="1510" priority="28">
      <formula>F149&lt;0</formula>
    </cfRule>
  </conditionalFormatting>
  <conditionalFormatting sqref="F226 H215:H218 H257:H260 F257:F260 H226 H231:H233 F231:F233 F235:F244 H235:H244">
    <cfRule type="expression" dxfId="1509" priority="25">
      <formula>F215&gt;0</formula>
    </cfRule>
    <cfRule type="expression" dxfId="1508" priority="26">
      <formula>F215&lt;0</formula>
    </cfRule>
  </conditionalFormatting>
  <conditionalFormatting sqref="F207:F218">
    <cfRule type="expression" dxfId="1507" priority="23">
      <formula>F207&gt;0</formula>
    </cfRule>
    <cfRule type="expression" dxfId="1506" priority="24">
      <formula>F207&lt;0</formula>
    </cfRule>
  </conditionalFormatting>
  <conditionalFormatting sqref="H207:H208">
    <cfRule type="expression" dxfId="1505" priority="21">
      <formula>H207&gt;0</formula>
    </cfRule>
    <cfRule type="expression" dxfId="1504" priority="22">
      <formula>H207&lt;0</formula>
    </cfRule>
  </conditionalFormatting>
  <conditionalFormatting sqref="H209">
    <cfRule type="expression" dxfId="1503" priority="19">
      <formula>H209&gt;0</formula>
    </cfRule>
    <cfRule type="expression" dxfId="1502" priority="20">
      <formula>H209&lt;0</formula>
    </cfRule>
  </conditionalFormatting>
  <conditionalFormatting sqref="H210">
    <cfRule type="expression" dxfId="1501" priority="17">
      <formula>H210&gt;0</formula>
    </cfRule>
    <cfRule type="expression" dxfId="1500" priority="18">
      <formula>H210&lt;0</formula>
    </cfRule>
  </conditionalFormatting>
  <conditionalFormatting sqref="H211:H213">
    <cfRule type="expression" dxfId="1499" priority="15">
      <formula>H211&gt;0</formula>
    </cfRule>
    <cfRule type="expression" dxfId="1498" priority="16">
      <formula>H211&lt;0</formula>
    </cfRule>
  </conditionalFormatting>
  <conditionalFormatting sqref="H214">
    <cfRule type="expression" dxfId="1497" priority="13">
      <formula>H214&gt;0</formula>
    </cfRule>
    <cfRule type="expression" dxfId="1496" priority="14">
      <formula>H214&lt;0</formula>
    </cfRule>
  </conditionalFormatting>
  <conditionalFormatting sqref="F245:F256 H245:H256">
    <cfRule type="expression" dxfId="1495" priority="11">
      <formula>F245&gt;0</formula>
    </cfRule>
    <cfRule type="expression" dxfId="1494" priority="12">
      <formula>F245&lt;0</formula>
    </cfRule>
  </conditionalFormatting>
  <conditionalFormatting sqref="F261:F275 H261:H275">
    <cfRule type="expression" dxfId="1493" priority="9">
      <formula>F261&gt;0</formula>
    </cfRule>
    <cfRule type="expression" dxfId="1492" priority="10">
      <formula>F261&lt;0</formula>
    </cfRule>
  </conditionalFormatting>
  <conditionalFormatting sqref="F276:F283 H276:H283">
    <cfRule type="expression" dxfId="1491" priority="7">
      <formula>F276&gt;0</formula>
    </cfRule>
    <cfRule type="expression" dxfId="1490" priority="8">
      <formula>F276&lt;0</formula>
    </cfRule>
  </conditionalFormatting>
  <conditionalFormatting sqref="F219:F225 H219:H225">
    <cfRule type="expression" dxfId="1489" priority="5">
      <formula>F219&gt;0</formula>
    </cfRule>
    <cfRule type="expression" dxfId="1488" priority="6">
      <formula>F219&lt;0</formula>
    </cfRule>
  </conditionalFormatting>
  <conditionalFormatting sqref="H227:H230 F227:F230">
    <cfRule type="expression" dxfId="1487" priority="3">
      <formula>F227&gt;0</formula>
    </cfRule>
    <cfRule type="expression" dxfId="1486" priority="4">
      <formula>F227&lt;0</formula>
    </cfRule>
  </conditionalFormatting>
  <conditionalFormatting sqref="H234 F234">
    <cfRule type="expression" dxfId="1485" priority="1">
      <formula>F234&gt;0</formula>
    </cfRule>
    <cfRule type="expression" dxfId="1484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139.15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139.15</v>
      </c>
      <c r="R4" s="475">
        <v>-3.8999999999999998E-3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205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59" t="s">
        <v>78</v>
      </c>
      <c r="P40" s="859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153.06500000000003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151.67350000000002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150.28200000000001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148.8905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147.49900000000002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146.10750000000002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144.71600000000001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143.3245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141.93300000000002</v>
      </c>
      <c r="Q49" s="2"/>
      <c r="T49" s="91" t="s">
        <v>121</v>
      </c>
      <c r="U49" s="127" t="s">
        <v>381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140.54150000000001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139.15</v>
      </c>
      <c r="Q51" s="2"/>
      <c r="T51" s="91" t="s">
        <v>104</v>
      </c>
      <c r="U51" s="127" t="s">
        <v>578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137.7585</v>
      </c>
      <c r="Q52" s="2"/>
      <c r="T52" s="91" t="s">
        <v>105</v>
      </c>
      <c r="U52" s="127" t="s">
        <v>412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136.36699999999999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134.97550000000001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133.584</v>
      </c>
      <c r="T55" s="91" t="s">
        <v>107</v>
      </c>
      <c r="U55" s="127" t="s">
        <v>579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132.1925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130.80099999999999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129.40950000000001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128.018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126.62650000000001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125.23500000000001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303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344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344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83" priority="43">
      <formula>F33&gt;0</formula>
    </cfRule>
    <cfRule type="expression" dxfId="1482" priority="44">
      <formula>F33&lt;0</formula>
    </cfRule>
  </conditionalFormatting>
  <conditionalFormatting sqref="Q7">
    <cfRule type="expression" dxfId="1481" priority="41">
      <formula>Q7&gt;0</formula>
    </cfRule>
    <cfRule type="expression" dxfId="1480" priority="42">
      <formula>Q7&lt;0</formula>
    </cfRule>
  </conditionalFormatting>
  <conditionalFormatting sqref="Q8">
    <cfRule type="expression" dxfId="1479" priority="39">
      <formula>Q8&gt;0</formula>
    </cfRule>
    <cfRule type="expression" dxfId="1478" priority="40">
      <formula>Q8&lt;0</formula>
    </cfRule>
  </conditionalFormatting>
  <conditionalFormatting sqref="F29 F32">
    <cfRule type="expression" dxfId="1477" priority="37">
      <formula>F29&gt;0</formula>
    </cfRule>
    <cfRule type="expression" dxfId="1476" priority="38">
      <formula>F29&lt;0</formula>
    </cfRule>
  </conditionalFormatting>
  <conditionalFormatting sqref="H29 H32">
    <cfRule type="expression" dxfId="1475" priority="35">
      <formula>H29&gt;0</formula>
    </cfRule>
    <cfRule type="expression" dxfId="1474" priority="36">
      <formula>H29&lt;0</formula>
    </cfRule>
  </conditionalFormatting>
  <conditionalFormatting sqref="F30:F31">
    <cfRule type="expression" dxfId="1473" priority="33">
      <formula>F30&gt;0</formula>
    </cfRule>
    <cfRule type="expression" dxfId="1472" priority="34">
      <formula>F30&lt;0</formula>
    </cfRule>
  </conditionalFormatting>
  <conditionalFormatting sqref="H30:H31">
    <cfRule type="expression" dxfId="1471" priority="31">
      <formula>H30&gt;0</formula>
    </cfRule>
    <cfRule type="expression" dxfId="1470" priority="32">
      <formula>H30&lt;0</formula>
    </cfRule>
  </conditionalFormatting>
  <conditionalFormatting sqref="F105:F140 H105:H140">
    <cfRule type="expression" dxfId="1469" priority="29">
      <formula>F105&gt;0</formula>
    </cfRule>
    <cfRule type="expression" dxfId="1468" priority="30">
      <formula>F105&lt;0</formula>
    </cfRule>
  </conditionalFormatting>
  <conditionalFormatting sqref="F96:F99">
    <cfRule type="expression" dxfId="1467" priority="27">
      <formula>F96&gt;0</formula>
    </cfRule>
    <cfRule type="expression" dxfId="1466" priority="28">
      <formula>F96&lt;0</formula>
    </cfRule>
  </conditionalFormatting>
  <conditionalFormatting sqref="H96:H99">
    <cfRule type="expression" dxfId="1465" priority="25">
      <formula>H96&gt;0</formula>
    </cfRule>
    <cfRule type="expression" dxfId="1464" priority="26">
      <formula>H96&lt;0</formula>
    </cfRule>
  </conditionalFormatting>
  <conditionalFormatting sqref="F25:F28">
    <cfRule type="expression" dxfId="1463" priority="19">
      <formula>F25&gt;0</formula>
    </cfRule>
    <cfRule type="expression" dxfId="1462" priority="20">
      <formula>F25&lt;0</formula>
    </cfRule>
  </conditionalFormatting>
  <conditionalFormatting sqref="H25:H28">
    <cfRule type="expression" dxfId="1461" priority="17">
      <formula>H25&gt;0</formula>
    </cfRule>
    <cfRule type="expression" dxfId="1460" priority="18">
      <formula>H25&lt;0</formula>
    </cfRule>
  </conditionalFormatting>
  <conditionalFormatting sqref="J27">
    <cfRule type="expression" dxfId="1459" priority="15">
      <formula>J27&gt;0</formula>
    </cfRule>
    <cfRule type="expression" dxfId="1458" priority="16">
      <formula>J27&lt;0</formula>
    </cfRule>
  </conditionalFormatting>
  <conditionalFormatting sqref="F104">
    <cfRule type="expression" dxfId="1457" priority="13">
      <formula>F104&gt;0</formula>
    </cfRule>
    <cfRule type="expression" dxfId="1456" priority="14">
      <formula>F104&lt;0</formula>
    </cfRule>
  </conditionalFormatting>
  <conditionalFormatting sqref="H104">
    <cfRule type="expression" dxfId="1455" priority="11">
      <formula>H104&gt;0</formula>
    </cfRule>
    <cfRule type="expression" dxfId="1454" priority="12">
      <formula>H104&lt;0</formula>
    </cfRule>
  </conditionalFormatting>
  <conditionalFormatting sqref="F100:F103">
    <cfRule type="expression" dxfId="1453" priority="9">
      <formula>F100&gt;0</formula>
    </cfRule>
    <cfRule type="expression" dxfId="1452" priority="10">
      <formula>F100&lt;0</formula>
    </cfRule>
  </conditionalFormatting>
  <conditionalFormatting sqref="H100:H103">
    <cfRule type="expression" dxfId="1451" priority="7">
      <formula>H100&gt;0</formula>
    </cfRule>
    <cfRule type="expression" dxfId="1450" priority="8">
      <formula>H100&lt;0</formula>
    </cfRule>
  </conditionalFormatting>
  <conditionalFormatting sqref="J102">
    <cfRule type="expression" dxfId="1449" priority="5">
      <formula>J102&gt;0</formula>
    </cfRule>
    <cfRule type="expression" dxfId="1448" priority="6">
      <formula>J102&lt;0</formula>
    </cfRule>
  </conditionalFormatting>
  <conditionalFormatting sqref="Q10">
    <cfRule type="expression" dxfId="1447" priority="3">
      <formula>Q10&gt;0</formula>
    </cfRule>
    <cfRule type="expression" dxfId="1446" priority="4">
      <formula>Q10&lt;0</formula>
    </cfRule>
  </conditionalFormatting>
  <conditionalFormatting sqref="M71">
    <cfRule type="expression" dxfId="1445" priority="1">
      <formula>M71&gt;0</formula>
    </cfRule>
    <cfRule type="expression" dxfId="1444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99.81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99.81</v>
      </c>
      <c r="R4" s="475">
        <v>8.0000000000000004E-4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9" t="s">
        <v>78</v>
      </c>
      <c r="P40" s="859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109.79100000000001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108.79290000000002</v>
      </c>
      <c r="Q42" s="2"/>
      <c r="T42" s="89"/>
    </row>
    <row r="43" spans="1:21" ht="15.75" thickTop="1" x14ac:dyDescent="0.25">
      <c r="O43" s="81">
        <v>1.08</v>
      </c>
      <c r="P43" s="81">
        <f t="shared" si="0"/>
        <v>107.79480000000001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106.79670000000002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105.79860000000001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104.80050000000001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103.80240000000001</v>
      </c>
      <c r="Q47" s="2"/>
      <c r="T47" s="91"/>
      <c r="U47" s="127"/>
    </row>
    <row r="48" spans="1:21" x14ac:dyDescent="0.25">
      <c r="A48" s="254" t="s">
        <v>671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102.80430000000001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101.8062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100.80810000000001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99.81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98.811899999999994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97.813800000000001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96.815699999999993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95.817599999999999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94.819499999999991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93.821399999999997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92.823300000000003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91.825200000000009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90.827100000000002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89.829000000000008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43" priority="33">
      <formula>F34&gt;0</formula>
    </cfRule>
    <cfRule type="expression" dxfId="1442" priority="34">
      <formula>F34&lt;0</formula>
    </cfRule>
  </conditionalFormatting>
  <conditionalFormatting sqref="Q7">
    <cfRule type="expression" dxfId="1441" priority="31">
      <formula>Q7&gt;0</formula>
    </cfRule>
    <cfRule type="expression" dxfId="1440" priority="32">
      <formula>Q7&lt;0</formula>
    </cfRule>
  </conditionalFormatting>
  <conditionalFormatting sqref="Q8">
    <cfRule type="expression" dxfId="1439" priority="29">
      <formula>Q8&gt;0</formula>
    </cfRule>
    <cfRule type="expression" dxfId="1438" priority="30">
      <formula>Q8&lt;0</formula>
    </cfRule>
  </conditionalFormatting>
  <conditionalFormatting sqref="F27:F33">
    <cfRule type="expression" dxfId="1437" priority="27">
      <formula>F27&gt;0</formula>
    </cfRule>
    <cfRule type="expression" dxfId="1436" priority="28">
      <formula>F27&lt;0</formula>
    </cfRule>
  </conditionalFormatting>
  <conditionalFormatting sqref="H27:H33">
    <cfRule type="expression" dxfId="1435" priority="25">
      <formula>H27&gt;0</formula>
    </cfRule>
    <cfRule type="expression" dxfId="1434" priority="26">
      <formula>H27&lt;0</formula>
    </cfRule>
  </conditionalFormatting>
  <conditionalFormatting sqref="M46">
    <cfRule type="expression" dxfId="1433" priority="23">
      <formula>M46&gt;0</formula>
    </cfRule>
    <cfRule type="expression" dxfId="1432" priority="24">
      <formula>M46&lt;0</formula>
    </cfRule>
  </conditionalFormatting>
  <conditionalFormatting sqref="F79:F87 H79:H87">
    <cfRule type="expression" dxfId="1431" priority="21">
      <formula>F79&gt;0</formula>
    </cfRule>
    <cfRule type="expression" dxfId="1430" priority="22">
      <formula>F79&lt;0</formula>
    </cfRule>
  </conditionalFormatting>
  <conditionalFormatting sqref="F73 F77:F78">
    <cfRule type="expression" dxfId="1429" priority="19">
      <formula>F73&gt;0</formula>
    </cfRule>
    <cfRule type="expression" dxfId="1428" priority="20">
      <formula>F73&lt;0</formula>
    </cfRule>
  </conditionalFormatting>
  <conditionalFormatting sqref="H73 H77:H78">
    <cfRule type="expression" dxfId="1427" priority="17">
      <formula>H73&gt;0</formula>
    </cfRule>
    <cfRule type="expression" dxfId="1426" priority="18">
      <formula>H73&lt;0</formula>
    </cfRule>
  </conditionalFormatting>
  <conditionalFormatting sqref="F70:F72">
    <cfRule type="expression" dxfId="1425" priority="15">
      <formula>F70&gt;0</formula>
    </cfRule>
    <cfRule type="expression" dxfId="1424" priority="16">
      <formula>F70&lt;0</formula>
    </cfRule>
  </conditionalFormatting>
  <conditionalFormatting sqref="H70:H72">
    <cfRule type="expression" dxfId="1423" priority="13">
      <formula>H70&gt;0</formula>
    </cfRule>
    <cfRule type="expression" dxfId="1422" priority="14">
      <formula>H70&lt;0</formula>
    </cfRule>
  </conditionalFormatting>
  <conditionalFormatting sqref="F25:F26">
    <cfRule type="expression" dxfId="1421" priority="11">
      <formula>F25&gt;0</formula>
    </cfRule>
    <cfRule type="expression" dxfId="1420" priority="12">
      <formula>F25&lt;0</formula>
    </cfRule>
  </conditionalFormatting>
  <conditionalFormatting sqref="H25:H26">
    <cfRule type="expression" dxfId="1419" priority="9">
      <formula>H25&gt;0</formula>
    </cfRule>
    <cfRule type="expression" dxfId="1418" priority="10">
      <formula>H25&lt;0</formula>
    </cfRule>
  </conditionalFormatting>
  <conditionalFormatting sqref="F76">
    <cfRule type="expression" dxfId="1417" priority="7">
      <formula>F76&gt;0</formula>
    </cfRule>
    <cfRule type="expression" dxfId="1416" priority="8">
      <formula>F76&lt;0</formula>
    </cfRule>
  </conditionalFormatting>
  <conditionalFormatting sqref="H76">
    <cfRule type="expression" dxfId="1415" priority="5">
      <formula>H76&gt;0</formula>
    </cfRule>
    <cfRule type="expression" dxfId="1414" priority="6">
      <formula>H76&lt;0</formula>
    </cfRule>
  </conditionalFormatting>
  <conditionalFormatting sqref="F74:F75">
    <cfRule type="expression" dxfId="1413" priority="3">
      <formula>F74&gt;0</formula>
    </cfRule>
    <cfRule type="expression" dxfId="1412" priority="4">
      <formula>F74&lt;0</formula>
    </cfRule>
  </conditionalFormatting>
  <conditionalFormatting sqref="H74:H75">
    <cfRule type="expression" dxfId="1411" priority="1">
      <formula>H74&gt;0</formula>
    </cfRule>
    <cfRule type="expression" dxfId="1410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8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8" si="1">H2*I2-J2</f>
        <v>4127.03</v>
      </c>
      <c r="L2" s="72">
        <v>43312</v>
      </c>
      <c r="M2" s="43">
        <v>15.13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34" t="s">
        <v>975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181.91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181.91</v>
      </c>
      <c r="R4" s="495">
        <v>-5.9999999999999995E-4</v>
      </c>
      <c r="T4" s="770">
        <v>43256</v>
      </c>
      <c r="U4" s="839" t="s">
        <v>1096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0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1022.1999999999935</v>
      </c>
      <c r="R7">
        <v>0</v>
      </c>
    </row>
    <row r="8" spans="1:21" x14ac:dyDescent="0.25">
      <c r="B8" s="47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7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180</v>
      </c>
      <c r="P8" s="33"/>
      <c r="Q8" s="2">
        <f>K18+M18-F18+Q2*Q4</f>
        <v>1022.1999999999935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7.0364465944697929E-3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155</v>
      </c>
      <c r="D18" s="18"/>
      <c r="E18" s="18"/>
      <c r="F18" s="18">
        <f>SUM(F2:F8)</f>
        <v>25214.5</v>
      </c>
      <c r="G18" s="14"/>
      <c r="H18" s="71">
        <f>SUM(H2:H8)</f>
        <v>155</v>
      </c>
      <c r="I18" s="18"/>
      <c r="J18" s="18"/>
      <c r="K18" s="18">
        <f>SUM(K2:K8)</f>
        <v>26221.569999999992</v>
      </c>
      <c r="L18" s="14"/>
      <c r="M18" s="18">
        <f>SUM(M2:M10)</f>
        <v>15.13</v>
      </c>
    </row>
    <row r="19" spans="1:17" ht="15.75" thickBot="1" x14ac:dyDescent="0.3">
      <c r="A19" s="341" t="s">
        <v>193</v>
      </c>
      <c r="B19" s="342"/>
      <c r="C19" s="343">
        <f>SumByColor($A$19,C2:C17)</f>
        <v>155</v>
      </c>
      <c r="D19" s="343"/>
      <c r="E19" s="343"/>
      <c r="F19" s="344">
        <f>SumByColor($A$19,F2:F17)</f>
        <v>25214</v>
      </c>
      <c r="G19" s="343"/>
      <c r="H19" s="343">
        <f>SumByColor($A$19,H2:H17)</f>
        <v>155</v>
      </c>
      <c r="I19" s="343"/>
      <c r="J19" s="343"/>
      <c r="K19" s="344">
        <f>SumByColor($A$19,K2:K17)</f>
        <v>26222</v>
      </c>
      <c r="L19" s="343"/>
      <c r="M19" s="344">
        <f>SumByColor($A$19,M2:M17)</f>
        <v>15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200.101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198.28190000000001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:F32" si="3">C25*(E25-D25)</f>
        <v>4.7499999999999432</v>
      </c>
      <c r="G25" s="39">
        <f t="shared" ref="G25:G32" si="4">D25*C25</f>
        <v>4152.75</v>
      </c>
      <c r="H25" s="222">
        <f t="shared" ref="H25:H32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196.46280000000002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si="3"/>
        <v>-65.749999999999886</v>
      </c>
      <c r="G26" s="39">
        <f t="shared" si="4"/>
        <v>8239.75</v>
      </c>
      <c r="H26" s="222">
        <f t="shared" si="5"/>
        <v>-7.9796110318880904E-3</v>
      </c>
      <c r="I26" s="39"/>
      <c r="J26" s="39"/>
      <c r="K26" s="39"/>
      <c r="L26" s="39"/>
      <c r="O26" s="81">
        <v>1.07</v>
      </c>
      <c r="P26" s="81">
        <f t="shared" si="2"/>
        <v>194.6437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si="3"/>
        <v>14.529999999999887</v>
      </c>
      <c r="G27" s="39">
        <f t="shared" si="4"/>
        <v>4112.72</v>
      </c>
      <c r="H27" s="222">
        <f t="shared" si="5"/>
        <v>3.5329417028146545E-3</v>
      </c>
      <c r="I27" s="39"/>
      <c r="J27" s="39"/>
      <c r="K27" s="39"/>
      <c r="L27" s="155"/>
      <c r="O27" s="81">
        <v>1.06</v>
      </c>
      <c r="P27" s="81">
        <f t="shared" si="2"/>
        <v>192.8246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si="3"/>
        <v>-47.220000000000084</v>
      </c>
      <c r="G28" s="39">
        <f t="shared" si="4"/>
        <v>8187.22</v>
      </c>
      <c r="H28" s="222">
        <f t="shared" si="5"/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191.00550000000001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si="3"/>
        <v>32.779999999999632</v>
      </c>
      <c r="G29" s="39">
        <f t="shared" si="4"/>
        <v>8187.22</v>
      </c>
      <c r="H29" s="222">
        <f t="shared" si="5"/>
        <v>4.0038010460204596E-3</v>
      </c>
      <c r="I29" s="39"/>
      <c r="J29" s="39"/>
      <c r="K29" s="39"/>
      <c r="L29" s="155"/>
      <c r="O29" s="81">
        <v>1.04</v>
      </c>
      <c r="P29" s="81">
        <f t="shared" si="2"/>
        <v>189.18639999999999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si="3"/>
        <v>-233.22000000000003</v>
      </c>
      <c r="G30" s="39">
        <f t="shared" si="4"/>
        <v>8187.22</v>
      </c>
      <c r="H30" s="222">
        <f t="shared" si="5"/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187.3673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3"/>
        <v>-362.21999999999991</v>
      </c>
      <c r="G31" s="39">
        <f t="shared" si="4"/>
        <v>12099.72</v>
      </c>
      <c r="H31" s="222">
        <f t="shared" si="5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185.54820000000001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si="3"/>
        <v>-14.309999999998979</v>
      </c>
      <c r="G32" s="39">
        <f t="shared" si="4"/>
        <v>8074.8099999999995</v>
      </c>
      <c r="H32" s="222">
        <f t="shared" si="5"/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183.72909999999999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2" si="6">C33*(E33-D33)</f>
        <v>35.699999999999932</v>
      </c>
      <c r="G33" s="39">
        <f t="shared" ref="G33:G42" si="7">D33*C33</f>
        <v>8074.8</v>
      </c>
      <c r="H33" s="222">
        <f t="shared" ref="H33:H42" si="8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181.91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6"/>
        <v>-142.3110000000004</v>
      </c>
      <c r="G34" s="39">
        <f t="shared" si="7"/>
        <v>10444.811</v>
      </c>
      <c r="H34" s="222">
        <f t="shared" si="8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180.0909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6"/>
        <v>137.54000000000019</v>
      </c>
      <c r="G35" s="39">
        <f t="shared" si="7"/>
        <v>6342.06</v>
      </c>
      <c r="H35" s="222">
        <f t="shared" si="8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178.27179999999998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6"/>
        <v>141.05000000000103</v>
      </c>
      <c r="G36" s="39">
        <f t="shared" si="7"/>
        <v>10394.15</v>
      </c>
      <c r="H36" s="222">
        <f t="shared" si="8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176.45269999999999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6"/>
        <v>589.5499999999995</v>
      </c>
      <c r="G37" s="39">
        <f t="shared" si="7"/>
        <v>10394.15</v>
      </c>
      <c r="H37" s="222">
        <f t="shared" si="8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174.6336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6"/>
        <v>809.88800000000083</v>
      </c>
      <c r="G38" s="39">
        <f t="shared" si="7"/>
        <v>6099.7119999999995</v>
      </c>
      <c r="H38" s="222">
        <f t="shared" si="8"/>
        <v>0.13277479330171668</v>
      </c>
      <c r="I38" s="39"/>
      <c r="J38" s="39"/>
      <c r="K38" s="39"/>
      <c r="L38" s="39"/>
      <c r="O38" s="81">
        <v>0.95</v>
      </c>
      <c r="P38" s="81">
        <f t="shared" si="2"/>
        <v>172.81449999999998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6"/>
        <v>994.46000000000015</v>
      </c>
      <c r="G39" s="39">
        <f t="shared" si="7"/>
        <v>3436.79</v>
      </c>
      <c r="H39" s="222">
        <f t="shared" si="8"/>
        <v>0.28935721996397806</v>
      </c>
      <c r="I39" s="39"/>
      <c r="J39" s="39"/>
      <c r="K39" s="39"/>
      <c r="L39" s="39"/>
      <c r="O39" s="81">
        <v>0.94</v>
      </c>
      <c r="P39" s="81">
        <f t="shared" si="2"/>
        <v>170.99539999999999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6"/>
        <v>852.40000000000009</v>
      </c>
      <c r="G40" s="39">
        <f t="shared" si="7"/>
        <v>6002.4</v>
      </c>
      <c r="H40" s="222">
        <f t="shared" si="8"/>
        <v>0.14200986272157806</v>
      </c>
      <c r="I40" s="39"/>
      <c r="J40" s="39"/>
      <c r="K40" s="39"/>
      <c r="L40" s="39"/>
      <c r="O40" s="81">
        <v>0.93</v>
      </c>
      <c r="P40" s="81">
        <f t="shared" si="2"/>
        <v>169.1763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6"/>
        <v>910.19999999999993</v>
      </c>
      <c r="G41" s="39">
        <f t="shared" si="7"/>
        <v>1683.6</v>
      </c>
      <c r="H41" s="222">
        <f t="shared" si="8"/>
        <v>0.54062722736992153</v>
      </c>
      <c r="I41" s="39"/>
      <c r="J41" s="39"/>
      <c r="K41" s="39"/>
      <c r="L41" s="39"/>
      <c r="O41" s="81">
        <v>0.92</v>
      </c>
      <c r="P41" s="81">
        <f t="shared" si="2"/>
        <v>167.35720000000001</v>
      </c>
    </row>
    <row r="42" spans="1:17" x14ac:dyDescent="0.25">
      <c r="B42" s="184">
        <v>43312</v>
      </c>
      <c r="C42" s="10">
        <v>15</v>
      </c>
      <c r="D42" s="39">
        <v>111.2313</v>
      </c>
      <c r="E42" s="39">
        <v>176.45</v>
      </c>
      <c r="F42" s="39">
        <f t="shared" si="6"/>
        <v>978.28049999999973</v>
      </c>
      <c r="G42" s="39">
        <f t="shared" si="7"/>
        <v>1668.4695000000002</v>
      </c>
      <c r="H42" s="222">
        <f t="shared" si="8"/>
        <v>0.58633406244465347</v>
      </c>
      <c r="I42" s="39"/>
      <c r="J42" s="39"/>
      <c r="K42" s="39"/>
      <c r="L42" s="39"/>
      <c r="O42" s="81">
        <v>0.91</v>
      </c>
      <c r="P42" s="81">
        <f t="shared" si="2"/>
        <v>165.53810000000001</v>
      </c>
    </row>
    <row r="43" spans="1:17" x14ac:dyDescent="0.25">
      <c r="B43" s="184">
        <v>43314</v>
      </c>
      <c r="C43" s="10">
        <v>0</v>
      </c>
      <c r="D43" s="39"/>
      <c r="E43" s="39"/>
      <c r="F43" s="39">
        <v>1022.2</v>
      </c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163.71899999999999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09" priority="37">
      <formula>F47&gt;0</formula>
    </cfRule>
    <cfRule type="expression" dxfId="1408" priority="38">
      <formula>F47&lt;0</formula>
    </cfRule>
  </conditionalFormatting>
  <conditionalFormatting sqref="Q7">
    <cfRule type="expression" dxfId="1407" priority="35">
      <formula>Q7&gt;0</formula>
    </cfRule>
    <cfRule type="expression" dxfId="1406" priority="36">
      <formula>Q7&lt;0</formula>
    </cfRule>
  </conditionalFormatting>
  <conditionalFormatting sqref="Q8">
    <cfRule type="expression" dxfId="1405" priority="33">
      <formula>Q8&gt;0</formula>
    </cfRule>
    <cfRule type="expression" dxfId="1404" priority="34">
      <formula>Q8&lt;0</formula>
    </cfRule>
  </conditionalFormatting>
  <conditionalFormatting sqref="F31:F46">
    <cfRule type="expression" dxfId="1403" priority="31">
      <formula>F31&gt;0</formula>
    </cfRule>
    <cfRule type="expression" dxfId="1402" priority="32">
      <formula>F31&lt;0</formula>
    </cfRule>
  </conditionalFormatting>
  <conditionalFormatting sqref="H31:H46">
    <cfRule type="expression" dxfId="1401" priority="29">
      <formula>H31&gt;0</formula>
    </cfRule>
    <cfRule type="expression" dxfId="1400" priority="30">
      <formula>H31&lt;0</formula>
    </cfRule>
  </conditionalFormatting>
  <conditionalFormatting sqref="Q10">
    <cfRule type="expression" dxfId="1399" priority="27">
      <formula>Q10&gt;0</formula>
    </cfRule>
    <cfRule type="expression" dxfId="1398" priority="28">
      <formula>Q10&lt;0</formula>
    </cfRule>
  </conditionalFormatting>
  <conditionalFormatting sqref="J25:J38">
    <cfRule type="expression" dxfId="1397" priority="25">
      <formula>J25&gt;0</formula>
    </cfRule>
    <cfRule type="expression" dxfId="1396" priority="26">
      <formula>J25&lt;0</formula>
    </cfRule>
  </conditionalFormatting>
  <conditionalFormatting sqref="K25:K38">
    <cfRule type="expression" dxfId="1395" priority="23">
      <formula>K25&gt;0</formula>
    </cfRule>
    <cfRule type="expression" dxfId="1394" priority="24">
      <formula>K25&lt;0</formula>
    </cfRule>
  </conditionalFormatting>
  <conditionalFormatting sqref="L25:L38">
    <cfRule type="expression" dxfId="1393" priority="21">
      <formula>L25&gt;0</formula>
    </cfRule>
    <cfRule type="expression" dxfId="1392" priority="22">
      <formula>L25&lt;0</formula>
    </cfRule>
  </conditionalFormatting>
  <conditionalFormatting sqref="F89:F110">
    <cfRule type="expression" dxfId="1391" priority="19">
      <formula>F89&gt;0</formula>
    </cfRule>
    <cfRule type="expression" dxfId="1390" priority="20">
      <formula>F89&lt;0</formula>
    </cfRule>
  </conditionalFormatting>
  <conditionalFormatting sqref="H89:H110">
    <cfRule type="expression" dxfId="1389" priority="17">
      <formula>H89&gt;0</formula>
    </cfRule>
    <cfRule type="expression" dxfId="1388" priority="18">
      <formula>H89&lt;0</formula>
    </cfRule>
  </conditionalFormatting>
  <conditionalFormatting sqref="J89:J102">
    <cfRule type="expression" dxfId="1387" priority="15">
      <formula>J89&gt;0</formula>
    </cfRule>
    <cfRule type="expression" dxfId="1386" priority="16">
      <formula>J89&lt;0</formula>
    </cfRule>
  </conditionalFormatting>
  <conditionalFormatting sqref="K89:K102">
    <cfRule type="expression" dxfId="1385" priority="13">
      <formula>K89&gt;0</formula>
    </cfRule>
    <cfRule type="expression" dxfId="1384" priority="14">
      <formula>K89&lt;0</formula>
    </cfRule>
  </conditionalFormatting>
  <conditionalFormatting sqref="L89:L102">
    <cfRule type="expression" dxfId="1383" priority="11">
      <formula>L89&gt;0</formula>
    </cfRule>
    <cfRule type="expression" dxfId="1382" priority="12">
      <formula>L89&lt;0</formula>
    </cfRule>
  </conditionalFormatting>
  <conditionalFormatting sqref="F25:F28">
    <cfRule type="expression" dxfId="1381" priority="9">
      <formula>F25&gt;0</formula>
    </cfRule>
    <cfRule type="expression" dxfId="1380" priority="10">
      <formula>F25&lt;0</formula>
    </cfRule>
  </conditionalFormatting>
  <conditionalFormatting sqref="H25:H28">
    <cfRule type="expression" dxfId="1379" priority="7">
      <formula>H25&gt;0</formula>
    </cfRule>
    <cfRule type="expression" dxfId="1378" priority="8">
      <formula>H25&lt;0</formula>
    </cfRule>
  </conditionalFormatting>
  <conditionalFormatting sqref="F29:F30">
    <cfRule type="expression" dxfId="1377" priority="3">
      <formula>F29&gt;0</formula>
    </cfRule>
    <cfRule type="expression" dxfId="1376" priority="4">
      <formula>F29&lt;0</formula>
    </cfRule>
  </conditionalFormatting>
  <conditionalFormatting sqref="H29:H30">
    <cfRule type="expression" dxfId="1375" priority="1">
      <formula>H29&gt;0</formula>
    </cfRule>
    <cfRule type="expression" dxfId="1374" priority="2">
      <formula>H29&lt;0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714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0" si="1">H2*I2-J2</f>
        <v>6747.84</v>
      </c>
      <c r="L2" s="72">
        <v>43082</v>
      </c>
      <c r="M2" s="43">
        <v>80</v>
      </c>
      <c r="O2" s="11" t="s">
        <v>57</v>
      </c>
      <c r="Q2">
        <f>C24-H24</f>
        <v>200</v>
      </c>
      <c r="U2" t="s">
        <v>1256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62.082000000000043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66.489900000000006</v>
      </c>
      <c r="R4" s="495">
        <v>4.7999999999999996E-3</v>
      </c>
      <c r="T4" s="1">
        <v>43114</v>
      </c>
      <c r="U4" t="s">
        <v>865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13297.980000000001</v>
      </c>
      <c r="T5" s="1"/>
      <c r="U5" t="s">
        <v>1140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12416.400000000009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881.57999999999265</v>
      </c>
      <c r="R7">
        <v>200</v>
      </c>
      <c r="T7" s="1">
        <v>43187</v>
      </c>
      <c r="U7" t="s">
        <v>956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881.57999999999265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206</v>
      </c>
      <c r="Q9" s="134">
        <f>IF(Q2=0, 0, Q8/Q6)</f>
        <v>7.1001256402821428E-2</v>
      </c>
      <c r="T9" s="1">
        <v>43212</v>
      </c>
      <c r="U9" t="s">
        <v>1000</v>
      </c>
      <c r="V9" s="134"/>
    </row>
    <row r="10" spans="1:22" x14ac:dyDescent="0.25">
      <c r="A10" t="s">
        <v>761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205</v>
      </c>
      <c r="P10" s="33"/>
      <c r="Q10" s="2">
        <f>M88</f>
        <v>0</v>
      </c>
      <c r="U10" t="s">
        <v>1001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2.4063805179433267E-2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925</v>
      </c>
      <c r="Q12" s="1" t="s">
        <v>1141</v>
      </c>
      <c r="T12" s="1">
        <v>43237</v>
      </c>
      <c r="U12" t="s">
        <v>1065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H13" s="70"/>
      <c r="O13" s="11" t="s">
        <v>952</v>
      </c>
      <c r="Q13" s="2">
        <f>Q4/(5.9+6.05)*2</f>
        <v>11.128016736401674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1088</v>
      </c>
      <c r="T14" s="1">
        <v>43242</v>
      </c>
      <c r="U14" t="s">
        <v>1051</v>
      </c>
      <c r="V14" s="134"/>
    </row>
    <row r="15" spans="1:22" x14ac:dyDescent="0.25">
      <c r="B15" s="72">
        <v>43279</v>
      </c>
      <c r="C15" s="4">
        <v>200</v>
      </c>
      <c r="D15" s="2">
        <v>59.56</v>
      </c>
      <c r="E15" s="2">
        <v>0</v>
      </c>
      <c r="F15" s="2">
        <f t="shared" si="0"/>
        <v>11912</v>
      </c>
      <c r="H15" s="70"/>
      <c r="O15" s="11" t="s">
        <v>1017</v>
      </c>
      <c r="Q15" s="29">
        <v>43317</v>
      </c>
      <c r="V15" s="134"/>
    </row>
    <row r="16" spans="1:22" x14ac:dyDescent="0.25">
      <c r="C16" s="4"/>
      <c r="D16" s="3"/>
      <c r="E16" s="3"/>
      <c r="F16" s="3"/>
      <c r="H16" s="70"/>
      <c r="T16" s="1">
        <v>43260</v>
      </c>
      <c r="U16" t="s">
        <v>1102</v>
      </c>
      <c r="V16" s="134"/>
    </row>
    <row r="17" spans="1:22" x14ac:dyDescent="0.25">
      <c r="T17" s="1">
        <v>43271</v>
      </c>
      <c r="U17" t="s">
        <v>1121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1120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1132</v>
      </c>
      <c r="V20" s="134"/>
    </row>
    <row r="21" spans="1:22" ht="20.25" thickBot="1" x14ac:dyDescent="0.35">
      <c r="O21" s="859" t="s">
        <v>78</v>
      </c>
      <c r="P21" s="859"/>
      <c r="U21" t="s">
        <v>1139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73.138890000000018</v>
      </c>
      <c r="V22" s="134"/>
    </row>
    <row r="23" spans="1:22" x14ac:dyDescent="0.25">
      <c r="O23" s="81">
        <v>1.0900000000000001</v>
      </c>
      <c r="P23" s="81">
        <f t="shared" ref="P23:P42" si="2">O23*$Q$4</f>
        <v>72.473991000000012</v>
      </c>
      <c r="T23" s="1">
        <v>43285</v>
      </c>
      <c r="U23" t="s">
        <v>1135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SUM(H2:H10)</f>
        <v>750</v>
      </c>
      <c r="I24" s="791"/>
      <c r="J24" s="18"/>
      <c r="K24" s="18">
        <f>SUM(K2:K10)</f>
        <v>51386.539999999994</v>
      </c>
      <c r="L24" s="14"/>
      <c r="M24" s="18">
        <f>SUM(M2:M10)</f>
        <v>260</v>
      </c>
      <c r="O24" s="81">
        <v>1.08</v>
      </c>
      <c r="P24" s="81">
        <f t="shared" si="2"/>
        <v>71.809092000000007</v>
      </c>
      <c r="U24" t="s">
        <v>1136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750</v>
      </c>
      <c r="D25" s="343"/>
      <c r="E25" s="343"/>
      <c r="F25" s="344">
        <f>SumByColor($A$25,F2:F23)</f>
        <v>52151</v>
      </c>
      <c r="G25" s="343"/>
      <c r="H25" s="343">
        <f>SumByColor($A$25,H2:H23)</f>
        <v>750</v>
      </c>
      <c r="I25" s="792"/>
      <c r="J25" s="343"/>
      <c r="K25" s="344">
        <f>SumByColor($A$25,K2:K23)</f>
        <v>51387</v>
      </c>
      <c r="L25" s="343"/>
      <c r="M25" s="344">
        <f>SumByColor($A$25,M2:M23)</f>
        <v>260</v>
      </c>
      <c r="O25" s="81">
        <v>1.07</v>
      </c>
      <c r="P25" s="81">
        <f t="shared" si="2"/>
        <v>71.144193000000016</v>
      </c>
      <c r="U25" t="s">
        <v>1137</v>
      </c>
      <c r="V25" s="134"/>
    </row>
    <row r="26" spans="1:22" x14ac:dyDescent="0.25">
      <c r="O26" s="81">
        <v>1.06</v>
      </c>
      <c r="P26" s="81">
        <f t="shared" si="2"/>
        <v>70.47929400000001</v>
      </c>
      <c r="U26" t="s">
        <v>1138</v>
      </c>
      <c r="V26" s="134"/>
    </row>
    <row r="27" spans="1:22" x14ac:dyDescent="0.25">
      <c r="O27" s="81">
        <v>1.05</v>
      </c>
      <c r="P27" s="81">
        <f t="shared" si="2"/>
        <v>69.814395000000005</v>
      </c>
      <c r="V27" s="134"/>
    </row>
    <row r="28" spans="1:22" x14ac:dyDescent="0.25">
      <c r="O28" s="81">
        <v>1.04</v>
      </c>
      <c r="P28" s="81">
        <f t="shared" si="2"/>
        <v>69.149496000000013</v>
      </c>
      <c r="V28" s="134"/>
    </row>
    <row r="29" spans="1:22" x14ac:dyDescent="0.25">
      <c r="O29" s="81">
        <v>1.03</v>
      </c>
      <c r="P29" s="81">
        <f t="shared" si="2"/>
        <v>68.484597000000008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649</v>
      </c>
      <c r="L30" s="220" t="s">
        <v>490</v>
      </c>
      <c r="M30" s="220" t="s">
        <v>952</v>
      </c>
      <c r="O30" s="81">
        <v>1.02</v>
      </c>
      <c r="P30" s="81">
        <f t="shared" si="2"/>
        <v>67.819698000000002</v>
      </c>
      <c r="T30" s="770">
        <v>43318</v>
      </c>
      <c r="U30" t="s">
        <v>1163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2"/>
        <v>67.154799000000011</v>
      </c>
      <c r="V31" s="134"/>
    </row>
    <row r="32" spans="1:22" x14ac:dyDescent="0.25">
      <c r="A32" s="1">
        <v>43028</v>
      </c>
      <c r="B32" s="184">
        <v>43014</v>
      </c>
      <c r="C32" s="10">
        <v>100</v>
      </c>
      <c r="D32" s="3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2"/>
        <v>66.489900000000006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2"/>
        <v>65.825001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2"/>
        <v>65.160102000000009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2"/>
        <v>64.495203000000004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222">
        <f t="shared" ref="H36:H46" si="5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2"/>
        <v>63.830304000000005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222">
        <f t="shared" si="5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2"/>
        <v>63.165405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222">
        <f t="shared" si="5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2"/>
        <v>62.500506000000001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222">
        <f t="shared" si="5"/>
        <v>-9.8792562248002133E-2</v>
      </c>
      <c r="I39" s="193" t="s">
        <v>741</v>
      </c>
      <c r="J39" s="39"/>
      <c r="K39" s="39"/>
      <c r="L39" s="727"/>
      <c r="M39" s="727"/>
      <c r="O39" s="81">
        <v>0.93</v>
      </c>
      <c r="P39" s="81">
        <f t="shared" si="2"/>
        <v>61.83560700000001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222">
        <f t="shared" si="5"/>
        <v>-5.6948480155899379E-2</v>
      </c>
      <c r="I40" s="193" t="s">
        <v>743</v>
      </c>
      <c r="J40" s="39"/>
      <c r="K40" s="39"/>
      <c r="L40" s="727"/>
      <c r="M40" s="727"/>
      <c r="O40" s="81">
        <v>0.92</v>
      </c>
      <c r="P40" s="81">
        <f t="shared" si="2"/>
        <v>61.170708000000005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222">
        <f t="shared" si="5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2"/>
        <v>60.505809000000006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222">
        <f t="shared" si="5"/>
        <v>-1.4743638352958912E-2</v>
      </c>
      <c r="I42" s="193" t="s">
        <v>748</v>
      </c>
      <c r="J42" s="39"/>
      <c r="K42" s="39"/>
      <c r="L42" s="727"/>
      <c r="M42" s="727"/>
      <c r="O42" s="81">
        <v>0.9</v>
      </c>
      <c r="P42" s="81">
        <f t="shared" si="2"/>
        <v>59.840910000000008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222">
        <f t="shared" si="5"/>
        <v>-2.1762110331376056E-2</v>
      </c>
      <c r="I43" s="193" t="s">
        <v>752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222">
        <f t="shared" si="5"/>
        <v>3.8287980309038858E-3</v>
      </c>
      <c r="I44" s="193" t="s">
        <v>759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222">
        <f t="shared" si="5"/>
        <v>-1.4988223439588328E-2</v>
      </c>
      <c r="I45" s="193" t="s">
        <v>823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222">
        <f t="shared" si="5"/>
        <v>2.0125515168981138E-2</v>
      </c>
      <c r="I46" s="193" t="s">
        <v>829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222">
        <f t="shared" ref="H48:H53" si="8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10">
        <v>100</v>
      </c>
      <c r="D49" s="39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222">
        <f t="shared" si="8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222">
        <f t="shared" si="8"/>
        <v>-2.6032431321152405E-2</v>
      </c>
      <c r="I50" s="193" t="s">
        <v>932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222">
        <f t="shared" si="8"/>
        <v>-5.7281970499773794E-4</v>
      </c>
      <c r="I51" s="193" t="s">
        <v>933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222">
        <f t="shared" si="8"/>
        <v>8.9182968929805029E-3</v>
      </c>
      <c r="I52" s="193" t="s">
        <v>934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222">
        <f t="shared" si="8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222">
        <f t="shared" ref="H54:H60" si="11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222">
        <f t="shared" si="11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222">
        <f t="shared" si="11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222">
        <f t="shared" si="11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222">
        <f t="shared" si="11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222">
        <f t="shared" si="11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222">
        <f t="shared" si="11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222">
        <f t="shared" ref="H61:H68" si="14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222">
        <f t="shared" si="14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222">
        <f t="shared" si="14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222">
        <f t="shared" si="14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222">
        <f t="shared" si="14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222">
        <f t="shared" si="14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222">
        <f t="shared" si="14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222">
        <f t="shared" si="14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222">
        <f t="shared" ref="H69:H77" si="17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222">
        <f t="shared" si="17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222">
        <f t="shared" si="17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222">
        <f t="shared" si="17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222">
        <f t="shared" si="17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222">
        <f t="shared" si="17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222">
        <f t="shared" si="17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222">
        <f t="shared" si="17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>
        <v>200</v>
      </c>
      <c r="B77" s="18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222">
        <f t="shared" si="17"/>
        <v>8.9239690721649584E-2</v>
      </c>
      <c r="I77" s="193"/>
      <c r="J77" s="39"/>
      <c r="K77" s="39"/>
      <c r="L77" s="39"/>
      <c r="M77" s="39">
        <v>11.32</v>
      </c>
    </row>
    <row r="78" spans="1:22" x14ac:dyDescent="0.25">
      <c r="A78" s="4">
        <v>200</v>
      </c>
      <c r="B78" s="184">
        <v>43320</v>
      </c>
      <c r="C78" s="10">
        <v>200</v>
      </c>
      <c r="D78" s="39">
        <v>62.08</v>
      </c>
      <c r="E78" s="39">
        <v>66.489999999999995</v>
      </c>
      <c r="F78" s="39">
        <f t="shared" ref="F78" si="18">C78*(E78-D78)</f>
        <v>881.99999999999932</v>
      </c>
      <c r="G78" s="39">
        <f t="shared" ref="G78" si="19">D78*C78</f>
        <v>12416</v>
      </c>
      <c r="H78" s="222">
        <f t="shared" ref="H78" si="20">(E78-D78)/D78</f>
        <v>7.103737113402056E-2</v>
      </c>
      <c r="I78" s="193"/>
      <c r="J78" s="39"/>
      <c r="K78" s="39"/>
      <c r="L78" s="39"/>
      <c r="M78" s="39">
        <v>11.13</v>
      </c>
    </row>
    <row r="79" spans="1:22" x14ac:dyDescent="0.25">
      <c r="A79" s="4"/>
      <c r="B79" s="184"/>
      <c r="C79" s="10"/>
      <c r="D79" s="39"/>
      <c r="E79" s="39"/>
      <c r="F79" s="39"/>
      <c r="G79" s="39"/>
      <c r="H79" s="222"/>
      <c r="I79" s="193"/>
      <c r="J79" s="39"/>
      <c r="K79" s="39"/>
      <c r="L79" s="39"/>
      <c r="M79" s="39"/>
    </row>
    <row r="80" spans="1:22" x14ac:dyDescent="0.25">
      <c r="A80" s="4"/>
      <c r="B80" s="184"/>
      <c r="C80" s="10"/>
      <c r="D80" s="39"/>
      <c r="E80" s="39"/>
      <c r="F80" s="39"/>
      <c r="G80" s="39"/>
      <c r="H80" s="222"/>
      <c r="I80" s="193"/>
      <c r="J80" s="39"/>
      <c r="K80" s="39"/>
      <c r="L80" s="39"/>
      <c r="M80" s="39"/>
    </row>
    <row r="81" spans="1:13" x14ac:dyDescent="0.25">
      <c r="A81" s="4"/>
      <c r="B81" s="184"/>
      <c r="C81" s="10"/>
      <c r="D81" s="39"/>
      <c r="E81" s="39"/>
      <c r="F81" s="39"/>
      <c r="G81" s="39"/>
      <c r="H81" s="222"/>
      <c r="I81" s="193"/>
      <c r="J81" s="39"/>
      <c r="K81" s="39"/>
      <c r="L81" s="39"/>
      <c r="M81" s="39"/>
    </row>
    <row r="82" spans="1:13" x14ac:dyDescent="0.25">
      <c r="A82" s="4"/>
      <c r="B82" s="184"/>
      <c r="C82" s="10"/>
      <c r="D82" s="39"/>
      <c r="E82" s="39"/>
      <c r="F82" s="39"/>
      <c r="G82" s="39"/>
      <c r="H82" s="222"/>
      <c r="I82" s="193"/>
      <c r="J82" s="39"/>
      <c r="K82" s="39"/>
      <c r="L82" s="39"/>
      <c r="M82" s="39"/>
    </row>
    <row r="83" spans="1:13" x14ac:dyDescent="0.25">
      <c r="A83" s="4"/>
      <c r="B83" s="184"/>
      <c r="C83" s="10"/>
      <c r="D83" s="39"/>
      <c r="E83" s="39"/>
      <c r="F83" s="39"/>
      <c r="G83" s="39"/>
      <c r="H83" s="222"/>
      <c r="I83" s="193"/>
      <c r="J83" s="39"/>
      <c r="K83" s="39"/>
      <c r="L83" s="39"/>
      <c r="M83" s="39"/>
    </row>
    <row r="84" spans="1:13" x14ac:dyDescent="0.25">
      <c r="A84" s="4"/>
      <c r="B84" s="184"/>
      <c r="C84" s="10"/>
      <c r="D84" s="39"/>
      <c r="E84" s="39"/>
      <c r="F84" s="39"/>
      <c r="G84" s="39"/>
      <c r="H84" s="222"/>
      <c r="I84" s="193"/>
      <c r="J84" s="39"/>
      <c r="K84" s="39"/>
      <c r="L84" s="39"/>
      <c r="M84" s="39"/>
    </row>
    <row r="85" spans="1:13" x14ac:dyDescent="0.25">
      <c r="A85" s="4"/>
      <c r="B85" s="184"/>
      <c r="C85" s="10"/>
      <c r="D85" s="39"/>
      <c r="E85" s="39"/>
      <c r="F85" s="39"/>
      <c r="G85" s="39"/>
      <c r="H85" s="222"/>
      <c r="I85" s="193"/>
      <c r="J85" s="39"/>
      <c r="K85" s="39"/>
      <c r="L85" s="39"/>
      <c r="M85" s="39"/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193"/>
      <c r="J86" s="39"/>
      <c r="K86" s="39"/>
      <c r="L86" s="39"/>
      <c r="M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554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554"/>
      <c r="J88" s="3"/>
      <c r="K88" s="3"/>
      <c r="L88" s="4" t="s">
        <v>65</v>
      </c>
      <c r="M88" s="2">
        <f>M106+K106-F106</f>
        <v>0</v>
      </c>
    </row>
    <row r="89" spans="1:13" x14ac:dyDescent="0.25">
      <c r="A89" s="510" t="s">
        <v>1</v>
      </c>
      <c r="B89" s="510" t="s">
        <v>2</v>
      </c>
      <c r="C89" s="510" t="s">
        <v>4</v>
      </c>
      <c r="D89" s="511" t="s">
        <v>5</v>
      </c>
      <c r="E89" s="511" t="s">
        <v>94</v>
      </c>
      <c r="F89" s="511" t="s">
        <v>60</v>
      </c>
      <c r="G89" s="510" t="s">
        <v>3</v>
      </c>
      <c r="H89" s="510" t="s">
        <v>6</v>
      </c>
      <c r="I89" s="793" t="s">
        <v>7</v>
      </c>
      <c r="J89" s="511" t="s">
        <v>95</v>
      </c>
      <c r="K89" s="511" t="s">
        <v>61</v>
      </c>
      <c r="L89" s="510" t="s">
        <v>37</v>
      </c>
      <c r="M89" s="510" t="s">
        <v>38</v>
      </c>
    </row>
    <row r="90" spans="1:13" x14ac:dyDescent="0.25">
      <c r="A90" s="512" t="s">
        <v>713</v>
      </c>
      <c r="B90" s="496"/>
      <c r="C90" s="497"/>
      <c r="D90" s="499"/>
      <c r="E90" s="499"/>
      <c r="F90" s="499"/>
      <c r="G90" s="496"/>
      <c r="H90" s="513"/>
      <c r="I90" s="794"/>
      <c r="J90" s="499"/>
      <c r="K90" s="499"/>
      <c r="L90" s="496"/>
      <c r="M90" s="499"/>
    </row>
    <row r="91" spans="1:13" x14ac:dyDescent="0.25">
      <c r="A91" s="514" t="s">
        <v>71</v>
      </c>
      <c r="B91" s="496"/>
      <c r="C91" s="497"/>
      <c r="D91" s="499"/>
      <c r="E91" s="499"/>
      <c r="F91" s="499"/>
      <c r="G91" s="496"/>
      <c r="H91" s="513"/>
      <c r="I91" s="794"/>
      <c r="J91" s="499"/>
      <c r="K91" s="499"/>
      <c r="L91" s="497"/>
      <c r="M91" s="497"/>
    </row>
    <row r="92" spans="1:13" x14ac:dyDescent="0.25">
      <c r="A92" s="497"/>
      <c r="B92" s="496"/>
      <c r="C92" s="497"/>
      <c r="D92" s="499"/>
      <c r="E92" s="499"/>
      <c r="F92" s="499"/>
      <c r="G92" s="496"/>
      <c r="H92" s="513"/>
      <c r="I92" s="794"/>
      <c r="J92" s="499"/>
      <c r="K92" s="499"/>
      <c r="L92" s="497"/>
      <c r="M92" s="497"/>
    </row>
    <row r="93" spans="1:13" x14ac:dyDescent="0.25">
      <c r="A93" s="497"/>
      <c r="B93" s="496"/>
      <c r="C93" s="497"/>
      <c r="D93" s="499"/>
      <c r="E93" s="499"/>
      <c r="F93" s="499"/>
      <c r="G93" s="497"/>
      <c r="H93" s="513"/>
      <c r="I93" s="794"/>
      <c r="J93" s="499"/>
      <c r="K93" s="499"/>
      <c r="L93" s="497"/>
      <c r="M93" s="497"/>
    </row>
    <row r="94" spans="1:13" x14ac:dyDescent="0.25">
      <c r="A94" s="497"/>
      <c r="B94" s="496"/>
      <c r="C94" s="497"/>
      <c r="D94" s="499"/>
      <c r="E94" s="499"/>
      <c r="F94" s="499"/>
      <c r="G94" s="497"/>
      <c r="H94" s="513"/>
      <c r="I94" s="794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794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497"/>
      <c r="I105" s="794"/>
      <c r="J105" s="499"/>
      <c r="K105" s="499"/>
      <c r="L105" s="497"/>
      <c r="M105" s="497"/>
    </row>
    <row r="106" spans="1:13" x14ac:dyDescent="0.25">
      <c r="A106" s="515" t="s">
        <v>81</v>
      </c>
      <c r="B106" s="516"/>
      <c r="C106" s="516">
        <f>SUM(C90:C94)</f>
        <v>0</v>
      </c>
      <c r="D106" s="517"/>
      <c r="E106" s="517"/>
      <c r="F106" s="517">
        <f>SUM(F90:F94)</f>
        <v>0</v>
      </c>
      <c r="G106" s="516"/>
      <c r="H106" s="538">
        <f>SUM(H90:H93)</f>
        <v>0</v>
      </c>
      <c r="I106" s="795"/>
      <c r="J106" s="517"/>
      <c r="K106" s="517">
        <f>SUM(K90:K93)</f>
        <v>0</v>
      </c>
      <c r="L106" s="516"/>
      <c r="M106" s="517">
        <f>SUM(M90:M98)</f>
        <v>0</v>
      </c>
    </row>
    <row r="107" spans="1:13" ht="15.75" thickBot="1" x14ac:dyDescent="0.3">
      <c r="A107" s="518" t="s">
        <v>193</v>
      </c>
      <c r="B107" s="519"/>
      <c r="C107" s="520">
        <f>SumByColor($A$25,C90:C105)</f>
        <v>0</v>
      </c>
      <c r="D107" s="520"/>
      <c r="E107" s="520"/>
      <c r="F107" s="521">
        <f>SumByColor($A$25,F90:F105)</f>
        <v>0</v>
      </c>
      <c r="G107" s="520"/>
      <c r="H107" s="520">
        <f>SumByColor($A$25,H90:H105)</f>
        <v>0</v>
      </c>
      <c r="I107" s="796"/>
      <c r="J107" s="520"/>
      <c r="K107" s="521">
        <f>SumByColor($A$25,K91:K105)</f>
        <v>0</v>
      </c>
      <c r="L107" s="520"/>
      <c r="M107" s="521">
        <f>SumByColor($A$25,M90:M105)</f>
        <v>0</v>
      </c>
    </row>
    <row r="110" spans="1:13" x14ac:dyDescent="0.25">
      <c r="B110" s="182" t="s">
        <v>113</v>
      </c>
      <c r="C110" s="182" t="s">
        <v>146</v>
      </c>
      <c r="D110" s="183" t="s">
        <v>145</v>
      </c>
      <c r="E110" s="185" t="s">
        <v>147</v>
      </c>
      <c r="F110" s="185" t="s">
        <v>65</v>
      </c>
      <c r="G110" s="220" t="s">
        <v>151</v>
      </c>
      <c r="H110" s="220" t="s">
        <v>88</v>
      </c>
      <c r="I110" s="220" t="s">
        <v>154</v>
      </c>
    </row>
    <row r="111" spans="1:13" x14ac:dyDescent="0.25">
      <c r="B111" s="184"/>
      <c r="C111" s="10"/>
      <c r="D111" s="39"/>
      <c r="E111" s="39"/>
      <c r="F111" s="39"/>
      <c r="G111" s="39"/>
      <c r="H111" s="222"/>
      <c r="I111" s="193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193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193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</sheetData>
  <mergeCells count="1">
    <mergeCell ref="O21:P21"/>
  </mergeCells>
  <conditionalFormatting sqref="O22:O42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Q7 F83:F86 H83:H86 H31:H70 F31:F70">
    <cfRule type="expression" dxfId="1373" priority="29">
      <formula>F7&gt;0</formula>
    </cfRule>
    <cfRule type="expression" dxfId="1372" priority="30">
      <formula>F7&lt;0</formula>
    </cfRule>
  </conditionalFormatting>
  <conditionalFormatting sqref="Q8">
    <cfRule type="expression" dxfId="1371" priority="27">
      <formula>Q8&gt;0</formula>
    </cfRule>
    <cfRule type="expression" dxfId="1370" priority="28">
      <formula>Q8&lt;0</formula>
    </cfRule>
  </conditionalFormatting>
  <conditionalFormatting sqref="F111:F132">
    <cfRule type="expression" dxfId="1369" priority="21">
      <formula>F111&gt;0</formula>
    </cfRule>
    <cfRule type="expression" dxfId="1368" priority="22">
      <formula>F111&lt;0</formula>
    </cfRule>
  </conditionalFormatting>
  <conditionalFormatting sqref="H111:H132">
    <cfRule type="expression" dxfId="1367" priority="19">
      <formula>H111&gt;0</formula>
    </cfRule>
    <cfRule type="expression" dxfId="1366" priority="20">
      <formula>H111&lt;0</formula>
    </cfRule>
  </conditionalFormatting>
  <conditionalFormatting sqref="Q10">
    <cfRule type="expression" dxfId="1365" priority="17">
      <formula>Q10&gt;0</formula>
    </cfRule>
    <cfRule type="expression" dxfId="1364" priority="18">
      <formula>Q10&lt;0</formula>
    </cfRule>
  </conditionalFormatting>
  <conditionalFormatting sqref="J31:J44">
    <cfRule type="expression" dxfId="1363" priority="15">
      <formula>J31&gt;0</formula>
    </cfRule>
    <cfRule type="expression" dxfId="1362" priority="16">
      <formula>J31&lt;0</formula>
    </cfRule>
  </conditionalFormatting>
  <conditionalFormatting sqref="K31:K44">
    <cfRule type="expression" dxfId="1361" priority="13">
      <formula>K31&gt;0</formula>
    </cfRule>
    <cfRule type="expression" dxfId="1360" priority="14">
      <formula>K31&lt;0</formula>
    </cfRule>
  </conditionalFormatting>
  <conditionalFormatting sqref="L31:L35 L37:L44">
    <cfRule type="expression" dxfId="1359" priority="11">
      <formula>L31&gt;0</formula>
    </cfRule>
    <cfRule type="expression" dxfId="1358" priority="12">
      <formula>L31&lt;0</formula>
    </cfRule>
  </conditionalFormatting>
  <conditionalFormatting sqref="M31:M44">
    <cfRule type="expression" dxfId="1357" priority="9">
      <formula>M31&gt;0</formula>
    </cfRule>
    <cfRule type="expression" dxfId="1356" priority="10">
      <formula>M31&lt;0</formula>
    </cfRule>
  </conditionalFormatting>
  <conditionalFormatting sqref="F79:F82 H79:H82">
    <cfRule type="expression" dxfId="1355" priority="5">
      <formula>F79&gt;0</formula>
    </cfRule>
    <cfRule type="expression" dxfId="1354" priority="6">
      <formula>F79&lt;0</formula>
    </cfRule>
  </conditionalFormatting>
  <conditionalFormatting sqref="F75:F78 H75:H78">
    <cfRule type="expression" dxfId="1353" priority="3">
      <formula>F75&gt;0</formula>
    </cfRule>
    <cfRule type="expression" dxfId="1352" priority="4">
      <formula>F75&lt;0</formula>
    </cfRule>
  </conditionalFormatting>
  <conditionalFormatting sqref="F71:F74 H71:H74">
    <cfRule type="expression" dxfId="1351" priority="1">
      <formula>F71&gt;0</formula>
    </cfRule>
    <cfRule type="expression" dxfId="1350" priority="2">
      <formula>F71&lt;0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736.29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736.29</v>
      </c>
      <c r="R4" s="495">
        <v>5.4999999999999997E-3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9" t="s">
        <v>78</v>
      </c>
      <c r="P40" s="85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809.91899999999998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802.55610000000001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795.19320000000005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787.83029999999997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780.4674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773.10450000000003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765.74159999999995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758.37869999999998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751.01580000000001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743.65289999999993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736.29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728.9271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721.56419999999991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714.20129999999995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706.83839999999998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699.4754999999999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692.11259999999993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684.74969999999996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677.38679999999999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670.02390000000003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662.66099999999994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713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49" priority="21">
      <formula>F47&gt;0</formula>
    </cfRule>
    <cfRule type="expression" dxfId="1348" priority="22">
      <formula>F47&lt;0</formula>
    </cfRule>
  </conditionalFormatting>
  <conditionalFormatting sqref="Q7">
    <cfRule type="expression" dxfId="1347" priority="19">
      <formula>Q7&gt;0</formula>
    </cfRule>
    <cfRule type="expression" dxfId="1346" priority="20">
      <formula>Q7&lt;0</formula>
    </cfRule>
  </conditionalFormatting>
  <conditionalFormatting sqref="Q8">
    <cfRule type="expression" dxfId="1345" priority="17">
      <formula>Q8&gt;0</formula>
    </cfRule>
    <cfRule type="expression" dxfId="1344" priority="18">
      <formula>Q8&lt;0</formula>
    </cfRule>
  </conditionalFormatting>
  <conditionalFormatting sqref="F25:F46">
    <cfRule type="expression" dxfId="1343" priority="15">
      <formula>F25&gt;0</formula>
    </cfRule>
    <cfRule type="expression" dxfId="1342" priority="16">
      <formula>F25&lt;0</formula>
    </cfRule>
  </conditionalFormatting>
  <conditionalFormatting sqref="H25:H46">
    <cfRule type="expression" dxfId="1341" priority="13">
      <formula>H25&gt;0</formula>
    </cfRule>
    <cfRule type="expression" dxfId="1340" priority="14">
      <formula>H25&lt;0</formula>
    </cfRule>
  </conditionalFormatting>
  <conditionalFormatting sqref="F89:F110">
    <cfRule type="expression" dxfId="1339" priority="11">
      <formula>F89&gt;0</formula>
    </cfRule>
    <cfRule type="expression" dxfId="1338" priority="12">
      <formula>F89&lt;0</formula>
    </cfRule>
  </conditionalFormatting>
  <conditionalFormatting sqref="H89:H110">
    <cfRule type="expression" dxfId="1337" priority="9">
      <formula>H89&gt;0</formula>
    </cfRule>
    <cfRule type="expression" dxfId="1336" priority="10">
      <formula>H89&lt;0</formula>
    </cfRule>
  </conditionalFormatting>
  <conditionalFormatting sqref="Q10">
    <cfRule type="expression" dxfId="1335" priority="7">
      <formula>Q10&gt;0</formula>
    </cfRule>
    <cfRule type="expression" dxfId="1334" priority="8">
      <formula>Q10&lt;0</formula>
    </cfRule>
  </conditionalFormatting>
  <conditionalFormatting sqref="J25:J38">
    <cfRule type="expression" dxfId="1333" priority="5">
      <formula>J25&gt;0</formula>
    </cfRule>
    <cfRule type="expression" dxfId="1332" priority="6">
      <formula>J25&lt;0</formula>
    </cfRule>
  </conditionalFormatting>
  <conditionalFormatting sqref="K25:K38">
    <cfRule type="expression" dxfId="1331" priority="3">
      <formula>K25&gt;0</formula>
    </cfRule>
    <cfRule type="expression" dxfId="1330" priority="4">
      <formula>K25&lt;0</formula>
    </cfRule>
  </conditionalFormatting>
  <conditionalFormatting sqref="L25:L38">
    <cfRule type="expression" dxfId="1329" priority="1">
      <formula>L25&gt;0</formula>
    </cfRule>
    <cfRule type="expression" dxfId="132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43161</v>
      </c>
      <c r="C2" s="7">
        <v>50</v>
      </c>
      <c r="D2" s="43">
        <v>38.78</v>
      </c>
      <c r="E2" s="43">
        <v>0</v>
      </c>
      <c r="F2" s="43">
        <f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>H2*I2-J2</f>
        <v>2218.9499999999998</v>
      </c>
      <c r="L2" s="72">
        <v>43225</v>
      </c>
      <c r="M2" s="43">
        <v>69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>C3*D3+E3</f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>H3*I3-J3</f>
        <v>4487.9399999999996</v>
      </c>
      <c r="L3" s="4"/>
      <c r="M3" s="4"/>
      <c r="O3" s="11" t="s">
        <v>58</v>
      </c>
      <c r="Q3" s="221">
        <f>IF(Q2=0, Q4, (F18-K18-M18)/Q2)</f>
        <v>13.543400000000037</v>
      </c>
      <c r="T3" s="1">
        <v>43161</v>
      </c>
      <c r="U3" t="s">
        <v>968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>C4*D4+E4</f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>H4*I4-J4</f>
        <v>2328.9699999999998</v>
      </c>
      <c r="L4" s="4"/>
      <c r="M4" s="4"/>
      <c r="O4" s="11" t="s">
        <v>66</v>
      </c>
      <c r="Q4" s="54">
        <v>47.97</v>
      </c>
      <c r="R4" s="495">
        <v>7.6E-3</v>
      </c>
      <c r="T4" s="770"/>
      <c r="U4" s="30" t="s">
        <v>969</v>
      </c>
    </row>
    <row r="5" spans="1:21" x14ac:dyDescent="0.25">
      <c r="B5" s="474">
        <v>43304</v>
      </c>
      <c r="C5" s="4">
        <v>50</v>
      </c>
      <c r="D5" s="3">
        <v>51.6</v>
      </c>
      <c r="E5" s="3">
        <v>0</v>
      </c>
      <c r="F5" s="3">
        <f>C5*D5+E5</f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>H5*I5-J5</f>
        <v>2653.97</v>
      </c>
      <c r="L5" s="4"/>
      <c r="M5" s="4"/>
      <c r="O5" s="11" t="s">
        <v>67</v>
      </c>
      <c r="Q5" s="3">
        <f>Q4*Q2</f>
        <v>2398.5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677.17000000000189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1721.3299999999981</v>
      </c>
      <c r="R7" s="29">
        <v>43335</v>
      </c>
      <c r="T7" s="1">
        <v>43244</v>
      </c>
      <c r="U7" t="s">
        <v>1076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1721.3299999999981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2.5419466308312435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2.8767979987492181E-2</v>
      </c>
      <c r="R11">
        <f>0.345</f>
        <v>0.34499999999999997</v>
      </c>
    </row>
    <row r="12" spans="1:21" x14ac:dyDescent="0.25">
      <c r="H12" s="70"/>
      <c r="O12" s="11" t="s">
        <v>925</v>
      </c>
      <c r="Q12" s="1" t="s">
        <v>1263</v>
      </c>
    </row>
    <row r="13" spans="1:21" x14ac:dyDescent="0.25">
      <c r="H13" s="70"/>
      <c r="O13" s="11" t="s">
        <v>952</v>
      </c>
      <c r="Q13" s="2">
        <f>Q4/4.4</f>
        <v>10.902272727272726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9" t="s">
        <v>78</v>
      </c>
      <c r="P16" s="859"/>
    </row>
    <row r="17" spans="1:16" ht="15.75" thickTop="1" x14ac:dyDescent="0.25">
      <c r="O17" s="81">
        <v>1.1000000000000001</v>
      </c>
      <c r="P17" s="81">
        <f>O17*$Q$4</f>
        <v>52.767000000000003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12436</v>
      </c>
      <c r="G18" s="14"/>
      <c r="H18" s="71">
        <f>SUM(H2:H5)</f>
        <v>250</v>
      </c>
      <c r="I18" s="18"/>
      <c r="J18" s="18"/>
      <c r="K18" s="18">
        <f>SUM(K2:K5)</f>
        <v>11689.829999999998</v>
      </c>
      <c r="L18" s="14"/>
      <c r="M18" s="18">
        <f>SUM(M2:M10)</f>
        <v>69</v>
      </c>
      <c r="O18" s="81">
        <v>1.0900000000000001</v>
      </c>
      <c r="P18" s="81">
        <f t="shared" ref="P18:P37" si="0">O18*$Q$4</f>
        <v>52.287300000000002</v>
      </c>
    </row>
    <row r="19" spans="1:16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9856</v>
      </c>
      <c r="G19" s="343"/>
      <c r="H19" s="343">
        <f>SumByColor($A$19,H2:H17)</f>
        <v>250</v>
      </c>
      <c r="I19" s="343"/>
      <c r="J19" s="343"/>
      <c r="K19" s="344">
        <f>SumByColor($A$19,K2:K17)</f>
        <v>11690</v>
      </c>
      <c r="L19" s="343"/>
      <c r="M19" s="344">
        <f>SumByColor($A$19,M2:M17)</f>
        <v>69</v>
      </c>
      <c r="O19" s="81">
        <v>1.08</v>
      </c>
      <c r="P19" s="81">
        <f t="shared" si="0"/>
        <v>51.807600000000001</v>
      </c>
    </row>
    <row r="20" spans="1:16" x14ac:dyDescent="0.25">
      <c r="O20" s="81">
        <v>1.07</v>
      </c>
      <c r="P20" s="81">
        <f t="shared" si="0"/>
        <v>51.3279</v>
      </c>
    </row>
    <row r="21" spans="1:16" x14ac:dyDescent="0.25">
      <c r="O21" s="81">
        <v>1.06</v>
      </c>
      <c r="P21" s="81">
        <f t="shared" si="0"/>
        <v>50.848199999999999</v>
      </c>
    </row>
    <row r="22" spans="1:16" x14ac:dyDescent="0.25">
      <c r="O22" s="81">
        <v>1.05</v>
      </c>
      <c r="P22" s="81">
        <f t="shared" si="0"/>
        <v>50.368499999999997</v>
      </c>
    </row>
    <row r="23" spans="1:16" x14ac:dyDescent="0.25">
      <c r="O23" s="81">
        <v>1.04</v>
      </c>
      <c r="P23" s="81">
        <f t="shared" si="0"/>
        <v>49.888800000000003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1.03</v>
      </c>
      <c r="P24" s="81">
        <f t="shared" si="0"/>
        <v>49.409100000000002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/>
      <c r="K25" s="39"/>
      <c r="L25" s="39"/>
      <c r="O25" s="81">
        <v>1.02</v>
      </c>
      <c r="P25" s="81">
        <f t="shared" si="0"/>
        <v>48.929400000000001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/>
      <c r="K26" s="39"/>
      <c r="L26" s="39"/>
      <c r="O26" s="81">
        <v>1.01</v>
      </c>
      <c r="P26" s="81">
        <f t="shared" si="0"/>
        <v>48.4497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/>
      <c r="K27" s="39"/>
      <c r="L27" s="39"/>
      <c r="O27" s="81">
        <v>1</v>
      </c>
      <c r="P27" s="81">
        <f t="shared" si="0"/>
        <v>47.97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0"/>
        <v>47.490299999999998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0"/>
        <v>47.010599999999997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1">C30*(E30-D30)</f>
        <v>1119.9450000000006</v>
      </c>
      <c r="G30" s="39">
        <f t="shared" ref="G30:G35" si="2">D30*C30</f>
        <v>5537.0549999999994</v>
      </c>
      <c r="H30" s="222">
        <f t="shared" ref="H30:H35" si="3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0"/>
        <v>46.530899999999995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1"/>
        <v>884.94000000000028</v>
      </c>
      <c r="G31" s="39">
        <f t="shared" si="2"/>
        <v>7637.0599999999995</v>
      </c>
      <c r="H31" s="222">
        <f t="shared" si="3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0"/>
        <v>46.051199999999994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1"/>
        <v>765.94000000000051</v>
      </c>
      <c r="G32" s="39">
        <f t="shared" si="2"/>
        <v>7568.0599999999995</v>
      </c>
      <c r="H32" s="222">
        <f t="shared" si="3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0"/>
        <v>45.5715</v>
      </c>
    </row>
    <row r="33" spans="1:17" x14ac:dyDescent="0.25">
      <c r="A33">
        <v>50</v>
      </c>
      <c r="B33" s="184">
        <v>43243</v>
      </c>
      <c r="C33" s="10">
        <v>100</v>
      </c>
      <c r="D33" s="39">
        <v>30.800999999999998</v>
      </c>
      <c r="E33" s="39">
        <v>45.03</v>
      </c>
      <c r="F33" s="39">
        <f t="shared" si="1"/>
        <v>1422.9000000000003</v>
      </c>
      <c r="G33" s="39">
        <f t="shared" si="2"/>
        <v>3080.1</v>
      </c>
      <c r="H33" s="222">
        <f t="shared" si="3"/>
        <v>0.46196552059998064</v>
      </c>
      <c r="I33" s="39"/>
      <c r="J33" s="39"/>
      <c r="K33" s="39"/>
      <c r="L33" s="39">
        <v>10.23</v>
      </c>
      <c r="O33" s="81">
        <v>0.94</v>
      </c>
      <c r="P33" s="81">
        <f t="shared" si="0"/>
        <v>45.091799999999999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1"/>
        <v>1568.3600000000001</v>
      </c>
      <c r="G34" s="39">
        <f t="shared" si="2"/>
        <v>751.14</v>
      </c>
      <c r="H34" s="222">
        <f t="shared" si="3"/>
        <v>2.087972947786032</v>
      </c>
      <c r="I34" s="39"/>
      <c r="J34" s="39"/>
      <c r="K34" s="39"/>
      <c r="L34" s="39">
        <v>10.54</v>
      </c>
      <c r="O34" s="81">
        <v>0.93</v>
      </c>
      <c r="P34" s="81">
        <f t="shared" si="0"/>
        <v>44.612099999999998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1"/>
        <v>1850.8600000000001</v>
      </c>
      <c r="G35" s="39">
        <f t="shared" si="2"/>
        <v>751.14</v>
      </c>
      <c r="H35" s="222">
        <f t="shared" si="3"/>
        <v>2.4640679500492588</v>
      </c>
      <c r="I35" s="39"/>
      <c r="J35" s="39"/>
      <c r="K35" s="39"/>
      <c r="L35" s="39">
        <v>11.83</v>
      </c>
      <c r="O35" s="81">
        <v>0.92</v>
      </c>
      <c r="P35" s="81">
        <f t="shared" si="0"/>
        <v>44.132400000000004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43.652700000000003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 t="shared" ref="F37:F38" si="4">C37*(E37-D37)</f>
        <v>1902.8300000000002</v>
      </c>
      <c r="G37" s="39">
        <f t="shared" ref="G37:G38" si="5">D37*C37</f>
        <v>677.17</v>
      </c>
      <c r="H37" s="222">
        <f t="shared" ref="H37:H38" si="6">(E37-D37)/D37</f>
        <v>2.8099738618072272</v>
      </c>
      <c r="I37" s="39"/>
      <c r="J37" s="39"/>
      <c r="K37" s="39"/>
      <c r="L37" s="39">
        <v>12.05</v>
      </c>
      <c r="O37" s="81">
        <v>0.9</v>
      </c>
      <c r="P37" s="81">
        <f t="shared" si="0"/>
        <v>43.173000000000002</v>
      </c>
    </row>
    <row r="38" spans="1:17" x14ac:dyDescent="0.25">
      <c r="A38">
        <v>0</v>
      </c>
      <c r="B38" s="184">
        <v>43316</v>
      </c>
      <c r="C38" s="10">
        <v>50</v>
      </c>
      <c r="D38" s="39">
        <v>13.54</v>
      </c>
      <c r="E38" s="39">
        <v>47.16</v>
      </c>
      <c r="F38" s="39">
        <f t="shared" si="4"/>
        <v>1680.9999999999998</v>
      </c>
      <c r="G38" s="39">
        <f t="shared" si="5"/>
        <v>677</v>
      </c>
      <c r="H38" s="222">
        <f t="shared" si="6"/>
        <v>2.4830132939438698</v>
      </c>
      <c r="I38" s="39"/>
      <c r="J38" s="39"/>
      <c r="K38" s="39"/>
      <c r="L38" s="39">
        <v>10.72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27" priority="39">
      <formula>F47&gt;0</formula>
    </cfRule>
    <cfRule type="expression" dxfId="1326" priority="40">
      <formula>F47&lt;0</formula>
    </cfRule>
  </conditionalFormatting>
  <conditionalFormatting sqref="Q7">
    <cfRule type="expression" dxfId="1325" priority="37">
      <formula>Q7&gt;0</formula>
    </cfRule>
    <cfRule type="expression" dxfId="1324" priority="38">
      <formula>Q7&lt;0</formula>
    </cfRule>
  </conditionalFormatting>
  <conditionalFormatting sqref="Q8">
    <cfRule type="expression" dxfId="1323" priority="35">
      <formula>Q8&gt;0</formula>
    </cfRule>
    <cfRule type="expression" dxfId="1322" priority="36">
      <formula>Q8&lt;0</formula>
    </cfRule>
  </conditionalFormatting>
  <conditionalFormatting sqref="F33:F36 F38:F46">
    <cfRule type="expression" dxfId="1321" priority="33">
      <formula>F33&gt;0</formula>
    </cfRule>
    <cfRule type="expression" dxfId="1320" priority="34">
      <formula>F33&lt;0</formula>
    </cfRule>
  </conditionalFormatting>
  <conditionalFormatting sqref="H33:H36 H38:H46">
    <cfRule type="expression" dxfId="1319" priority="31">
      <formula>H33&gt;0</formula>
    </cfRule>
    <cfRule type="expression" dxfId="1318" priority="32">
      <formula>H33&lt;0</formula>
    </cfRule>
  </conditionalFormatting>
  <conditionalFormatting sqref="Q10">
    <cfRule type="expression" dxfId="1317" priority="29">
      <formula>Q10&gt;0</formula>
    </cfRule>
    <cfRule type="expression" dxfId="1316" priority="30">
      <formula>Q10&lt;0</formula>
    </cfRule>
  </conditionalFormatting>
  <conditionalFormatting sqref="J25:J38">
    <cfRule type="expression" dxfId="1315" priority="27">
      <formula>J25&gt;0</formula>
    </cfRule>
    <cfRule type="expression" dxfId="1314" priority="28">
      <formula>J25&lt;0</formula>
    </cfRule>
  </conditionalFormatting>
  <conditionalFormatting sqref="K25:K38">
    <cfRule type="expression" dxfId="1313" priority="25">
      <formula>K25&gt;0</formula>
    </cfRule>
    <cfRule type="expression" dxfId="1312" priority="26">
      <formula>K25&lt;0</formula>
    </cfRule>
  </conditionalFormatting>
  <conditionalFormatting sqref="L25">
    <cfRule type="expression" dxfId="1311" priority="23">
      <formula>L25&gt;0</formula>
    </cfRule>
    <cfRule type="expression" dxfId="1310" priority="24">
      <formula>L25&lt;0</formula>
    </cfRule>
  </conditionalFormatting>
  <conditionalFormatting sqref="F89:F110">
    <cfRule type="expression" dxfId="1309" priority="21">
      <formula>F89&gt;0</formula>
    </cfRule>
    <cfRule type="expression" dxfId="1308" priority="22">
      <formula>F89&lt;0</formula>
    </cfRule>
  </conditionalFormatting>
  <conditionalFormatting sqref="H89:H110">
    <cfRule type="expression" dxfId="1307" priority="19">
      <formula>H89&gt;0</formula>
    </cfRule>
    <cfRule type="expression" dxfId="1306" priority="20">
      <formula>H89&lt;0</formula>
    </cfRule>
  </conditionalFormatting>
  <conditionalFormatting sqref="J89:J102">
    <cfRule type="expression" dxfId="1305" priority="17">
      <formula>J89&gt;0</formula>
    </cfRule>
    <cfRule type="expression" dxfId="1304" priority="18">
      <formula>J89&lt;0</formula>
    </cfRule>
  </conditionalFormatting>
  <conditionalFormatting sqref="K89:K102">
    <cfRule type="expression" dxfId="1303" priority="15">
      <formula>K89&gt;0</formula>
    </cfRule>
    <cfRule type="expression" dxfId="1302" priority="16">
      <formula>K89&lt;0</formula>
    </cfRule>
  </conditionalFormatting>
  <conditionalFormatting sqref="L89:L102">
    <cfRule type="expression" dxfId="1301" priority="13">
      <formula>L89&gt;0</formula>
    </cfRule>
    <cfRule type="expression" dxfId="1300" priority="14">
      <formula>L89&lt;0</formula>
    </cfRule>
  </conditionalFormatting>
  <conditionalFormatting sqref="F29:F32">
    <cfRule type="expression" dxfId="1299" priority="11">
      <formula>F29&gt;0</formula>
    </cfRule>
    <cfRule type="expression" dxfId="1298" priority="12">
      <formula>F29&lt;0</formula>
    </cfRule>
  </conditionalFormatting>
  <conditionalFormatting sqref="H29:H32">
    <cfRule type="expression" dxfId="1297" priority="9">
      <formula>H29&gt;0</formula>
    </cfRule>
    <cfRule type="expression" dxfId="1296" priority="10">
      <formula>H29&lt;0</formula>
    </cfRule>
  </conditionalFormatting>
  <conditionalFormatting sqref="F25:F28">
    <cfRule type="expression" dxfId="1295" priority="7">
      <formula>F25&gt;0</formula>
    </cfRule>
    <cfRule type="expression" dxfId="1294" priority="8">
      <formula>F25&lt;0</formula>
    </cfRule>
  </conditionalFormatting>
  <conditionalFormatting sqref="H25:H28">
    <cfRule type="expression" dxfId="1293" priority="5">
      <formula>H25&gt;0</formula>
    </cfRule>
    <cfRule type="expression" dxfId="1292" priority="6">
      <formula>H25&lt;0</formula>
    </cfRule>
  </conditionalFormatting>
  <conditionalFormatting sqref="F37">
    <cfRule type="expression" dxfId="1291" priority="3">
      <formula>F37&gt;0</formula>
    </cfRule>
    <cfRule type="expression" dxfId="1290" priority="4">
      <formula>F37&lt;0</formula>
    </cfRule>
  </conditionalFormatting>
  <conditionalFormatting sqref="H37">
    <cfRule type="expression" dxfId="1289" priority="1">
      <formula>H37&gt;0</formula>
    </cfRule>
    <cfRule type="expression" dxfId="1288" priority="2">
      <formula>H37&lt;0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34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34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203.52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203.52</v>
      </c>
      <c r="R4" s="495">
        <v>-9.2999999999999992E-3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137.51000000000022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137.51000000000022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8.6477987421383646E-3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  <c r="Q13">
        <f>Q4/8.62</f>
        <v>23.610208816705338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9" t="s">
        <v>78</v>
      </c>
      <c r="P40" s="859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223.87200000000004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221.83680000000004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219.80160000000004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217.76640000000003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215.73120000000003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213.69600000000003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211.66080000000002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209.62560000000002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207.59040000000002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205.55520000000001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203.52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201.48480000000001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199.4496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197.4144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195.3792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193.34399999999999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191.30879999999999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189.27360000000002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187.23840000000001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185.20320000000001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183.16800000000001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87" priority="31">
      <formula>F47&gt;0</formula>
    </cfRule>
    <cfRule type="expression" dxfId="1286" priority="32">
      <formula>F47&lt;0</formula>
    </cfRule>
  </conditionalFormatting>
  <conditionalFormatting sqref="Q7">
    <cfRule type="expression" dxfId="1285" priority="29">
      <formula>Q7&gt;0</formula>
    </cfRule>
    <cfRule type="expression" dxfId="1284" priority="30">
      <formula>Q7&lt;0</formula>
    </cfRule>
  </conditionalFormatting>
  <conditionalFormatting sqref="Q8">
    <cfRule type="expression" dxfId="1283" priority="27">
      <formula>Q8&gt;0</formula>
    </cfRule>
    <cfRule type="expression" dxfId="1282" priority="28">
      <formula>Q8&lt;0</formula>
    </cfRule>
  </conditionalFormatting>
  <conditionalFormatting sqref="F30:F46">
    <cfRule type="expression" dxfId="1281" priority="25">
      <formula>F30&gt;0</formula>
    </cfRule>
    <cfRule type="expression" dxfId="1280" priority="26">
      <formula>F30&lt;0</formula>
    </cfRule>
  </conditionalFormatting>
  <conditionalFormatting sqref="H30:H46">
    <cfRule type="expression" dxfId="1279" priority="23">
      <formula>H30&gt;0</formula>
    </cfRule>
    <cfRule type="expression" dxfId="1278" priority="24">
      <formula>H30&lt;0</formula>
    </cfRule>
  </conditionalFormatting>
  <conditionalFormatting sqref="Q10">
    <cfRule type="expression" dxfId="1277" priority="21">
      <formula>Q10&gt;0</formula>
    </cfRule>
    <cfRule type="expression" dxfId="1276" priority="22">
      <formula>Q10&lt;0</formula>
    </cfRule>
  </conditionalFormatting>
  <conditionalFormatting sqref="J25:J38">
    <cfRule type="expression" dxfId="1275" priority="19">
      <formula>J25&gt;0</formula>
    </cfRule>
    <cfRule type="expression" dxfId="1274" priority="20">
      <formula>J25&lt;0</formula>
    </cfRule>
  </conditionalFormatting>
  <conditionalFormatting sqref="K25:K38">
    <cfRule type="expression" dxfId="1273" priority="17">
      <formula>K25&gt;0</formula>
    </cfRule>
    <cfRule type="expression" dxfId="1272" priority="18">
      <formula>K25&lt;0</formula>
    </cfRule>
  </conditionalFormatting>
  <conditionalFormatting sqref="L25:L38">
    <cfRule type="expression" dxfId="1271" priority="15">
      <formula>L25&gt;0</formula>
    </cfRule>
    <cfRule type="expression" dxfId="1270" priority="16">
      <formula>L25&lt;0</formula>
    </cfRule>
  </conditionalFormatting>
  <conditionalFormatting sqref="F89:F110">
    <cfRule type="expression" dxfId="1269" priority="13">
      <formula>F89&gt;0</formula>
    </cfRule>
    <cfRule type="expression" dxfId="1268" priority="14">
      <formula>F89&lt;0</formula>
    </cfRule>
  </conditionalFormatting>
  <conditionalFormatting sqref="H89:H110">
    <cfRule type="expression" dxfId="1267" priority="11">
      <formula>H89&gt;0</formula>
    </cfRule>
    <cfRule type="expression" dxfId="1266" priority="12">
      <formula>H89&lt;0</formula>
    </cfRule>
  </conditionalFormatting>
  <conditionalFormatting sqref="J89:J102">
    <cfRule type="expression" dxfId="1265" priority="9">
      <formula>J89&gt;0</formula>
    </cfRule>
    <cfRule type="expression" dxfId="1264" priority="10">
      <formula>J89&lt;0</formula>
    </cfRule>
  </conditionalFormatting>
  <conditionalFormatting sqref="K89:K102">
    <cfRule type="expression" dxfId="1263" priority="7">
      <formula>K89&gt;0</formula>
    </cfRule>
    <cfRule type="expression" dxfId="1262" priority="8">
      <formula>K89&lt;0</formula>
    </cfRule>
  </conditionalFormatting>
  <conditionalFormatting sqref="L89:L102">
    <cfRule type="expression" dxfId="1261" priority="5">
      <formula>L89&gt;0</formula>
    </cfRule>
    <cfRule type="expression" dxfId="1260" priority="6">
      <formula>L89&lt;0</formula>
    </cfRule>
  </conditionalFormatting>
  <conditionalFormatting sqref="F25:F29">
    <cfRule type="expression" dxfId="1259" priority="3">
      <formula>F25&gt;0</formula>
    </cfRule>
    <cfRule type="expression" dxfId="1258" priority="4">
      <formula>F25&lt;0</formula>
    </cfRule>
  </conditionalFormatting>
  <conditionalFormatting sqref="H25:H29">
    <cfRule type="expression" dxfId="1257" priority="1">
      <formula>H25&gt;0</formula>
    </cfRule>
    <cfRule type="expression" dxfId="125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43151</v>
      </c>
      <c r="C2" s="7">
        <v>50</v>
      </c>
      <c r="D2" s="43">
        <v>68.22</v>
      </c>
      <c r="E2" s="43">
        <v>0</v>
      </c>
      <c r="F2" s="43">
        <f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200</v>
      </c>
      <c r="T2" s="1" t="s">
        <v>1225</v>
      </c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>C3*D3+E3</f>
        <v>3055</v>
      </c>
      <c r="G3" s="434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7">
        <v>62.5</v>
      </c>
      <c r="O3" s="11" t="s">
        <v>58</v>
      </c>
      <c r="Q3" s="221">
        <f>IF(Q2=0, Q4, (F18-K18-M18)/Q2)</f>
        <v>59.337049999999998</v>
      </c>
      <c r="T3" t="s">
        <v>1224</v>
      </c>
      <c r="U3" t="s">
        <v>1223</v>
      </c>
    </row>
    <row r="4" spans="1:21" x14ac:dyDescent="0.25">
      <c r="A4" t="s">
        <v>761</v>
      </c>
      <c r="B4" s="434">
        <v>43299</v>
      </c>
      <c r="C4" s="7">
        <v>100</v>
      </c>
      <c r="D4" s="43">
        <v>62.25</v>
      </c>
      <c r="E4" s="43">
        <v>0</v>
      </c>
      <c r="F4" s="43">
        <f>C4*D4+E4</f>
        <v>6225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59.649900000000002</v>
      </c>
      <c r="R4" s="495">
        <v>-5.7999999999999996E-3</v>
      </c>
      <c r="T4" t="s">
        <v>1122</v>
      </c>
      <c r="U4" t="s">
        <v>1226</v>
      </c>
    </row>
    <row r="5" spans="1:21" x14ac:dyDescent="0.25">
      <c r="B5" s="474">
        <v>43305</v>
      </c>
      <c r="C5" s="4">
        <v>100</v>
      </c>
      <c r="D5" s="3">
        <v>59.4</v>
      </c>
      <c r="E5" s="3">
        <v>0</v>
      </c>
      <c r="F5" s="3">
        <f>C5*D5+E5</f>
        <v>5940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11929.98</v>
      </c>
    </row>
    <row r="6" spans="1:21" x14ac:dyDescent="0.25">
      <c r="B6" s="474">
        <v>43313</v>
      </c>
      <c r="C6" s="4">
        <v>100</v>
      </c>
      <c r="D6" s="3">
        <v>59.28</v>
      </c>
      <c r="E6" s="3">
        <v>0</v>
      </c>
      <c r="F6" s="3">
        <f>C6*D6+E6</f>
        <v>5928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11867.41</v>
      </c>
      <c r="T6" s="1">
        <v>43223</v>
      </c>
      <c r="U6" t="s">
        <v>1031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62.569999999999709</v>
      </c>
      <c r="R7" s="29">
        <v>43336</v>
      </c>
      <c r="T7" s="770"/>
      <c r="U7" s="30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62.569999999999709</v>
      </c>
      <c r="T8" s="1">
        <v>43248</v>
      </c>
      <c r="U8" t="s">
        <v>1091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5.2724225420710761E-3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M65</f>
        <v>0</v>
      </c>
      <c r="T10" s="1">
        <v>43300</v>
      </c>
      <c r="U10" t="s">
        <v>1199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4.1911218627357298E-2</v>
      </c>
      <c r="R11">
        <f>0.625</f>
        <v>0.625</v>
      </c>
    </row>
    <row r="12" spans="1:21" x14ac:dyDescent="0.25">
      <c r="H12" s="70"/>
      <c r="O12" s="11" t="s">
        <v>989</v>
      </c>
      <c r="Q12" s="1" t="s">
        <v>1221</v>
      </c>
      <c r="T12" s="770">
        <v>43315</v>
      </c>
      <c r="U12" t="s">
        <v>1219</v>
      </c>
    </row>
    <row r="13" spans="1:21" x14ac:dyDescent="0.25">
      <c r="H13" s="70"/>
      <c r="O13" s="11" t="s">
        <v>952</v>
      </c>
      <c r="Q13">
        <f>Q4/3.79</f>
        <v>15.738759894459104</v>
      </c>
    </row>
    <row r="14" spans="1:21" x14ac:dyDescent="0.25">
      <c r="H14" s="70"/>
      <c r="O14" s="11" t="s">
        <v>1039</v>
      </c>
      <c r="Q14" s="1">
        <v>43317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24559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93.75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12691</v>
      </c>
      <c r="G19" s="343"/>
      <c r="H19" s="343">
        <f>SumByColor($A$19,H2:H17)</f>
        <v>200</v>
      </c>
      <c r="I19" s="343"/>
      <c r="J19" s="343"/>
      <c r="K19" s="344">
        <f>SumByColor($A$19,K2:K17)</f>
        <v>12598</v>
      </c>
      <c r="L19" s="343"/>
      <c r="M19" s="344">
        <f>SumByColor($A$19,M2:M17)</f>
        <v>94</v>
      </c>
    </row>
    <row r="21" spans="1:16" ht="20.25" thickBot="1" x14ac:dyDescent="0.35">
      <c r="O21" s="859" t="s">
        <v>78</v>
      </c>
      <c r="P21" s="859"/>
    </row>
    <row r="22" spans="1:16" ht="15.75" thickTop="1" x14ac:dyDescent="0.25">
      <c r="O22" s="81">
        <v>1.1000000000000001</v>
      </c>
      <c r="P22" s="81">
        <f>O22*$Q$4</f>
        <v>65.614890000000003</v>
      </c>
    </row>
    <row r="23" spans="1:16" x14ac:dyDescent="0.25">
      <c r="O23" s="81">
        <v>1.0900000000000001</v>
      </c>
      <c r="P23" s="81">
        <f t="shared" ref="P23:P42" si="0">O23*$Q$4</f>
        <v>65.018391000000008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1.08</v>
      </c>
      <c r="P24" s="81">
        <f t="shared" si="0"/>
        <v>64.421892</v>
      </c>
    </row>
    <row r="25" spans="1:16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1">C25*(E25-D25)</f>
        <v>-10.999999999999943</v>
      </c>
      <c r="G25" s="39">
        <f t="shared" ref="G25:G33" si="2">D25*C25</f>
        <v>3411</v>
      </c>
      <c r="H25" s="222">
        <f t="shared" ref="H25:H33" si="3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0"/>
        <v>63.825393000000005</v>
      </c>
    </row>
    <row r="26" spans="1:16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1"/>
        <v>-355.99999999999955</v>
      </c>
      <c r="G26" s="39">
        <f t="shared" si="2"/>
        <v>6466</v>
      </c>
      <c r="H26" s="222">
        <f t="shared" si="3"/>
        <v>-5.5057222394061169E-2</v>
      </c>
      <c r="I26" s="39"/>
      <c r="J26" s="39"/>
      <c r="K26" s="39"/>
      <c r="L26" s="39"/>
      <c r="O26" s="81">
        <v>1.06</v>
      </c>
      <c r="P26" s="81">
        <f t="shared" si="0"/>
        <v>63.228894000000004</v>
      </c>
    </row>
    <row r="27" spans="1:16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1"/>
        <v>-431.74999999999955</v>
      </c>
      <c r="G27" s="39">
        <f t="shared" si="2"/>
        <v>6434.75</v>
      </c>
      <c r="H27" s="222">
        <f t="shared" si="3"/>
        <v>-6.7096623800458374E-2</v>
      </c>
      <c r="I27" s="39"/>
      <c r="J27" s="39"/>
      <c r="K27" s="39"/>
      <c r="L27" s="155"/>
      <c r="O27" s="81">
        <v>1.05</v>
      </c>
      <c r="P27" s="81">
        <f t="shared" si="0"/>
        <v>62.632395000000002</v>
      </c>
    </row>
    <row r="28" spans="1:16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1"/>
        <v>-269.74999999999977</v>
      </c>
      <c r="G28" s="39">
        <f t="shared" si="2"/>
        <v>6434.75</v>
      </c>
      <c r="H28" s="222">
        <f t="shared" si="3"/>
        <v>-4.192082054469868E-2</v>
      </c>
      <c r="I28" s="39"/>
      <c r="J28" s="39"/>
      <c r="K28" s="39"/>
      <c r="L28" s="155"/>
      <c r="O28" s="81">
        <v>1.04</v>
      </c>
      <c r="P28" s="81">
        <f t="shared" si="0"/>
        <v>62.035896000000001</v>
      </c>
    </row>
    <row r="29" spans="1:16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1"/>
        <v>-364.74999999999937</v>
      </c>
      <c r="G29" s="39">
        <f t="shared" si="2"/>
        <v>6434.75</v>
      </c>
      <c r="H29" s="222">
        <f t="shared" si="3"/>
        <v>-5.6684408873693526E-2</v>
      </c>
      <c r="I29" s="39"/>
      <c r="J29" s="39"/>
      <c r="K29" s="39"/>
      <c r="L29" s="155"/>
      <c r="O29" s="81">
        <v>1.03</v>
      </c>
      <c r="P29" s="81">
        <f t="shared" si="0"/>
        <v>61.439397000000007</v>
      </c>
    </row>
    <row r="30" spans="1:16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1"/>
        <v>-1014.7499999999993</v>
      </c>
      <c r="G30" s="39">
        <f t="shared" si="2"/>
        <v>6434.75</v>
      </c>
      <c r="H30" s="222">
        <f t="shared" si="3"/>
        <v>-0.15769843428260608</v>
      </c>
      <c r="I30" s="39"/>
      <c r="J30" s="39"/>
      <c r="K30" s="39"/>
      <c r="L30" s="155"/>
      <c r="O30" s="81">
        <v>1.02</v>
      </c>
      <c r="P30" s="81">
        <f t="shared" si="0"/>
        <v>60.842898000000005</v>
      </c>
    </row>
    <row r="31" spans="1:16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1"/>
        <v>-530.99999999999955</v>
      </c>
      <c r="G31" s="39">
        <f t="shared" si="2"/>
        <v>6434.9999999999991</v>
      </c>
      <c r="H31" s="222">
        <f t="shared" si="3"/>
        <v>-8.2517482517482449E-2</v>
      </c>
      <c r="I31" s="39"/>
      <c r="J31" s="39"/>
      <c r="K31" s="39"/>
      <c r="L31" s="155"/>
      <c r="O31" s="81">
        <v>1.01</v>
      </c>
      <c r="P31" s="81">
        <f t="shared" si="0"/>
        <v>60.246399000000004</v>
      </c>
    </row>
    <row r="32" spans="1:16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1"/>
        <v>-789.74999999999932</v>
      </c>
      <c r="G32" s="39">
        <f t="shared" si="2"/>
        <v>6434.75</v>
      </c>
      <c r="H32" s="222">
        <f t="shared" si="3"/>
        <v>-0.12273204087182865</v>
      </c>
      <c r="I32" s="39"/>
      <c r="J32" s="39"/>
      <c r="K32" s="39"/>
      <c r="L32" s="155"/>
      <c r="O32" s="81">
        <v>1</v>
      </c>
      <c r="P32" s="81">
        <f t="shared" si="0"/>
        <v>59.649900000000002</v>
      </c>
    </row>
    <row r="33" spans="1:17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1"/>
        <v>-211.24999999999972</v>
      </c>
      <c r="G33" s="39">
        <f t="shared" si="2"/>
        <v>6372.25</v>
      </c>
      <c r="H33" s="222">
        <f t="shared" si="3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0"/>
        <v>59.053401000000001</v>
      </c>
    </row>
    <row r="34" spans="1:17" x14ac:dyDescent="0.25">
      <c r="A34">
        <v>0</v>
      </c>
      <c r="B34" s="184">
        <v>43299</v>
      </c>
      <c r="C34" s="228">
        <v>100</v>
      </c>
      <c r="D34" s="229">
        <v>61.473300000000002</v>
      </c>
      <c r="E34" s="39">
        <v>62.25</v>
      </c>
      <c r="F34" s="39">
        <v>77.67</v>
      </c>
      <c r="G34" s="39"/>
      <c r="H34" s="222"/>
      <c r="I34" s="39"/>
      <c r="J34" s="39"/>
      <c r="K34" s="39"/>
      <c r="L34" s="39">
        <v>16.420000000000002</v>
      </c>
      <c r="O34" s="81">
        <v>0.98</v>
      </c>
      <c r="P34" s="81">
        <f t="shared" si="0"/>
        <v>58.456901999999999</v>
      </c>
    </row>
    <row r="35" spans="1:17" x14ac:dyDescent="0.25">
      <c r="A35">
        <v>0</v>
      </c>
      <c r="B35" s="184">
        <v>43305</v>
      </c>
      <c r="C35" s="7">
        <v>200</v>
      </c>
      <c r="D35" s="43">
        <v>60.436700000000002</v>
      </c>
      <c r="E35" s="39">
        <v>59.4</v>
      </c>
      <c r="F35" s="39">
        <f t="shared" ref="F35" si="4">C35*(E35-D35)</f>
        <v>-207.34000000000066</v>
      </c>
      <c r="G35" s="39">
        <f t="shared" ref="G35" si="5">D35*C35</f>
        <v>12087.34</v>
      </c>
      <c r="H35" s="222">
        <f t="shared" ref="H35" si="6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0"/>
        <v>57.860402999999998</v>
      </c>
    </row>
    <row r="36" spans="1:17" x14ac:dyDescent="0.25">
      <c r="A36">
        <v>0</v>
      </c>
      <c r="B36" s="184">
        <v>43307</v>
      </c>
      <c r="C36" s="228">
        <v>100</v>
      </c>
      <c r="D36" s="229">
        <v>59.394100000000002</v>
      </c>
      <c r="E36" s="39">
        <v>61.48</v>
      </c>
      <c r="F36" s="39">
        <f t="shared" ref="F36:F37" si="7">C36*(E36-D36)</f>
        <v>208.58999999999952</v>
      </c>
      <c r="G36" s="39">
        <f t="shared" ref="G36:G37" si="8">D36*C36</f>
        <v>5939.41</v>
      </c>
      <c r="H36" s="222">
        <f t="shared" ref="H36:H37" si="9">(E36-D36)/D36</f>
        <v>3.5119649931558777E-2</v>
      </c>
      <c r="I36" s="39"/>
      <c r="J36" s="39"/>
      <c r="K36" s="39"/>
      <c r="L36" s="39">
        <v>15.79</v>
      </c>
      <c r="O36" s="81">
        <v>0.96</v>
      </c>
      <c r="P36" s="81">
        <f t="shared" si="0"/>
        <v>57.263904000000004</v>
      </c>
    </row>
    <row r="37" spans="1:17" x14ac:dyDescent="0.25">
      <c r="A37">
        <v>0</v>
      </c>
      <c r="B37" s="184">
        <v>43313</v>
      </c>
      <c r="C37" s="7">
        <v>200</v>
      </c>
      <c r="D37" s="43">
        <v>59.3371</v>
      </c>
      <c r="E37" s="39">
        <v>59.28</v>
      </c>
      <c r="F37" s="39">
        <f t="shared" si="7"/>
        <v>-11.419999999999675</v>
      </c>
      <c r="G37" s="39">
        <f t="shared" si="8"/>
        <v>11867.42</v>
      </c>
      <c r="H37" s="222">
        <f t="shared" si="9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0"/>
        <v>56.667405000000002</v>
      </c>
    </row>
    <row r="38" spans="1:17" x14ac:dyDescent="0.25">
      <c r="B38" s="184">
        <v>43315</v>
      </c>
      <c r="C38" s="10">
        <v>200</v>
      </c>
      <c r="D38" s="39">
        <v>59.3371</v>
      </c>
      <c r="E38" s="39">
        <v>64.48</v>
      </c>
      <c r="F38" s="39">
        <f t="shared" ref="F38:F41" si="10">C38*(E38-D38)</f>
        <v>1028.5800000000008</v>
      </c>
      <c r="G38" s="39">
        <f t="shared" ref="G38:G41" si="11">D38*C38</f>
        <v>11867.42</v>
      </c>
      <c r="H38" s="222">
        <f t="shared" ref="H38:H41" si="12">(E38-D38)/D38</f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0"/>
        <v>56.070906000000001</v>
      </c>
    </row>
    <row r="39" spans="1:17" x14ac:dyDescent="0.25">
      <c r="A39">
        <v>0</v>
      </c>
      <c r="B39" s="184">
        <v>43318</v>
      </c>
      <c r="C39" s="10">
        <v>200</v>
      </c>
      <c r="D39" s="39">
        <v>59.34</v>
      </c>
      <c r="E39" s="39">
        <v>62.3</v>
      </c>
      <c r="F39" s="39">
        <f t="shared" si="10"/>
        <v>591.99999999999875</v>
      </c>
      <c r="G39" s="39">
        <f t="shared" si="11"/>
        <v>11868</v>
      </c>
      <c r="H39" s="222">
        <f t="shared" si="12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0"/>
        <v>55.474407000000006</v>
      </c>
    </row>
    <row r="40" spans="1:17" x14ac:dyDescent="0.25">
      <c r="B40" s="184">
        <v>43320</v>
      </c>
      <c r="C40" s="10">
        <v>200</v>
      </c>
      <c r="D40" s="39">
        <v>59.3371</v>
      </c>
      <c r="E40" s="39">
        <v>60.28</v>
      </c>
      <c r="F40" s="39">
        <f t="shared" si="10"/>
        <v>188.58000000000033</v>
      </c>
      <c r="G40" s="39">
        <f t="shared" si="11"/>
        <v>11867.42</v>
      </c>
      <c r="H40" s="222">
        <f t="shared" si="12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0"/>
        <v>54.877908000000005</v>
      </c>
    </row>
    <row r="41" spans="1:17" x14ac:dyDescent="0.25">
      <c r="B41" s="184">
        <v>43324</v>
      </c>
      <c r="C41" s="10">
        <v>200</v>
      </c>
      <c r="D41" s="39">
        <v>59.34</v>
      </c>
      <c r="E41" s="39">
        <v>59.65</v>
      </c>
      <c r="F41" s="39">
        <f t="shared" si="10"/>
        <v>61.999999999999034</v>
      </c>
      <c r="G41" s="39">
        <f t="shared" si="11"/>
        <v>11868</v>
      </c>
      <c r="H41" s="222">
        <f t="shared" si="12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0"/>
        <v>54.281409000000004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</v>
      </c>
      <c r="P42" s="81">
        <f t="shared" si="0"/>
        <v>53.684910000000002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72"/>
      <c r="C46" s="4"/>
      <c r="D46" s="3"/>
      <c r="E46" s="3"/>
      <c r="F46" s="3"/>
      <c r="G46" s="3"/>
      <c r="H46" s="269"/>
      <c r="I46" s="267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3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A53" s="4"/>
      <c r="B53" s="72"/>
      <c r="C53" s="4"/>
      <c r="D53" s="3"/>
      <c r="E53" s="3"/>
      <c r="F53" s="3"/>
      <c r="G53" s="3"/>
      <c r="H53" s="269"/>
      <c r="I53" s="3"/>
      <c r="J53" s="3"/>
      <c r="K53" s="3"/>
      <c r="L53" s="4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563"/>
      <c r="B65" s="563"/>
      <c r="C65" s="563"/>
      <c r="D65" s="564"/>
      <c r="E65" s="564"/>
      <c r="F65" s="564"/>
      <c r="G65" s="563"/>
      <c r="H65" s="563"/>
      <c r="I65" s="564"/>
      <c r="J65" s="564"/>
      <c r="K65" s="564"/>
      <c r="L65" s="563" t="s">
        <v>65</v>
      </c>
      <c r="M65" s="564">
        <f>M83+K83-F83</f>
        <v>0</v>
      </c>
    </row>
    <row r="66" spans="1:13" x14ac:dyDescent="0.25">
      <c r="A66" s="685" t="s">
        <v>1</v>
      </c>
      <c r="B66" s="685" t="s">
        <v>2</v>
      </c>
      <c r="C66" s="685" t="s">
        <v>4</v>
      </c>
      <c r="D66" s="686" t="s">
        <v>5</v>
      </c>
      <c r="E66" s="686" t="s">
        <v>94</v>
      </c>
      <c r="F66" s="686" t="s">
        <v>60</v>
      </c>
      <c r="G66" s="685" t="s">
        <v>3</v>
      </c>
      <c r="H66" s="685" t="s">
        <v>6</v>
      </c>
      <c r="I66" s="686" t="s">
        <v>7</v>
      </c>
      <c r="J66" s="686" t="s">
        <v>95</v>
      </c>
      <c r="K66" s="686" t="s">
        <v>61</v>
      </c>
      <c r="L66" s="685" t="s">
        <v>37</v>
      </c>
      <c r="M66" s="685" t="s">
        <v>38</v>
      </c>
    </row>
    <row r="67" spans="1:13" x14ac:dyDescent="0.25">
      <c r="A67" s="687" t="s">
        <v>920</v>
      </c>
      <c r="B67" s="566"/>
      <c r="C67" s="563"/>
      <c r="D67" s="564"/>
      <c r="E67" s="564"/>
      <c r="F67" s="564"/>
      <c r="G67" s="566"/>
      <c r="H67" s="563"/>
      <c r="I67" s="564"/>
      <c r="J67" s="564"/>
      <c r="K67" s="564"/>
      <c r="L67" s="566"/>
      <c r="M67" s="564"/>
    </row>
    <row r="68" spans="1:13" x14ac:dyDescent="0.25">
      <c r="A68" s="688"/>
      <c r="B68" s="566"/>
      <c r="C68" s="563"/>
      <c r="D68" s="564"/>
      <c r="E68" s="564"/>
      <c r="F68" s="564"/>
      <c r="G68" s="566"/>
      <c r="H68" s="565"/>
      <c r="I68" s="564"/>
      <c r="J68" s="564"/>
      <c r="K68" s="564"/>
      <c r="L68" s="563"/>
      <c r="M68" s="563"/>
    </row>
    <row r="69" spans="1:13" x14ac:dyDescent="0.25">
      <c r="A69" s="563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3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3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3"/>
      <c r="I82" s="564"/>
      <c r="J82" s="564"/>
      <c r="K82" s="564"/>
      <c r="L82" s="563"/>
      <c r="M82" s="563"/>
    </row>
    <row r="83" spans="1:13" x14ac:dyDescent="0.25">
      <c r="A83" s="689" t="s">
        <v>81</v>
      </c>
      <c r="B83" s="690"/>
      <c r="C83" s="690">
        <f>SUM(C67:C71)</f>
        <v>0</v>
      </c>
      <c r="D83" s="691"/>
      <c r="E83" s="691"/>
      <c r="F83" s="691">
        <f>SUM(F67:F71)</f>
        <v>0</v>
      </c>
      <c r="G83" s="690"/>
      <c r="H83" s="692">
        <f>SUM(H67:H70)</f>
        <v>0</v>
      </c>
      <c r="I83" s="691"/>
      <c r="J83" s="691"/>
      <c r="K83" s="691">
        <f>SUM(K67:K70)</f>
        <v>0</v>
      </c>
      <c r="L83" s="690"/>
      <c r="M83" s="691">
        <f>SUM(M67:M75)</f>
        <v>0</v>
      </c>
    </row>
    <row r="84" spans="1:13" ht="15.75" thickBot="1" x14ac:dyDescent="0.3">
      <c r="A84" s="693" t="s">
        <v>193</v>
      </c>
      <c r="B84" s="725"/>
      <c r="C84" s="694">
        <f>SumByColor($A$19,C67:C82)</f>
        <v>0</v>
      </c>
      <c r="D84" s="694"/>
      <c r="E84" s="694"/>
      <c r="F84" s="695">
        <f>SumByColor($A$19,F67:F82)</f>
        <v>0</v>
      </c>
      <c r="G84" s="694"/>
      <c r="H84" s="694">
        <f>SumByColor($A$19,H67:H82)</f>
        <v>0</v>
      </c>
      <c r="I84" s="694"/>
      <c r="J84" s="694"/>
      <c r="K84" s="695">
        <f>SumByColor($A$19,K68:K82)</f>
        <v>0</v>
      </c>
      <c r="L84" s="694"/>
      <c r="M84" s="695">
        <f>SumByColor($A$19,M67:M82)</f>
        <v>0</v>
      </c>
    </row>
    <row r="87" spans="1:13" x14ac:dyDescent="0.25">
      <c r="B87" s="182" t="s">
        <v>113</v>
      </c>
      <c r="C87" s="182" t="s">
        <v>146</v>
      </c>
      <c r="D87" s="183" t="s">
        <v>145</v>
      </c>
      <c r="E87" s="185" t="s">
        <v>147</v>
      </c>
      <c r="F87" s="185" t="s">
        <v>65</v>
      </c>
      <c r="G87" s="220" t="s">
        <v>151</v>
      </c>
      <c r="H87" s="220" t="s">
        <v>88</v>
      </c>
      <c r="I87" s="220" t="s">
        <v>154</v>
      </c>
      <c r="J87" s="220" t="s">
        <v>150</v>
      </c>
      <c r="K87" s="220" t="s">
        <v>649</v>
      </c>
      <c r="L87" s="220" t="s">
        <v>655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155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39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62 H46:H62 F30:F34 H30:H34 J25:K37">
    <cfRule type="expression" dxfId="1255" priority="35">
      <formula>F25&gt;0</formula>
    </cfRule>
    <cfRule type="expression" dxfId="1254" priority="36">
      <formula>F25&lt;0</formula>
    </cfRule>
  </conditionalFormatting>
  <conditionalFormatting sqref="Q7">
    <cfRule type="expression" dxfId="1253" priority="33">
      <formula>Q7&gt;0</formula>
    </cfRule>
    <cfRule type="expression" dxfId="1252" priority="34">
      <formula>Q7&lt;0</formula>
    </cfRule>
  </conditionalFormatting>
  <conditionalFormatting sqref="Q8">
    <cfRule type="expression" dxfId="1251" priority="31">
      <formula>Q8&gt;0</formula>
    </cfRule>
    <cfRule type="expression" dxfId="1250" priority="32">
      <formula>Q8&lt;0</formula>
    </cfRule>
  </conditionalFormatting>
  <conditionalFormatting sqref="F39:F45">
    <cfRule type="expression" dxfId="1249" priority="29">
      <formula>F39&gt;0</formula>
    </cfRule>
    <cfRule type="expression" dxfId="1248" priority="30">
      <formula>F39&lt;0</formula>
    </cfRule>
  </conditionalFormatting>
  <conditionalFormatting sqref="H39:H45">
    <cfRule type="expression" dxfId="1247" priority="27">
      <formula>H39&gt;0</formula>
    </cfRule>
    <cfRule type="expression" dxfId="1246" priority="28">
      <formula>H39&lt;0</formula>
    </cfRule>
  </conditionalFormatting>
  <conditionalFormatting sqref="Q10">
    <cfRule type="expression" dxfId="1245" priority="25">
      <formula>Q10&gt;0</formula>
    </cfRule>
    <cfRule type="expression" dxfId="1244" priority="26">
      <formula>Q10&lt;0</formula>
    </cfRule>
  </conditionalFormatting>
  <conditionalFormatting sqref="L25:L32">
    <cfRule type="expression" dxfId="1243" priority="19">
      <formula>L25&gt;0</formula>
    </cfRule>
    <cfRule type="expression" dxfId="1242" priority="20">
      <formula>L25&lt;0</formula>
    </cfRule>
  </conditionalFormatting>
  <conditionalFormatting sqref="F88:F109">
    <cfRule type="expression" dxfId="1241" priority="17">
      <formula>F88&gt;0</formula>
    </cfRule>
    <cfRule type="expression" dxfId="1240" priority="18">
      <formula>F88&lt;0</formula>
    </cfRule>
  </conditionalFormatting>
  <conditionalFormatting sqref="H88:H109">
    <cfRule type="expression" dxfId="1239" priority="15">
      <formula>H88&gt;0</formula>
    </cfRule>
    <cfRule type="expression" dxfId="1238" priority="16">
      <formula>H88&lt;0</formula>
    </cfRule>
  </conditionalFormatting>
  <conditionalFormatting sqref="J88:J101">
    <cfRule type="expression" dxfId="1237" priority="13">
      <formula>J88&gt;0</formula>
    </cfRule>
    <cfRule type="expression" dxfId="1236" priority="14">
      <formula>J88&lt;0</formula>
    </cfRule>
  </conditionalFormatting>
  <conditionalFormatting sqref="K88:K101">
    <cfRule type="expression" dxfId="1235" priority="11">
      <formula>K88&gt;0</formula>
    </cfRule>
    <cfRule type="expression" dxfId="1234" priority="12">
      <formula>K88&lt;0</formula>
    </cfRule>
  </conditionalFormatting>
  <conditionalFormatting sqref="L88:L101">
    <cfRule type="expression" dxfId="1233" priority="9">
      <formula>L88&gt;0</formula>
    </cfRule>
    <cfRule type="expression" dxfId="1232" priority="10">
      <formula>L88&lt;0</formula>
    </cfRule>
  </conditionalFormatting>
  <conditionalFormatting sqref="F25:F29">
    <cfRule type="expression" dxfId="1231" priority="7">
      <formula>F25&gt;0</formula>
    </cfRule>
    <cfRule type="expression" dxfId="1230" priority="8">
      <formula>F25&lt;0</formula>
    </cfRule>
  </conditionalFormatting>
  <conditionalFormatting sqref="H25:H29">
    <cfRule type="expression" dxfId="1229" priority="5">
      <formula>H25&gt;0</formula>
    </cfRule>
    <cfRule type="expression" dxfId="1228" priority="6">
      <formula>H25&lt;0</formula>
    </cfRule>
  </conditionalFormatting>
  <conditionalFormatting sqref="F35:F38">
    <cfRule type="expression" dxfId="1227" priority="3">
      <formula>F35&gt;0</formula>
    </cfRule>
    <cfRule type="expression" dxfId="1226" priority="4">
      <formula>F35&lt;0</formula>
    </cfRule>
  </conditionalFormatting>
  <conditionalFormatting sqref="H35:H38">
    <cfRule type="expression" dxfId="1225" priority="1">
      <formula>H35&gt;0</formula>
    </cfRule>
    <cfRule type="expression" dxfId="1224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900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34.65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34.65</v>
      </c>
      <c r="R4" s="495">
        <v>-6.6E-3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7.6190476190476197E-2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9" t="s">
        <v>78</v>
      </c>
      <c r="P16" s="859"/>
    </row>
    <row r="17" spans="1:16" ht="15.75" thickTop="1" x14ac:dyDescent="0.25">
      <c r="O17" s="81">
        <v>1.1000000000000001</v>
      </c>
      <c r="P17" s="81">
        <f>O17*$Q$4</f>
        <v>38.115000000000002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37.768500000000003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37.422000000000004</v>
      </c>
    </row>
    <row r="20" spans="1:16" x14ac:dyDescent="0.25">
      <c r="O20" s="81">
        <v>1.07</v>
      </c>
      <c r="P20" s="81">
        <f t="shared" si="0"/>
        <v>37.075499999999998</v>
      </c>
    </row>
    <row r="21" spans="1:16" x14ac:dyDescent="0.25">
      <c r="O21" s="81">
        <v>1.06</v>
      </c>
      <c r="P21" s="81">
        <f t="shared" si="0"/>
        <v>36.728999999999999</v>
      </c>
    </row>
    <row r="22" spans="1:16" x14ac:dyDescent="0.25">
      <c r="O22" s="81">
        <v>1.05</v>
      </c>
      <c r="P22" s="81">
        <f t="shared" si="0"/>
        <v>36.3825</v>
      </c>
    </row>
    <row r="23" spans="1:16" x14ac:dyDescent="0.25">
      <c r="O23" s="81">
        <v>1.04</v>
      </c>
      <c r="P23" s="81">
        <f t="shared" si="0"/>
        <v>36.036000000000001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1.03</v>
      </c>
      <c r="P24" s="81">
        <f t="shared" si="0"/>
        <v>35.689500000000002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35.342999999999996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34.996499999999997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34.65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34.3035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33.957000000000001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33.610499999999995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33.263999999999996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32.917499999999997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32.570999999999998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32.224499999999999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31.878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31.531500000000001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31.184999999999999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23" priority="35">
      <formula>F47&gt;0</formula>
    </cfRule>
    <cfRule type="expression" dxfId="1222" priority="36">
      <formula>F47&lt;0</formula>
    </cfRule>
  </conditionalFormatting>
  <conditionalFormatting sqref="Q7">
    <cfRule type="expression" dxfId="1221" priority="33">
      <formula>Q7&gt;0</formula>
    </cfRule>
    <cfRule type="expression" dxfId="1220" priority="34">
      <formula>Q7&lt;0</formula>
    </cfRule>
  </conditionalFormatting>
  <conditionalFormatting sqref="Q8">
    <cfRule type="expression" dxfId="1219" priority="31">
      <formula>Q8&gt;0</formula>
    </cfRule>
    <cfRule type="expression" dxfId="1218" priority="32">
      <formula>Q8&lt;0</formula>
    </cfRule>
  </conditionalFormatting>
  <conditionalFormatting sqref="F32:F46">
    <cfRule type="expression" dxfId="1217" priority="29">
      <formula>F32&gt;0</formula>
    </cfRule>
    <cfRule type="expression" dxfId="1216" priority="30">
      <formula>F32&lt;0</formula>
    </cfRule>
  </conditionalFormatting>
  <conditionalFormatting sqref="H32:H46">
    <cfRule type="expression" dxfId="1215" priority="27">
      <formula>H32&gt;0</formula>
    </cfRule>
    <cfRule type="expression" dxfId="1214" priority="28">
      <formula>H32&lt;0</formula>
    </cfRule>
  </conditionalFormatting>
  <conditionalFormatting sqref="Q10">
    <cfRule type="expression" dxfId="1213" priority="25">
      <formula>Q10&gt;0</formula>
    </cfRule>
    <cfRule type="expression" dxfId="1212" priority="26">
      <formula>Q10&lt;0</formula>
    </cfRule>
  </conditionalFormatting>
  <conditionalFormatting sqref="J25:J38">
    <cfRule type="expression" dxfId="1211" priority="23">
      <formula>J25&gt;0</formula>
    </cfRule>
    <cfRule type="expression" dxfId="1210" priority="24">
      <formula>J25&lt;0</formula>
    </cfRule>
  </conditionalFormatting>
  <conditionalFormatting sqref="K25:K38">
    <cfRule type="expression" dxfId="1209" priority="21">
      <formula>K25&gt;0</formula>
    </cfRule>
    <cfRule type="expression" dxfId="1208" priority="22">
      <formula>K25&lt;0</formula>
    </cfRule>
  </conditionalFormatting>
  <conditionalFormatting sqref="L25:L38">
    <cfRule type="expression" dxfId="1207" priority="19">
      <formula>L25&gt;0</formula>
    </cfRule>
    <cfRule type="expression" dxfId="1206" priority="20">
      <formula>L25&lt;0</formula>
    </cfRule>
  </conditionalFormatting>
  <conditionalFormatting sqref="F89:F110">
    <cfRule type="expression" dxfId="1205" priority="17">
      <formula>F89&gt;0</formula>
    </cfRule>
    <cfRule type="expression" dxfId="1204" priority="18">
      <formula>F89&lt;0</formula>
    </cfRule>
  </conditionalFormatting>
  <conditionalFormatting sqref="H89:H110">
    <cfRule type="expression" dxfId="1203" priority="15">
      <formula>H89&gt;0</formula>
    </cfRule>
    <cfRule type="expression" dxfId="1202" priority="16">
      <formula>H89&lt;0</formula>
    </cfRule>
  </conditionalFormatting>
  <conditionalFormatting sqref="J89:J102">
    <cfRule type="expression" dxfId="1201" priority="13">
      <formula>J89&gt;0</formula>
    </cfRule>
    <cfRule type="expression" dxfId="1200" priority="14">
      <formula>J89&lt;0</formula>
    </cfRule>
  </conditionalFormatting>
  <conditionalFormatting sqref="K89:K102">
    <cfRule type="expression" dxfId="1199" priority="11">
      <formula>K89&gt;0</formula>
    </cfRule>
    <cfRule type="expression" dxfId="1198" priority="12">
      <formula>K89&lt;0</formula>
    </cfRule>
  </conditionalFormatting>
  <conditionalFormatting sqref="L89:L102">
    <cfRule type="expression" dxfId="1197" priority="9">
      <formula>L89&gt;0</formula>
    </cfRule>
    <cfRule type="expression" dxfId="1196" priority="10">
      <formula>L89&lt;0</formula>
    </cfRule>
  </conditionalFormatting>
  <conditionalFormatting sqref="F25:F28">
    <cfRule type="expression" dxfId="1195" priority="7">
      <formula>F25&gt;0</formula>
    </cfRule>
    <cfRule type="expression" dxfId="1194" priority="8">
      <formula>F25&lt;0</formula>
    </cfRule>
  </conditionalFormatting>
  <conditionalFormatting sqref="H25:H28">
    <cfRule type="expression" dxfId="1193" priority="5">
      <formula>H25&gt;0</formula>
    </cfRule>
    <cfRule type="expression" dxfId="1192" priority="6">
      <formula>H25&lt;0</formula>
    </cfRule>
  </conditionalFormatting>
  <conditionalFormatting sqref="F29:F31">
    <cfRule type="expression" dxfId="1191" priority="3">
      <formula>F29&gt;0</formula>
    </cfRule>
    <cfRule type="expression" dxfId="1190" priority="4">
      <formula>F29&lt;0</formula>
    </cfRule>
  </conditionalFormatting>
  <conditionalFormatting sqref="H29:H31">
    <cfRule type="expression" dxfId="1189" priority="1">
      <formula>H29&gt;0</formula>
    </cfRule>
    <cfRule type="expression" dxfId="1188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8" activePane="bottomLeft" state="frozen"/>
      <selection activeCell="A2" sqref="A2"/>
      <selection pane="bottomLeft" activeCell="J25" sqref="J25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11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>
        <v>43222</v>
      </c>
      <c r="M2" s="43">
        <v>6.5</v>
      </c>
      <c r="O2" s="11" t="s">
        <v>57</v>
      </c>
      <c r="Q2">
        <f>C18-H18</f>
        <v>70</v>
      </c>
      <c r="T2" s="1" t="s">
        <v>942</v>
      </c>
      <c r="U2" t="s">
        <v>1053</v>
      </c>
    </row>
    <row r="3" spans="1:21" x14ac:dyDescent="0.25">
      <c r="A3" s="22" t="s">
        <v>71</v>
      </c>
      <c r="B3" s="434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>H3*I3-J3</f>
        <v>6499.92</v>
      </c>
      <c r="L3" s="72">
        <v>43313</v>
      </c>
      <c r="M3" s="43">
        <v>9.1</v>
      </c>
      <c r="O3" s="11" t="s">
        <v>58</v>
      </c>
      <c r="Q3" s="221">
        <f>IF(Q2=0, Q4, (F18-K18-M18)/Q2)</f>
        <v>124.49828571428566</v>
      </c>
      <c r="T3" s="1"/>
    </row>
    <row r="4" spans="1:21" x14ac:dyDescent="0.25">
      <c r="B4" s="434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>H4*I4-J4</f>
        <v>2718.96</v>
      </c>
      <c r="L4" s="4"/>
      <c r="M4" s="4"/>
      <c r="O4" s="11" t="s">
        <v>66</v>
      </c>
      <c r="Q4" s="54">
        <v>135.7099</v>
      </c>
      <c r="R4" s="495">
        <v>4.0000000000000001E-3</v>
      </c>
      <c r="T4" s="770">
        <v>43193</v>
      </c>
      <c r="U4" s="30" t="s">
        <v>949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>H5*I5-J5</f>
        <v>3920.35</v>
      </c>
      <c r="L5" s="4"/>
      <c r="M5" s="4"/>
      <c r="O5" s="11" t="s">
        <v>67</v>
      </c>
      <c r="Q5" s="3">
        <f>Q4*Q2</f>
        <v>9499.6930000000011</v>
      </c>
      <c r="U5" s="475" t="s">
        <v>980</v>
      </c>
    </row>
    <row r="6" spans="1:21" x14ac:dyDescent="0.25">
      <c r="B6" s="43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34">
        <v>43311</v>
      </c>
      <c r="H6" s="80">
        <v>20</v>
      </c>
      <c r="I6" s="43">
        <v>138</v>
      </c>
      <c r="J6" s="43">
        <v>0.04</v>
      </c>
      <c r="K6" s="43">
        <f>H6*I6-J6</f>
        <v>2759.96</v>
      </c>
      <c r="L6" s="4"/>
      <c r="M6" s="4"/>
      <c r="O6" s="11" t="s">
        <v>64</v>
      </c>
      <c r="Q6" s="2">
        <f>Q3*Q2</f>
        <v>8714.8799999999956</v>
      </c>
    </row>
    <row r="7" spans="1:21" x14ac:dyDescent="0.25">
      <c r="B7" s="72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784.81300000000374</v>
      </c>
      <c r="R7">
        <v>50</v>
      </c>
      <c r="T7" s="1">
        <v>43221</v>
      </c>
      <c r="U7" s="821" t="s">
        <v>1018</v>
      </c>
    </row>
    <row r="8" spans="1:21" x14ac:dyDescent="0.25">
      <c r="B8" s="72">
        <v>43286</v>
      </c>
      <c r="C8" s="4">
        <v>20</v>
      </c>
      <c r="D8" s="3">
        <v>127.58</v>
      </c>
      <c r="E8" s="3">
        <v>0</v>
      </c>
      <c r="F8" s="3">
        <f t="shared" si="0"/>
        <v>2551.6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784.81300000000374</v>
      </c>
      <c r="U8" t="s">
        <v>1019</v>
      </c>
    </row>
    <row r="9" spans="1:21" x14ac:dyDescent="0.25">
      <c r="B9" s="72">
        <v>43286</v>
      </c>
      <c r="C9" s="4">
        <v>10</v>
      </c>
      <c r="D9" s="3">
        <v>126.28</v>
      </c>
      <c r="E9" s="3">
        <v>0</v>
      </c>
      <c r="F9" s="3">
        <f t="shared" si="0"/>
        <v>1262.8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9.0054366784167325E-2</v>
      </c>
      <c r="T9" s="156"/>
    </row>
    <row r="10" spans="1:21" x14ac:dyDescent="0.25">
      <c r="B10" s="474">
        <v>43313</v>
      </c>
      <c r="C10" s="4">
        <v>20</v>
      </c>
      <c r="D10" s="3">
        <v>135.84</v>
      </c>
      <c r="E10" s="3">
        <v>0</v>
      </c>
      <c r="F10" s="3">
        <f t="shared" si="0"/>
        <v>2716.8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3.8317027718685224E-3</v>
      </c>
      <c r="R11">
        <v>0.13</v>
      </c>
      <c r="T11" s="1">
        <v>43228</v>
      </c>
      <c r="U11" t="s">
        <v>1052</v>
      </c>
    </row>
    <row r="12" spans="1:21" x14ac:dyDescent="0.25">
      <c r="H12" s="70"/>
      <c r="O12" s="11" t="s">
        <v>925</v>
      </c>
      <c r="Q12" s="1" t="s">
        <v>1185</v>
      </c>
    </row>
    <row r="13" spans="1:21" x14ac:dyDescent="0.25">
      <c r="H13" s="70"/>
      <c r="O13" s="11" t="s">
        <v>952</v>
      </c>
      <c r="Q13">
        <f>Q4/8.62</f>
        <v>15.743607888631093</v>
      </c>
      <c r="T13" s="1">
        <v>43260</v>
      </c>
      <c r="U13" t="s">
        <v>1103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1105</v>
      </c>
    </row>
    <row r="16" spans="1:21" x14ac:dyDescent="0.25">
      <c r="H16" s="70"/>
    </row>
    <row r="17" spans="1:21" x14ac:dyDescent="0.25">
      <c r="T17" s="1">
        <v>43264</v>
      </c>
      <c r="U17" t="s">
        <v>1108</v>
      </c>
    </row>
    <row r="18" spans="1:21" ht="20.25" thickBot="1" x14ac:dyDescent="0.35">
      <c r="A18" s="31" t="s">
        <v>81</v>
      </c>
      <c r="B18" s="14"/>
      <c r="C18" s="14">
        <f>SUM(C2:C11)</f>
        <v>210</v>
      </c>
      <c r="D18" s="18"/>
      <c r="E18" s="18"/>
      <c r="F18" s="18">
        <f>SUM(F2:F11)</f>
        <v>27660.799999999996</v>
      </c>
      <c r="G18" s="14"/>
      <c r="H18" s="71">
        <f>SUM(H2:H7)</f>
        <v>140</v>
      </c>
      <c r="I18" s="18"/>
      <c r="J18" s="18"/>
      <c r="K18" s="18">
        <f>SUM(K2:K7)</f>
        <v>18930.32</v>
      </c>
      <c r="L18" s="14"/>
      <c r="M18" s="18">
        <f>SUM(M2:M10)</f>
        <v>15.6</v>
      </c>
      <c r="O18" s="777" t="s">
        <v>78</v>
      </c>
      <c r="P18" s="777"/>
      <c r="U18" t="s">
        <v>1109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110</v>
      </c>
      <c r="D19" s="343"/>
      <c r="E19" s="343"/>
      <c r="F19" s="344">
        <f>SumByColor($A$19,F2:F17)</f>
        <v>14068</v>
      </c>
      <c r="G19" s="343"/>
      <c r="H19" s="343">
        <f>SumByColor($A$19,H2:H17)</f>
        <v>140</v>
      </c>
      <c r="I19" s="343"/>
      <c r="J19" s="343"/>
      <c r="K19" s="344">
        <f>SumByColor($A$19,K2:K17)</f>
        <v>18930</v>
      </c>
      <c r="L19" s="343"/>
      <c r="M19" s="344">
        <f>SumByColor($A$19,M2:M17)</f>
        <v>15</v>
      </c>
      <c r="O19" s="81">
        <v>1.1000000000000001</v>
      </c>
      <c r="P19" s="81">
        <f>O19*$Q$4</f>
        <v>149.28089000000003</v>
      </c>
    </row>
    <row r="20" spans="1:21" x14ac:dyDescent="0.25">
      <c r="O20" s="81">
        <v>1.0900000000000001</v>
      </c>
      <c r="P20" s="81">
        <f t="shared" ref="P20:P39" si="1">O20*$Q$4</f>
        <v>147.92379100000002</v>
      </c>
      <c r="T20" s="1">
        <v>43279</v>
      </c>
      <c r="U20" t="s">
        <v>1126</v>
      </c>
    </row>
    <row r="21" spans="1:21" x14ac:dyDescent="0.25">
      <c r="O21" s="81">
        <v>1.08</v>
      </c>
      <c r="P21" s="81">
        <f t="shared" si="1"/>
        <v>146.56669200000002</v>
      </c>
    </row>
    <row r="22" spans="1:21" x14ac:dyDescent="0.25">
      <c r="O22" s="81">
        <v>1.07</v>
      </c>
      <c r="P22" s="81">
        <f t="shared" si="1"/>
        <v>145.20959300000001</v>
      </c>
    </row>
    <row r="23" spans="1:21" x14ac:dyDescent="0.25">
      <c r="O23" s="81">
        <v>1.06</v>
      </c>
      <c r="P23" s="81">
        <f t="shared" si="1"/>
        <v>143.85249400000001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1"/>
        <v>142.495395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:F31" si="2">C25*(E25-D25)</f>
        <v>-1.0000000000002274</v>
      </c>
      <c r="G25" s="39">
        <f t="shared" ref="G25:G31" si="3">D25*C25</f>
        <v>3000</v>
      </c>
      <c r="H25" s="222">
        <f t="shared" ref="H25:H31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141.138296</v>
      </c>
      <c r="T25" s="156">
        <v>43305</v>
      </c>
      <c r="U25" t="s">
        <v>1159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si="2"/>
        <v>-53.599999999999</v>
      </c>
      <c r="G26" s="39">
        <f t="shared" si="3"/>
        <v>5925.5999999999995</v>
      </c>
      <c r="H26" s="222">
        <f t="shared" si="4"/>
        <v>-9.045497502362462E-3</v>
      </c>
      <c r="I26" s="39"/>
      <c r="J26" s="39"/>
      <c r="K26" s="39"/>
      <c r="L26" s="39"/>
      <c r="O26" s="81">
        <v>1.03</v>
      </c>
      <c r="P26" s="81">
        <f t="shared" si="1"/>
        <v>139.78119700000002</v>
      </c>
      <c r="T26" s="67"/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si="2"/>
        <v>136.73000000000002</v>
      </c>
      <c r="G27" s="39">
        <f t="shared" si="3"/>
        <v>2894.4700000000003</v>
      </c>
      <c r="H27" s="222">
        <f t="shared" si="4"/>
        <v>4.7238354517407335E-2</v>
      </c>
      <c r="I27" s="39"/>
      <c r="J27" s="39"/>
      <c r="K27" s="39"/>
      <c r="L27" s="39"/>
      <c r="O27" s="81">
        <v>1.02</v>
      </c>
      <c r="P27" s="81">
        <f t="shared" si="1"/>
        <v>138.42409800000001</v>
      </c>
      <c r="T27" s="156">
        <v>43313</v>
      </c>
      <c r="U27" t="s">
        <v>1158</v>
      </c>
    </row>
    <row r="28" spans="1:21" x14ac:dyDescent="0.25">
      <c r="B28" s="184">
        <v>43181</v>
      </c>
      <c r="C28" s="228">
        <v>50</v>
      </c>
      <c r="D28" s="229">
        <v>140.6174</v>
      </c>
      <c r="E28" s="39">
        <v>134.66</v>
      </c>
      <c r="F28" s="39">
        <f t="shared" si="2"/>
        <v>-297.87000000000035</v>
      </c>
      <c r="G28" s="39">
        <f t="shared" si="3"/>
        <v>7030.87</v>
      </c>
      <c r="H28" s="222">
        <f t="shared" si="4"/>
        <v>-4.2366022981508739E-2</v>
      </c>
      <c r="I28" s="39"/>
      <c r="J28" s="39"/>
      <c r="K28" s="39"/>
      <c r="L28" s="39"/>
      <c r="O28" s="81">
        <v>1.01</v>
      </c>
      <c r="P28" s="81">
        <f t="shared" si="1"/>
        <v>137.06699900000001</v>
      </c>
      <c r="T28" s="156">
        <v>43314</v>
      </c>
      <c r="U28" t="s">
        <v>1161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si="2"/>
        <v>-410.86999999999989</v>
      </c>
      <c r="G29" s="39">
        <f t="shared" si="3"/>
        <v>7030.87</v>
      </c>
      <c r="H29" s="222">
        <f t="shared" si="4"/>
        <v>-5.8438002693834458E-2</v>
      </c>
      <c r="I29" s="39"/>
      <c r="J29" s="39"/>
      <c r="K29" s="39"/>
      <c r="L29" s="39"/>
      <c r="O29" s="81">
        <v>1</v>
      </c>
      <c r="P29" s="81">
        <f t="shared" si="1"/>
        <v>135.7099</v>
      </c>
      <c r="T29" s="156">
        <v>43326</v>
      </c>
      <c r="U29" t="s">
        <v>1160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si="2"/>
        <v>-147.3700000000008</v>
      </c>
      <c r="G30" s="39">
        <f t="shared" si="3"/>
        <v>7030.87</v>
      </c>
      <c r="H30" s="222">
        <f t="shared" si="4"/>
        <v>-2.0960421683234195E-2</v>
      </c>
      <c r="I30" s="39"/>
      <c r="J30" s="39"/>
      <c r="K30" s="39"/>
      <c r="L30" s="39"/>
      <c r="O30" s="81">
        <v>0.99</v>
      </c>
      <c r="P30" s="81">
        <f t="shared" si="1"/>
        <v>134.352801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si="2"/>
        <v>-556.87000000000069</v>
      </c>
      <c r="G31" s="39">
        <f t="shared" si="3"/>
        <v>7030.87</v>
      </c>
      <c r="H31" s="222">
        <f t="shared" si="4"/>
        <v>-7.9203569401795321E-2</v>
      </c>
      <c r="I31" s="39"/>
      <c r="J31" s="39"/>
      <c r="K31" s="39"/>
      <c r="L31" s="39"/>
      <c r="O31" s="81">
        <v>0.98</v>
      </c>
      <c r="P31" s="81">
        <f t="shared" si="1"/>
        <v>132.99570199999999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8" si="5">C32*(E32-D32)</f>
        <v>-439.36999999999955</v>
      </c>
      <c r="G32" s="39">
        <f t="shared" ref="G32:G38" si="6">D32*C32</f>
        <v>7030.87</v>
      </c>
      <c r="H32" s="222">
        <f t="shared" ref="H32:H38" si="7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1"/>
        <v>131.63860299999999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5"/>
        <v>-796.99999999999989</v>
      </c>
      <c r="G33" s="39">
        <f t="shared" si="6"/>
        <v>7031</v>
      </c>
      <c r="H33" s="222">
        <f t="shared" si="7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1"/>
        <v>130.28150400000001</v>
      </c>
    </row>
    <row r="34" spans="1:17" x14ac:dyDescent="0.25">
      <c r="A34">
        <v>50</v>
      </c>
      <c r="B34" s="184">
        <v>43217</v>
      </c>
      <c r="C34" s="7">
        <v>100</v>
      </c>
      <c r="D34" s="43">
        <v>131.64869999999999</v>
      </c>
      <c r="E34" s="39">
        <v>122.66</v>
      </c>
      <c r="F34" s="39">
        <f t="shared" si="5"/>
        <v>-898.86999999999944</v>
      </c>
      <c r="G34" s="39">
        <f t="shared" si="6"/>
        <v>13164.869999999999</v>
      </c>
      <c r="H34" s="222">
        <f t="shared" si="7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1"/>
        <v>128.92440500000001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5"/>
        <v>-1856.3699999999997</v>
      </c>
      <c r="G35" s="39">
        <f t="shared" si="6"/>
        <v>13158.369999999999</v>
      </c>
      <c r="H35" s="222">
        <f t="shared" si="7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1"/>
        <v>127.567306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5"/>
        <v>-974.00000000000091</v>
      </c>
      <c r="G36" s="39">
        <f t="shared" si="6"/>
        <v>13158.000000000002</v>
      </c>
      <c r="H36" s="222">
        <f t="shared" si="7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1"/>
        <v>126.21020700000001</v>
      </c>
    </row>
    <row r="37" spans="1:17" x14ac:dyDescent="0.25">
      <c r="A37">
        <v>100</v>
      </c>
      <c r="B37" s="184">
        <v>43278</v>
      </c>
      <c r="C37" s="10">
        <v>100</v>
      </c>
      <c r="D37" s="39">
        <v>131.58000000000001</v>
      </c>
      <c r="E37" s="39">
        <v>119.85</v>
      </c>
      <c r="F37" s="39">
        <f t="shared" si="5"/>
        <v>-1173.0000000000018</v>
      </c>
      <c r="G37" s="39">
        <f t="shared" si="6"/>
        <v>13158.000000000002</v>
      </c>
      <c r="H37" s="222">
        <f t="shared" si="7"/>
        <v>-8.9147286821705557E-2</v>
      </c>
      <c r="I37" s="39"/>
      <c r="J37" s="39"/>
      <c r="K37" s="39"/>
      <c r="L37" s="39">
        <v>13.9</v>
      </c>
      <c r="O37" s="81">
        <v>0.92</v>
      </c>
      <c r="P37" s="81">
        <f t="shared" si="1"/>
        <v>124.85310800000001</v>
      </c>
    </row>
    <row r="38" spans="1:17" x14ac:dyDescent="0.25">
      <c r="A38">
        <v>100</v>
      </c>
      <c r="B38" s="184">
        <v>43279</v>
      </c>
      <c r="C38" s="10">
        <v>120</v>
      </c>
      <c r="D38" s="39">
        <v>128.6498</v>
      </c>
      <c r="E38" s="39">
        <v>115.39</v>
      </c>
      <c r="F38" s="39">
        <f t="shared" si="5"/>
        <v>-1591.1759999999999</v>
      </c>
      <c r="G38" s="39">
        <f t="shared" si="6"/>
        <v>15437.976000000001</v>
      </c>
      <c r="H38" s="222">
        <f t="shared" si="7"/>
        <v>-0.10306895152576995</v>
      </c>
      <c r="I38" s="39"/>
      <c r="J38" s="39"/>
      <c r="K38" s="39"/>
      <c r="L38" s="39">
        <v>13.39</v>
      </c>
      <c r="O38" s="81">
        <v>0.91</v>
      </c>
      <c r="P38" s="81">
        <f t="shared" si="1"/>
        <v>123.49600900000002</v>
      </c>
    </row>
    <row r="39" spans="1:17" x14ac:dyDescent="0.25">
      <c r="A39">
        <v>100</v>
      </c>
      <c r="B39" s="184">
        <v>43283</v>
      </c>
      <c r="C39" s="10">
        <v>120</v>
      </c>
      <c r="D39" s="39">
        <v>128.6498</v>
      </c>
      <c r="E39" s="39">
        <v>117.12</v>
      </c>
      <c r="F39" s="39">
        <f t="shared" ref="F39:F47" si="8">C39*(E39-D39)</f>
        <v>-1383.5759999999993</v>
      </c>
      <c r="G39" s="39">
        <f t="shared" ref="G39:G47" si="9">D39*C39</f>
        <v>15437.976000000001</v>
      </c>
      <c r="H39" s="222">
        <f t="shared" ref="H39:H47" si="10">(E39-D39)/D39</f>
        <v>-8.9621592882382986E-2</v>
      </c>
      <c r="I39" s="39"/>
      <c r="J39" s="39"/>
      <c r="K39" s="39"/>
      <c r="L39" s="39"/>
      <c r="O39" s="81">
        <v>0.9</v>
      </c>
      <c r="P39" s="81">
        <f t="shared" si="1"/>
        <v>122.13891000000001</v>
      </c>
    </row>
    <row r="40" spans="1:17" x14ac:dyDescent="0.25">
      <c r="A40">
        <v>30</v>
      </c>
      <c r="B40" s="184">
        <v>43284</v>
      </c>
      <c r="C40" s="10">
        <v>50</v>
      </c>
      <c r="D40" s="39">
        <v>124.38</v>
      </c>
      <c r="E40" s="39">
        <v>135</v>
      </c>
      <c r="F40" s="39">
        <f t="shared" si="8"/>
        <v>531.00000000000023</v>
      </c>
      <c r="G40" s="39">
        <f t="shared" si="9"/>
        <v>6219</v>
      </c>
      <c r="H40" s="222">
        <f t="shared" si="10"/>
        <v>8.5383502170767039E-2</v>
      </c>
      <c r="I40" s="39"/>
      <c r="J40" s="39"/>
      <c r="K40" s="39"/>
      <c r="L40" s="39">
        <v>15.66</v>
      </c>
    </row>
    <row r="41" spans="1:17" x14ac:dyDescent="0.25">
      <c r="A41">
        <v>30</v>
      </c>
      <c r="B41" s="184">
        <v>43284</v>
      </c>
      <c r="C41" s="10">
        <v>70</v>
      </c>
      <c r="D41" s="39">
        <v>126.758</v>
      </c>
      <c r="E41" s="39">
        <v>132.19999999999999</v>
      </c>
      <c r="F41" s="39">
        <f t="shared" si="8"/>
        <v>380.93999999999949</v>
      </c>
      <c r="G41" s="39">
        <f t="shared" si="9"/>
        <v>8873.06</v>
      </c>
      <c r="H41" s="222">
        <f t="shared" si="10"/>
        <v>4.2932201517852861E-2</v>
      </c>
      <c r="I41" s="39"/>
      <c r="J41" s="39"/>
      <c r="K41" s="39"/>
      <c r="L41" s="39"/>
      <c r="Q41" s="2"/>
    </row>
    <row r="42" spans="1:17" x14ac:dyDescent="0.25">
      <c r="A42">
        <v>30</v>
      </c>
      <c r="B42" s="184">
        <v>43286</v>
      </c>
      <c r="C42" s="10">
        <v>90</v>
      </c>
      <c r="D42" s="39">
        <v>126.94</v>
      </c>
      <c r="E42" s="39">
        <v>127.58</v>
      </c>
      <c r="F42" s="39">
        <f t="shared" si="8"/>
        <v>57.600000000000051</v>
      </c>
      <c r="G42" s="39">
        <f t="shared" si="9"/>
        <v>11424.6</v>
      </c>
      <c r="H42" s="222">
        <f t="shared" si="10"/>
        <v>5.0417520088230708E-3</v>
      </c>
      <c r="I42" s="39"/>
      <c r="J42" s="39"/>
      <c r="K42" s="39"/>
      <c r="L42" s="39">
        <v>14.8</v>
      </c>
      <c r="Q42" s="2"/>
    </row>
    <row r="43" spans="1:17" x14ac:dyDescent="0.25">
      <c r="A43">
        <v>30</v>
      </c>
      <c r="B43" s="184">
        <v>43286</v>
      </c>
      <c r="C43" s="7">
        <v>100</v>
      </c>
      <c r="D43" s="43">
        <v>126.875</v>
      </c>
      <c r="E43" s="39">
        <v>126.28</v>
      </c>
      <c r="F43" s="39">
        <f t="shared" si="8"/>
        <v>-59.499999999999886</v>
      </c>
      <c r="G43" s="39">
        <f t="shared" si="9"/>
        <v>12687.5</v>
      </c>
      <c r="H43" s="222">
        <f t="shared" si="10"/>
        <v>-4.6896551724137838E-3</v>
      </c>
      <c r="I43" s="39"/>
      <c r="J43" s="39"/>
      <c r="K43" s="39"/>
      <c r="L43" s="39">
        <v>14.65</v>
      </c>
      <c r="Q43" s="2"/>
    </row>
    <row r="44" spans="1:17" x14ac:dyDescent="0.25">
      <c r="A44">
        <v>0</v>
      </c>
      <c r="B44" s="184">
        <v>43291</v>
      </c>
      <c r="C44" s="10">
        <v>70</v>
      </c>
      <c r="D44" s="39">
        <v>125.2449</v>
      </c>
      <c r="E44" s="39">
        <v>130.68</v>
      </c>
      <c r="F44" s="39">
        <f t="shared" si="8"/>
        <v>380.45700000000039</v>
      </c>
      <c r="G44" s="39">
        <f t="shared" si="9"/>
        <v>8767.143</v>
      </c>
      <c r="H44" s="222">
        <f t="shared" si="10"/>
        <v>4.3395778989803221E-2</v>
      </c>
      <c r="I44" s="39"/>
      <c r="J44" s="39"/>
      <c r="K44" s="39"/>
      <c r="L44" s="39">
        <v>15.16</v>
      </c>
      <c r="Q44" s="2"/>
    </row>
    <row r="45" spans="1:17" x14ac:dyDescent="0.25">
      <c r="A45">
        <v>0</v>
      </c>
      <c r="B45" s="184">
        <v>43311</v>
      </c>
      <c r="C45" s="228">
        <v>50</v>
      </c>
      <c r="D45" s="229">
        <v>120.14360000000001</v>
      </c>
      <c r="E45" s="39">
        <v>136.09</v>
      </c>
      <c r="F45" s="39">
        <f t="shared" si="8"/>
        <v>797.31999999999982</v>
      </c>
      <c r="G45" s="39">
        <f t="shared" si="9"/>
        <v>6007.18</v>
      </c>
      <c r="H45" s="222">
        <f t="shared" si="10"/>
        <v>0.13272783568995766</v>
      </c>
      <c r="I45" s="39"/>
      <c r="J45" s="39"/>
      <c r="K45" s="39"/>
      <c r="L45" s="39">
        <v>15.79</v>
      </c>
      <c r="Q45" s="2"/>
    </row>
    <row r="46" spans="1:17" x14ac:dyDescent="0.25">
      <c r="B46" s="184">
        <v>43312</v>
      </c>
      <c r="C46" s="10">
        <v>50</v>
      </c>
      <c r="D46" s="39">
        <v>120.14</v>
      </c>
      <c r="E46" s="39">
        <v>139.03</v>
      </c>
      <c r="F46" s="39">
        <f t="shared" si="8"/>
        <v>944.5</v>
      </c>
      <c r="G46" s="39">
        <f t="shared" si="9"/>
        <v>6007</v>
      </c>
      <c r="H46" s="222">
        <f t="shared" si="10"/>
        <v>0.15723322790078242</v>
      </c>
      <c r="I46" s="39"/>
      <c r="J46" s="39"/>
      <c r="K46" s="39"/>
      <c r="L46" s="39">
        <v>16.13</v>
      </c>
      <c r="Q46" s="2"/>
    </row>
    <row r="47" spans="1:17" x14ac:dyDescent="0.25">
      <c r="A47">
        <v>0</v>
      </c>
      <c r="B47" s="184">
        <v>43313</v>
      </c>
      <c r="C47" s="10">
        <v>70</v>
      </c>
      <c r="D47" s="39">
        <v>124.4983</v>
      </c>
      <c r="E47" s="39">
        <v>135.66999999999999</v>
      </c>
      <c r="F47" s="39">
        <f t="shared" si="8"/>
        <v>782.0189999999991</v>
      </c>
      <c r="G47" s="39">
        <f t="shared" si="9"/>
        <v>8714.8809999999994</v>
      </c>
      <c r="H47" s="222">
        <f t="shared" si="10"/>
        <v>8.9733755400676046E-2</v>
      </c>
      <c r="I47" s="39"/>
      <c r="J47" s="39"/>
      <c r="K47" s="39"/>
      <c r="L47" s="39">
        <v>15.74</v>
      </c>
      <c r="Q47" s="2"/>
    </row>
    <row r="48" spans="1:17" x14ac:dyDescent="0.25">
      <c r="A48">
        <v>50</v>
      </c>
      <c r="B48" s="184">
        <v>43316</v>
      </c>
      <c r="C48" s="10">
        <v>70</v>
      </c>
      <c r="D48" s="39">
        <v>124.4983</v>
      </c>
      <c r="E48" s="39">
        <v>136.47999999999999</v>
      </c>
      <c r="F48" s="39">
        <f t="shared" ref="F48" si="11">C48*(E48-D48)</f>
        <v>838.71899999999926</v>
      </c>
      <c r="G48" s="39">
        <f t="shared" ref="G48" si="12">D48*C48</f>
        <v>8714.8809999999994</v>
      </c>
      <c r="H48" s="222">
        <f t="shared" ref="H48" si="13">(E48-D48)/D48</f>
        <v>9.6239868335551482E-2</v>
      </c>
      <c r="I48" s="39"/>
      <c r="J48" s="39"/>
      <c r="K48" s="39"/>
      <c r="L48" s="39">
        <v>15.83</v>
      </c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187" priority="31">
      <formula>F54&gt;0</formula>
    </cfRule>
    <cfRule type="expression" dxfId="1186" priority="32">
      <formula>F54&lt;0</formula>
    </cfRule>
  </conditionalFormatting>
  <conditionalFormatting sqref="Q7">
    <cfRule type="expression" dxfId="1185" priority="29">
      <formula>Q7&gt;0</formula>
    </cfRule>
    <cfRule type="expression" dxfId="1184" priority="30">
      <formula>Q7&lt;0</formula>
    </cfRule>
  </conditionalFormatting>
  <conditionalFormatting sqref="Q8">
    <cfRule type="expression" dxfId="1183" priority="27">
      <formula>Q8&gt;0</formula>
    </cfRule>
    <cfRule type="expression" dxfId="1182" priority="28">
      <formula>Q8&lt;0</formula>
    </cfRule>
  </conditionalFormatting>
  <conditionalFormatting sqref="F34:F53">
    <cfRule type="expression" dxfId="1181" priority="25">
      <formula>F34&gt;0</formula>
    </cfRule>
    <cfRule type="expression" dxfId="1180" priority="26">
      <formula>F34&lt;0</formula>
    </cfRule>
  </conditionalFormatting>
  <conditionalFormatting sqref="H34:H53">
    <cfRule type="expression" dxfId="1179" priority="23">
      <formula>H34&gt;0</formula>
    </cfRule>
    <cfRule type="expression" dxfId="1178" priority="24">
      <formula>H34&lt;0</formula>
    </cfRule>
  </conditionalFormatting>
  <conditionalFormatting sqref="Q10">
    <cfRule type="expression" dxfId="1177" priority="21">
      <formula>Q10&gt;0</formula>
    </cfRule>
    <cfRule type="expression" dxfId="1176" priority="22">
      <formula>Q10&lt;0</formula>
    </cfRule>
  </conditionalFormatting>
  <conditionalFormatting sqref="J25:J38">
    <cfRule type="expression" dxfId="1175" priority="19">
      <formula>J25&gt;0</formula>
    </cfRule>
    <cfRule type="expression" dxfId="1174" priority="20">
      <formula>J25&lt;0</formula>
    </cfRule>
  </conditionalFormatting>
  <conditionalFormatting sqref="K25:K35 K37:K38">
    <cfRule type="expression" dxfId="1173" priority="17">
      <formula>K25&gt;0</formula>
    </cfRule>
    <cfRule type="expression" dxfId="1172" priority="18">
      <formula>K25&lt;0</formula>
    </cfRule>
  </conditionalFormatting>
  <conditionalFormatting sqref="L25">
    <cfRule type="expression" dxfId="1171" priority="15">
      <formula>L25&gt;0</formula>
    </cfRule>
    <cfRule type="expression" dxfId="1170" priority="16">
      <formula>L25&lt;0</formula>
    </cfRule>
  </conditionalFormatting>
  <conditionalFormatting sqref="F89:F110">
    <cfRule type="expression" dxfId="1169" priority="13">
      <formula>F89&gt;0</formula>
    </cfRule>
    <cfRule type="expression" dxfId="1168" priority="14">
      <formula>F89&lt;0</formula>
    </cfRule>
  </conditionalFormatting>
  <conditionalFormatting sqref="H89:H110">
    <cfRule type="expression" dxfId="1167" priority="11">
      <formula>H89&gt;0</formula>
    </cfRule>
    <cfRule type="expression" dxfId="1166" priority="12">
      <formula>H89&lt;0</formula>
    </cfRule>
  </conditionalFormatting>
  <conditionalFormatting sqref="J89:J102">
    <cfRule type="expression" dxfId="1165" priority="9">
      <formula>J89&gt;0</formula>
    </cfRule>
    <cfRule type="expression" dxfId="1164" priority="10">
      <formula>J89&lt;0</formula>
    </cfRule>
  </conditionalFormatting>
  <conditionalFormatting sqref="K89:K102">
    <cfRule type="expression" dxfId="1163" priority="7">
      <formula>K89&gt;0</formula>
    </cfRule>
    <cfRule type="expression" dxfId="1162" priority="8">
      <formula>K89&lt;0</formula>
    </cfRule>
  </conditionalFormatting>
  <conditionalFormatting sqref="L89:L102">
    <cfRule type="expression" dxfId="1161" priority="5">
      <formula>L89&gt;0</formula>
    </cfRule>
    <cfRule type="expression" dxfId="1160" priority="6">
      <formula>L89&lt;0</formula>
    </cfRule>
  </conditionalFormatting>
  <conditionalFormatting sqref="F25:F33">
    <cfRule type="expression" dxfId="1159" priority="3">
      <formula>F25&gt;0</formula>
    </cfRule>
    <cfRule type="expression" dxfId="1158" priority="4">
      <formula>F25&lt;0</formula>
    </cfRule>
  </conditionalFormatting>
  <conditionalFormatting sqref="H25:H33">
    <cfRule type="expression" dxfId="1157" priority="1">
      <formula>H25&gt;0</formula>
    </cfRule>
    <cfRule type="expression" dxfId="115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255.16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255.16</v>
      </c>
      <c r="R4" s="495">
        <v>-1.8E-3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16.34</v>
      </c>
      <c r="S13" s="22" t="s">
        <v>957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280.67600000000004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278.12440000000004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275.57280000000003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273.02120000000002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270.46960000000001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267.91800000000001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265.3664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262.81479999999999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260.26319999999998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257.71159999999998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255.16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252.60839999999999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250.05679999999998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247.5052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244.95359999999999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242.40199999999999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239.85039999999998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237.2988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234.74720000000002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232.19560000000001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229.64400000000001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55" priority="31">
      <formula>F47&gt;0</formula>
    </cfRule>
    <cfRule type="expression" dxfId="1154" priority="32">
      <formula>F47&lt;0</formula>
    </cfRule>
  </conditionalFormatting>
  <conditionalFormatting sqref="Q7">
    <cfRule type="expression" dxfId="1153" priority="29">
      <formula>Q7&gt;0</formula>
    </cfRule>
    <cfRule type="expression" dxfId="1152" priority="30">
      <formula>Q7&lt;0</formula>
    </cfRule>
  </conditionalFormatting>
  <conditionalFormatting sqref="Q8">
    <cfRule type="expression" dxfId="1151" priority="27">
      <formula>Q8&gt;0</formula>
    </cfRule>
    <cfRule type="expression" dxfId="1150" priority="28">
      <formula>Q8&lt;0</formula>
    </cfRule>
  </conditionalFormatting>
  <conditionalFormatting sqref="F32:F46">
    <cfRule type="expression" dxfId="1149" priority="25">
      <formula>F32&gt;0</formula>
    </cfRule>
    <cfRule type="expression" dxfId="1148" priority="26">
      <formula>F32&lt;0</formula>
    </cfRule>
  </conditionalFormatting>
  <conditionalFormatting sqref="H32:H46">
    <cfRule type="expression" dxfId="1147" priority="23">
      <formula>H32&gt;0</formula>
    </cfRule>
    <cfRule type="expression" dxfId="1146" priority="24">
      <formula>H32&lt;0</formula>
    </cfRule>
  </conditionalFormatting>
  <conditionalFormatting sqref="Q10">
    <cfRule type="expression" dxfId="1145" priority="21">
      <formula>Q10&gt;0</formula>
    </cfRule>
    <cfRule type="expression" dxfId="1144" priority="22">
      <formula>Q10&lt;0</formula>
    </cfRule>
  </conditionalFormatting>
  <conditionalFormatting sqref="J25:J38">
    <cfRule type="expression" dxfId="1143" priority="19">
      <formula>J25&gt;0</formula>
    </cfRule>
    <cfRule type="expression" dxfId="1142" priority="20">
      <formula>J25&lt;0</formula>
    </cfRule>
  </conditionalFormatting>
  <conditionalFormatting sqref="K25:K38">
    <cfRule type="expression" dxfId="1141" priority="17">
      <formula>K25&gt;0</formula>
    </cfRule>
    <cfRule type="expression" dxfId="1140" priority="18">
      <formula>K25&lt;0</formula>
    </cfRule>
  </conditionalFormatting>
  <conditionalFormatting sqref="L25:L38">
    <cfRule type="expression" dxfId="1139" priority="15">
      <formula>L25&gt;0</formula>
    </cfRule>
    <cfRule type="expression" dxfId="1138" priority="16">
      <formula>L25&lt;0</formula>
    </cfRule>
  </conditionalFormatting>
  <conditionalFormatting sqref="F89:F110">
    <cfRule type="expression" dxfId="1137" priority="13">
      <formula>F89&gt;0</formula>
    </cfRule>
    <cfRule type="expression" dxfId="1136" priority="14">
      <formula>F89&lt;0</formula>
    </cfRule>
  </conditionalFormatting>
  <conditionalFormatting sqref="H89:H110">
    <cfRule type="expression" dxfId="1135" priority="11">
      <formula>H89&gt;0</formula>
    </cfRule>
    <cfRule type="expression" dxfId="1134" priority="12">
      <formula>H89&lt;0</formula>
    </cfRule>
  </conditionalFormatting>
  <conditionalFormatting sqref="J89:J102">
    <cfRule type="expression" dxfId="1133" priority="9">
      <formula>J89&gt;0</formula>
    </cfRule>
    <cfRule type="expression" dxfId="1132" priority="10">
      <formula>J89&lt;0</formula>
    </cfRule>
  </conditionalFormatting>
  <conditionalFormatting sqref="K89:K102">
    <cfRule type="expression" dxfId="1131" priority="7">
      <formula>K89&gt;0</formula>
    </cfRule>
    <cfRule type="expression" dxfId="1130" priority="8">
      <formula>K89&lt;0</formula>
    </cfRule>
  </conditionalFormatting>
  <conditionalFormatting sqref="L89:L102">
    <cfRule type="expression" dxfId="1129" priority="5">
      <formula>L89&gt;0</formula>
    </cfRule>
    <cfRule type="expression" dxfId="1128" priority="6">
      <formula>L89&lt;0</formula>
    </cfRule>
  </conditionalFormatting>
  <conditionalFormatting sqref="F25:F31">
    <cfRule type="expression" dxfId="1127" priority="3">
      <formula>F25&gt;0</formula>
    </cfRule>
    <cfRule type="expression" dxfId="1126" priority="4">
      <formula>F25&lt;0</formula>
    </cfRule>
  </conditionalFormatting>
  <conditionalFormatting sqref="H25:H31">
    <cfRule type="expression" dxfId="1125" priority="1">
      <formula>H25&gt;0</formula>
    </cfRule>
    <cfRule type="expression" dxfId="1124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901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65.015000000000029</v>
      </c>
      <c r="T3" s="1"/>
    </row>
    <row r="4" spans="1:21" x14ac:dyDescent="0.25">
      <c r="B4" s="474">
        <v>43300</v>
      </c>
      <c r="C4" s="4">
        <v>60</v>
      </c>
      <c r="D4" s="3">
        <v>75.7</v>
      </c>
      <c r="E4" s="3">
        <v>0</v>
      </c>
      <c r="F4" s="3">
        <f>C4*D4+E4</f>
        <v>4542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73.27</v>
      </c>
      <c r="R4" s="495">
        <v>5.9999999999999995E-4</v>
      </c>
      <c r="T4" s="770">
        <v>43103</v>
      </c>
      <c r="U4" s="30" t="s">
        <v>819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4396.2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3900.9000000000019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495.29999999999836</v>
      </c>
      <c r="R7" s="29">
        <v>43332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495.29999999999836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0.12697069906944503</v>
      </c>
      <c r="T9" s="770">
        <v>43249</v>
      </c>
      <c r="U9" t="s">
        <v>1094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1.310222464856012E-2</v>
      </c>
      <c r="R11">
        <v>0.24</v>
      </c>
    </row>
    <row r="12" spans="1:21" x14ac:dyDescent="0.25">
      <c r="H12" s="70"/>
      <c r="O12" s="11" t="s">
        <v>925</v>
      </c>
      <c r="Q12" s="1" t="s">
        <v>1186</v>
      </c>
    </row>
    <row r="13" spans="1:21" x14ac:dyDescent="0.25">
      <c r="H13" s="70"/>
      <c r="O13" s="11" t="s">
        <v>952</v>
      </c>
      <c r="Q13">
        <f>Q4/3.55</f>
        <v>20.63943661971831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100</v>
      </c>
      <c r="I18" s="18"/>
      <c r="J18" s="18"/>
      <c r="K18" s="18">
        <f>SUM(K2:K5)</f>
        <v>7496.2999999999993</v>
      </c>
      <c r="L18" s="14"/>
      <c r="M18" s="18">
        <f>SUM(M2:M10)</f>
        <v>24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6879</v>
      </c>
      <c r="G19" s="343"/>
      <c r="H19" s="343">
        <f>SumByColor($A$19,H2:H17)</f>
        <v>100</v>
      </c>
      <c r="I19" s="343"/>
      <c r="J19" s="343"/>
      <c r="K19" s="344">
        <f>SumByColor($A$19,K2:K17)</f>
        <v>7497</v>
      </c>
      <c r="L19" s="343"/>
      <c r="M19" s="344">
        <f>SumByColor($A$19,M2:M17)</f>
        <v>24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80.597000000000008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1.0900000000000001</v>
      </c>
      <c r="P24" s="81">
        <f t="shared" ref="P24:P43" si="0">O24*$Q$4</f>
        <v>79.8643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0"/>
        <v>79.131600000000006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39"/>
      <c r="K26" s="39"/>
      <c r="L26" s="39"/>
      <c r="O26" s="81">
        <v>1.07</v>
      </c>
      <c r="P26" s="81">
        <f t="shared" si="0"/>
        <v>78.398899999999998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39"/>
      <c r="K27" s="39"/>
      <c r="L27" s="155"/>
      <c r="O27" s="81">
        <v>1.06</v>
      </c>
      <c r="P27" s="81">
        <f t="shared" si="0"/>
        <v>77.666200000000003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39"/>
      <c r="K28" s="39"/>
      <c r="L28" s="155"/>
      <c r="O28" s="81">
        <v>1.05</v>
      </c>
      <c r="P28" s="81">
        <f t="shared" si="0"/>
        <v>76.933499999999995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39"/>
      <c r="K29" s="39"/>
      <c r="L29" s="155"/>
      <c r="O29" s="81">
        <v>1.04</v>
      </c>
      <c r="P29" s="81">
        <f t="shared" si="0"/>
        <v>76.200800000000001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39"/>
      <c r="K30" s="39"/>
      <c r="L30" s="155"/>
      <c r="O30" s="81">
        <v>1.03</v>
      </c>
      <c r="P30" s="81">
        <f t="shared" si="0"/>
        <v>75.468099999999993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39"/>
      <c r="K31" s="39"/>
      <c r="L31" s="155"/>
      <c r="O31" s="81">
        <v>1.02</v>
      </c>
      <c r="P31" s="81">
        <f t="shared" si="0"/>
        <v>74.735399999999998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39"/>
      <c r="K32" s="39"/>
      <c r="L32" s="155"/>
      <c r="O32" s="81">
        <v>1.01</v>
      </c>
      <c r="P32" s="81">
        <f t="shared" si="0"/>
        <v>74.00269999999999</v>
      </c>
      <c r="Q32" s="2"/>
    </row>
    <row r="33" spans="1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73.27</v>
      </c>
      <c r="Q33" s="2"/>
    </row>
    <row r="34" spans="1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 t="shared" ref="F34" si="4">C34*(E34-D34)</f>
        <v>644.70000000000027</v>
      </c>
      <c r="G34" s="39">
        <f t="shared" ref="G34" si="5">D34*C34</f>
        <v>3900.9</v>
      </c>
      <c r="H34" s="222">
        <f t="shared" ref="H34" si="6">(E34-D34)/D34</f>
        <v>0.16526955318003544</v>
      </c>
      <c r="I34" s="39"/>
      <c r="J34" s="39"/>
      <c r="K34" s="39"/>
      <c r="L34" s="155"/>
      <c r="O34" s="81">
        <v>0.99</v>
      </c>
      <c r="P34" s="81">
        <f t="shared" si="0"/>
        <v>72.537300000000002</v>
      </c>
      <c r="Q34" s="2"/>
    </row>
    <row r="35" spans="1:17" x14ac:dyDescent="0.25">
      <c r="A35">
        <v>0</v>
      </c>
      <c r="B35" s="184">
        <v>43301</v>
      </c>
      <c r="C35" s="228">
        <v>60</v>
      </c>
      <c r="D35" s="229">
        <v>65.015000000000001</v>
      </c>
      <c r="E35" s="39">
        <v>72.81</v>
      </c>
      <c r="F35" s="39">
        <f t="shared" ref="F35" si="7">C35*(E35-D35)</f>
        <v>467.7000000000001</v>
      </c>
      <c r="G35" s="39">
        <f t="shared" ref="G35" si="8">D35*C35</f>
        <v>3900.9</v>
      </c>
      <c r="H35" s="222">
        <f t="shared" ref="H35" si="9">(E35-D35)/D35</f>
        <v>0.11989540875182653</v>
      </c>
      <c r="I35" s="39"/>
      <c r="J35" s="39"/>
      <c r="K35" s="39"/>
      <c r="L35" s="155"/>
      <c r="O35" s="81">
        <v>0.98</v>
      </c>
      <c r="P35" s="81">
        <f t="shared" si="0"/>
        <v>71.804599999999994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71.071899999999999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70.339199999999991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69.606499999999997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68.873799999999989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68.141099999999994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67.4084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66.675699999999992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65.942999999999998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23" priority="35">
      <formula>F47&gt;0</formula>
    </cfRule>
    <cfRule type="expression" dxfId="1122" priority="36">
      <formula>F47&lt;0</formula>
    </cfRule>
  </conditionalFormatting>
  <conditionalFormatting sqref="Q7">
    <cfRule type="expression" dxfId="1121" priority="33">
      <formula>Q7&gt;0</formula>
    </cfRule>
    <cfRule type="expression" dxfId="1120" priority="34">
      <formula>Q7&lt;0</formula>
    </cfRule>
  </conditionalFormatting>
  <conditionalFormatting sqref="Q8">
    <cfRule type="expression" dxfId="1119" priority="31">
      <formula>Q8&gt;0</formula>
    </cfRule>
    <cfRule type="expression" dxfId="1118" priority="32">
      <formula>Q8&lt;0</formula>
    </cfRule>
  </conditionalFormatting>
  <conditionalFormatting sqref="F30:F33 F36:F46">
    <cfRule type="expression" dxfId="1117" priority="29">
      <formula>F30&gt;0</formula>
    </cfRule>
    <cfRule type="expression" dxfId="1116" priority="30">
      <formula>F30&lt;0</formula>
    </cfRule>
  </conditionalFormatting>
  <conditionalFormatting sqref="H30:H33 H36:H46">
    <cfRule type="expression" dxfId="1115" priority="27">
      <formula>H30&gt;0</formula>
    </cfRule>
    <cfRule type="expression" dxfId="1114" priority="28">
      <formula>H30&lt;0</formula>
    </cfRule>
  </conditionalFormatting>
  <conditionalFormatting sqref="Q10">
    <cfRule type="expression" dxfId="1113" priority="25">
      <formula>Q10&gt;0</formula>
    </cfRule>
    <cfRule type="expression" dxfId="1112" priority="26">
      <formula>Q10&lt;0</formula>
    </cfRule>
  </conditionalFormatting>
  <conditionalFormatting sqref="J25:J38">
    <cfRule type="expression" dxfId="1111" priority="23">
      <formula>J25&gt;0</formula>
    </cfRule>
    <cfRule type="expression" dxfId="1110" priority="24">
      <formula>J25&lt;0</formula>
    </cfRule>
  </conditionalFormatting>
  <conditionalFormatting sqref="K25:K38">
    <cfRule type="expression" dxfId="1109" priority="21">
      <formula>K25&gt;0</formula>
    </cfRule>
    <cfRule type="expression" dxfId="1108" priority="22">
      <formula>K25&lt;0</formula>
    </cfRule>
  </conditionalFormatting>
  <conditionalFormatting sqref="L25:L38">
    <cfRule type="expression" dxfId="1107" priority="19">
      <formula>L25&gt;0</formula>
    </cfRule>
    <cfRule type="expression" dxfId="1106" priority="20">
      <formula>L25&lt;0</formula>
    </cfRule>
  </conditionalFormatting>
  <conditionalFormatting sqref="F89:F110">
    <cfRule type="expression" dxfId="1105" priority="17">
      <formula>F89&gt;0</formula>
    </cfRule>
    <cfRule type="expression" dxfId="1104" priority="18">
      <formula>F89&lt;0</formula>
    </cfRule>
  </conditionalFormatting>
  <conditionalFormatting sqref="H89:H110">
    <cfRule type="expression" dxfId="1103" priority="15">
      <formula>H89&gt;0</formula>
    </cfRule>
    <cfRule type="expression" dxfId="1102" priority="16">
      <formula>H89&lt;0</formula>
    </cfRule>
  </conditionalFormatting>
  <conditionalFormatting sqref="J89:J102">
    <cfRule type="expression" dxfId="1101" priority="13">
      <formula>J89&gt;0</formula>
    </cfRule>
    <cfRule type="expression" dxfId="1100" priority="14">
      <formula>J89&lt;0</formula>
    </cfRule>
  </conditionalFormatting>
  <conditionalFormatting sqref="K89:K102">
    <cfRule type="expression" dxfId="1099" priority="11">
      <formula>K89&gt;0</formula>
    </cfRule>
    <cfRule type="expression" dxfId="1098" priority="12">
      <formula>K89&lt;0</formula>
    </cfRule>
  </conditionalFormatting>
  <conditionalFormatting sqref="L89:L102">
    <cfRule type="expression" dxfId="1097" priority="9">
      <formula>L89&gt;0</formula>
    </cfRule>
    <cfRule type="expression" dxfId="1096" priority="10">
      <formula>L89&lt;0</formula>
    </cfRule>
  </conditionalFormatting>
  <conditionalFormatting sqref="F25:F29">
    <cfRule type="expression" dxfId="1095" priority="7">
      <formula>F25&gt;0</formula>
    </cfRule>
    <cfRule type="expression" dxfId="1094" priority="8">
      <formula>F25&lt;0</formula>
    </cfRule>
  </conditionalFormatting>
  <conditionalFormatting sqref="H25:H29">
    <cfRule type="expression" dxfId="1093" priority="5">
      <formula>H25&gt;0</formula>
    </cfRule>
    <cfRule type="expression" dxfId="1092" priority="6">
      <formula>H25&lt;0</formula>
    </cfRule>
  </conditionalFormatting>
  <conditionalFormatting sqref="F34:F35">
    <cfRule type="expression" dxfId="1091" priority="3">
      <formula>F34&gt;0</formula>
    </cfRule>
    <cfRule type="expression" dxfId="1090" priority="4">
      <formula>F34&lt;0</formula>
    </cfRule>
  </conditionalFormatting>
  <conditionalFormatting sqref="H34:H35">
    <cfRule type="expression" dxfId="1089" priority="1">
      <formula>H34&gt;0</formula>
    </cfRule>
    <cfRule type="expression" dxfId="1088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81.260000000000005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81.260000000000005</v>
      </c>
      <c r="R4" s="475">
        <v>9.4000000000000004E-3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205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490</v>
      </c>
      <c r="J22" s="220" t="s">
        <v>150</v>
      </c>
      <c r="K22" s="220" t="s">
        <v>649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268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59" t="s">
        <v>78</v>
      </c>
      <c r="P44" s="859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89.38600000000001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88.573400000000007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87.760800000000017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86.948200000000014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86.135600000000011</v>
      </c>
      <c r="T49" s="91" t="s">
        <v>121</v>
      </c>
      <c r="U49" s="127" t="s">
        <v>514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85.323000000000008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84.510400000000004</v>
      </c>
      <c r="T51" s="91" t="s">
        <v>104</v>
      </c>
      <c r="U51" s="127" t="s">
        <v>580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83.697800000000001</v>
      </c>
      <c r="T52" s="91" t="s">
        <v>105</v>
      </c>
      <c r="U52" s="127" t="s">
        <v>581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82.885200000000012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82.072600000000008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81.260000000000005</v>
      </c>
      <c r="T55" s="91" t="s">
        <v>107</v>
      </c>
      <c r="U55" s="127" t="s">
        <v>582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80.447400000000002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79.634799999999998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78.822200000000009</v>
      </c>
      <c r="T58" s="91" t="s">
        <v>108</v>
      </c>
      <c r="U58" s="127" t="s">
        <v>530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78.009600000000006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77.197000000000003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76.384399999999999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75.57180000000001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74.759200000000007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73.946600000000004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73.134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87" priority="57">
      <formula>F27&gt;0</formula>
    </cfRule>
    <cfRule type="expression" dxfId="1086" priority="58">
      <formula>F27&lt;0</formula>
    </cfRule>
  </conditionalFormatting>
  <conditionalFormatting sqref="H28:H33">
    <cfRule type="expression" dxfId="1085" priority="53">
      <formula>H28&gt;0</formula>
    </cfRule>
    <cfRule type="expression" dxfId="1084" priority="54">
      <formula>H28&lt;0</formula>
    </cfRule>
  </conditionalFormatting>
  <conditionalFormatting sqref="F24:F26">
    <cfRule type="expression" dxfId="1083" priority="39">
      <formula>F24&gt;0</formula>
    </cfRule>
    <cfRule type="expression" dxfId="1082" priority="40">
      <formula>F24&lt;0</formula>
    </cfRule>
  </conditionalFormatting>
  <conditionalFormatting sqref="Q8">
    <cfRule type="expression" dxfId="1081" priority="33">
      <formula>Q8&gt;0</formula>
    </cfRule>
    <cfRule type="expression" dxfId="1080" priority="34">
      <formula>Q8&lt;0</formula>
    </cfRule>
  </conditionalFormatting>
  <conditionalFormatting sqref="Q7">
    <cfRule type="expression" dxfId="1079" priority="35">
      <formula>Q7&gt;0</formula>
    </cfRule>
    <cfRule type="expression" dxfId="1078" priority="36">
      <formula>Q7&lt;0</formula>
    </cfRule>
  </conditionalFormatting>
  <conditionalFormatting sqref="F34">
    <cfRule type="expression" dxfId="1077" priority="31">
      <formula>F34&gt;0</formula>
    </cfRule>
    <cfRule type="expression" dxfId="1076" priority="32">
      <formula>F34&lt;0</formula>
    </cfRule>
  </conditionalFormatting>
  <conditionalFormatting sqref="H34">
    <cfRule type="expression" dxfId="1075" priority="29">
      <formula>H34&gt;0</formula>
    </cfRule>
    <cfRule type="expression" dxfId="1074" priority="30">
      <formula>H34&lt;0</formula>
    </cfRule>
  </conditionalFormatting>
  <conditionalFormatting sqref="M36">
    <cfRule type="expression" dxfId="1073" priority="19">
      <formula>M36&gt;0</formula>
    </cfRule>
    <cfRule type="expression" dxfId="1072" priority="20">
      <formula>M36&lt;0</formula>
    </cfRule>
  </conditionalFormatting>
  <conditionalFormatting sqref="Q10">
    <cfRule type="expression" dxfId="1071" priority="15">
      <formula>Q10&gt;0</formula>
    </cfRule>
    <cfRule type="expression" dxfId="1070" priority="16">
      <formula>Q10&lt;0</formula>
    </cfRule>
  </conditionalFormatting>
  <conditionalFormatting sqref="F23">
    <cfRule type="expression" dxfId="1069" priority="13">
      <formula>F23&gt;0</formula>
    </cfRule>
    <cfRule type="expression" dxfId="1068" priority="14">
      <formula>F23&lt;0</formula>
    </cfRule>
  </conditionalFormatting>
  <conditionalFormatting sqref="I25:J25">
    <cfRule type="expression" dxfId="1067" priority="9">
      <formula>I25&gt;0</formula>
    </cfRule>
    <cfRule type="expression" dxfId="1066" priority="10">
      <formula>I25&lt;0</formula>
    </cfRule>
  </conditionalFormatting>
  <conditionalFormatting sqref="I26:J27">
    <cfRule type="expression" dxfId="1065" priority="7">
      <formula>I26&gt;0</formula>
    </cfRule>
    <cfRule type="expression" dxfId="1064" priority="8">
      <formula>I26&lt;0</formula>
    </cfRule>
  </conditionalFormatting>
  <conditionalFormatting sqref="K25:K27">
    <cfRule type="expression" dxfId="1063" priority="5">
      <formula>K25&gt;0</formula>
    </cfRule>
    <cfRule type="expression" dxfId="1062" priority="6">
      <formula>K25&lt;0</formula>
    </cfRule>
  </conditionalFormatting>
  <conditionalFormatting sqref="I23:J23">
    <cfRule type="expression" dxfId="1061" priority="3">
      <formula>I23&gt;0</formula>
    </cfRule>
    <cfRule type="expression" dxfId="1060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184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4" max="6" width="9.140625" style="2"/>
    <col min="7" max="7" width="10.7109375" bestFit="1" customWidth="1"/>
    <col min="9" max="9" width="12" style="2" bestFit="1" customWidth="1"/>
    <col min="10" max="11" width="9.140625" style="2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736</v>
      </c>
      <c r="AB1" s="731" t="s">
        <v>693</v>
      </c>
      <c r="AC1" s="731" t="s">
        <v>912</v>
      </c>
      <c r="AD1" s="731" t="s">
        <v>911</v>
      </c>
      <c r="AE1" s="731" t="s">
        <v>1043</v>
      </c>
      <c r="AF1" s="707"/>
      <c r="AG1" s="707"/>
    </row>
    <row r="2" spans="1:33" x14ac:dyDescent="0.25">
      <c r="A2" s="6" t="s">
        <v>223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4" si="1">I2*H2-J2</f>
        <v>2890.94</v>
      </c>
      <c r="L2" s="72">
        <v>42810</v>
      </c>
      <c r="M2" s="43">
        <v>27.5</v>
      </c>
      <c r="O2" s="11" t="s">
        <v>57</v>
      </c>
      <c r="Q2">
        <f>C34-H34</f>
        <v>400</v>
      </c>
      <c r="X2" s="736"/>
      <c r="Z2" s="708" t="s">
        <v>737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(F34-K34-M34)/Q2)</f>
        <v>17.576174999999893</v>
      </c>
      <c r="U3" t="s">
        <v>711</v>
      </c>
      <c r="V3" s="22" t="s">
        <v>710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31.49</v>
      </c>
      <c r="R4" s="494">
        <v>-1.78E-2</v>
      </c>
      <c r="Z4" s="710" t="s">
        <v>705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12596</v>
      </c>
      <c r="Z5" s="711" t="s">
        <v>698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7030.4699999999575</v>
      </c>
      <c r="U6" s="770">
        <v>43150</v>
      </c>
      <c r="V6" t="s">
        <v>82</v>
      </c>
      <c r="Z6" s="712" t="s">
        <v>691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7017.7900000000409</v>
      </c>
      <c r="R7">
        <v>200</v>
      </c>
      <c r="V7" t="s">
        <v>954</v>
      </c>
      <c r="Z7" s="712" t="s">
        <v>726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K34+M34-F34+Q2*Q4</f>
        <v>5565.5300000000425</v>
      </c>
      <c r="Z8" s="712" t="s">
        <v>699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206</v>
      </c>
      <c r="Q9" s="134">
        <f>IF(Q2=0, 0, Q8/Q6)</f>
        <v>0.79162986258387791</v>
      </c>
      <c r="Z9" s="712" t="s">
        <v>700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205</v>
      </c>
      <c r="P10" s="33"/>
      <c r="Q10" s="2">
        <f>M165</f>
        <v>1452.2599999999984</v>
      </c>
      <c r="U10" s="1">
        <v>43227</v>
      </c>
      <c r="V10" t="s">
        <v>82</v>
      </c>
      <c r="Z10" s="712" t="s">
        <v>716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29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3.1756113051762467E-3</v>
      </c>
      <c r="R11">
        <f>0.025</f>
        <v>2.5000000000000001E-2</v>
      </c>
      <c r="V11" t="s">
        <v>1042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925</v>
      </c>
      <c r="Q12" s="1" t="s">
        <v>1205</v>
      </c>
      <c r="Z12" s="712" t="s">
        <v>694</v>
      </c>
      <c r="AA12" s="714"/>
      <c r="AB12" s="719">
        <v>7.0000000000000007E-2</v>
      </c>
      <c r="AC12" s="719" t="s">
        <v>738</v>
      </c>
      <c r="AD12" s="732" t="s">
        <v>915</v>
      </c>
      <c r="AE12" s="831" t="s">
        <v>916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952</v>
      </c>
      <c r="Q13" s="2">
        <f>Q4/(1.4)</f>
        <v>22.492857142857144</v>
      </c>
      <c r="U13" s="1">
        <v>43234</v>
      </c>
      <c r="V13" t="s">
        <v>1089</v>
      </c>
      <c r="Z13" s="712" t="s">
        <v>701</v>
      </c>
      <c r="AA13" s="714"/>
      <c r="AB13" s="719">
        <v>0.09</v>
      </c>
      <c r="AC13" s="719"/>
      <c r="AD13" s="732" t="s">
        <v>916</v>
      </c>
      <c r="AE13" s="831" t="s">
        <v>1044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1088</v>
      </c>
      <c r="Q14" s="736">
        <v>0.20250000000000001</v>
      </c>
      <c r="V14" t="s">
        <v>1090</v>
      </c>
      <c r="Z14" s="712" t="s">
        <v>724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O15" s="11" t="s">
        <v>1039</v>
      </c>
      <c r="Q15" s="29">
        <v>43319</v>
      </c>
      <c r="Z15" s="712" t="s">
        <v>695</v>
      </c>
      <c r="AA15" s="714"/>
      <c r="AB15" s="676"/>
      <c r="AC15" s="676"/>
      <c r="AD15" s="676"/>
      <c r="AE15" s="676"/>
      <c r="AF15" s="676"/>
      <c r="AG15" s="676"/>
    </row>
    <row r="16" spans="1:33" x14ac:dyDescent="0.25">
      <c r="A16" t="s">
        <v>761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712" t="s">
        <v>696</v>
      </c>
      <c r="AA16" s="714"/>
      <c r="AB16" s="676"/>
      <c r="AC16" s="676"/>
      <c r="AD16" s="676"/>
      <c r="AE16" s="676"/>
      <c r="AF16" s="676"/>
      <c r="AG16" s="676"/>
    </row>
    <row r="17" spans="1:33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1168</v>
      </c>
      <c r="Z17" s="712" t="s">
        <v>910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ht="20.25" thickBot="1" x14ac:dyDescent="0.3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59" t="s">
        <v>78</v>
      </c>
      <c r="P18" s="859"/>
      <c r="V18" t="s">
        <v>1169</v>
      </c>
      <c r="Z18" s="676"/>
      <c r="AA18" s="714"/>
      <c r="AB18" s="676"/>
      <c r="AC18" s="676"/>
      <c r="AD18" s="676"/>
      <c r="AE18" s="676"/>
      <c r="AF18" s="676"/>
      <c r="AG18" s="676"/>
    </row>
    <row r="19" spans="1:33" ht="15.75" thickTop="1" x14ac:dyDescent="0.25">
      <c r="A19" t="s">
        <v>761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34.639000000000003</v>
      </c>
      <c r="Z19" s="712" t="s">
        <v>706</v>
      </c>
      <c r="AA19" s="717" t="s">
        <v>709</v>
      </c>
      <c r="AB19" s="712" t="s">
        <v>709</v>
      </c>
      <c r="AC19" s="712" t="s">
        <v>709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34.324100000000001</v>
      </c>
      <c r="U20" s="770">
        <v>43313</v>
      </c>
      <c r="V20" t="s">
        <v>1167</v>
      </c>
      <c r="Z20" s="712" t="s">
        <v>707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34.0092</v>
      </c>
      <c r="Z21" s="712" t="s">
        <v>726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33.694299999999998</v>
      </c>
      <c r="U22" s="1">
        <v>43318</v>
      </c>
      <c r="V22" t="s">
        <v>856</v>
      </c>
      <c r="Z22" s="718" t="s">
        <v>723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33.379399999999997</v>
      </c>
      <c r="V23" t="s">
        <v>1232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7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33.064500000000002</v>
      </c>
      <c r="V24" t="s">
        <v>1233</v>
      </c>
      <c r="Z24" s="709" t="s">
        <v>690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29"/>
      <c r="H25" s="176"/>
      <c r="I25" s="3"/>
      <c r="J25" s="3"/>
      <c r="K25" s="3"/>
      <c r="O25" s="81">
        <v>1.04</v>
      </c>
      <c r="P25" s="81">
        <f t="shared" si="3"/>
        <v>32.749600000000001</v>
      </c>
      <c r="Z25" s="710" t="s">
        <v>702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29"/>
      <c r="O26" s="81">
        <v>1.03</v>
      </c>
      <c r="P26" s="81">
        <f t="shared" si="3"/>
        <v>32.434699999999999</v>
      </c>
      <c r="Z26" s="711" t="s">
        <v>703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477">
        <v>43292</v>
      </c>
      <c r="C27" s="4">
        <v>100</v>
      </c>
      <c r="D27" s="3">
        <v>28.2</v>
      </c>
      <c r="E27" s="3">
        <v>0</v>
      </c>
      <c r="F27" s="3">
        <f t="shared" si="2"/>
        <v>2820</v>
      </c>
      <c r="G27" s="29"/>
      <c r="O27" s="81">
        <v>1.02</v>
      </c>
      <c r="P27" s="81">
        <f t="shared" si="3"/>
        <v>32.119799999999998</v>
      </c>
      <c r="Z27" s="712" t="s">
        <v>691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477">
        <v>43292</v>
      </c>
      <c r="C28" s="4">
        <v>100</v>
      </c>
      <c r="D28" s="3">
        <v>27.88</v>
      </c>
      <c r="E28" s="3">
        <v>0</v>
      </c>
      <c r="F28" s="3">
        <f t="shared" si="2"/>
        <v>2788</v>
      </c>
      <c r="G28" s="29"/>
      <c r="O28" s="81">
        <v>1.01</v>
      </c>
      <c r="P28" s="81">
        <f t="shared" si="3"/>
        <v>31.8049</v>
      </c>
      <c r="Z28" s="712" t="s">
        <v>726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735">
        <v>43306</v>
      </c>
      <c r="C29" s="4">
        <v>200</v>
      </c>
      <c r="D29" s="3">
        <v>28.65</v>
      </c>
      <c r="E29" s="3">
        <v>0</v>
      </c>
      <c r="F29" s="3">
        <f t="shared" si="2"/>
        <v>5730</v>
      </c>
      <c r="G29" s="29"/>
      <c r="O29" s="81">
        <v>1</v>
      </c>
      <c r="P29" s="81">
        <f t="shared" si="3"/>
        <v>31.49</v>
      </c>
      <c r="Z29" s="712" t="s">
        <v>699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29"/>
      <c r="C30" s="4"/>
      <c r="G30" s="29"/>
      <c r="O30" s="81">
        <v>0.99</v>
      </c>
      <c r="P30" s="81">
        <f t="shared" si="3"/>
        <v>31.175099999999997</v>
      </c>
      <c r="Z30" s="712" t="s">
        <v>700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29"/>
      <c r="G31" s="29"/>
      <c r="O31" s="81">
        <v>0.98</v>
      </c>
      <c r="P31" s="81">
        <f t="shared" si="3"/>
        <v>30.860199999999999</v>
      </c>
      <c r="Z31" s="712" t="s">
        <v>692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B32" s="29"/>
      <c r="C32" s="4"/>
      <c r="G32" s="29"/>
      <c r="O32" s="81">
        <v>0.97</v>
      </c>
      <c r="P32" s="81">
        <f t="shared" si="3"/>
        <v>30.545299999999997</v>
      </c>
      <c r="Z32" s="676"/>
      <c r="AA32" s="714"/>
      <c r="AB32" s="676"/>
      <c r="AC32" s="676"/>
      <c r="AD32" s="676"/>
      <c r="AE32" s="676"/>
      <c r="AF32" s="676"/>
      <c r="AG32" s="676"/>
    </row>
    <row r="33" spans="1:33" x14ac:dyDescent="0.25">
      <c r="B33" s="29"/>
      <c r="G33" s="29"/>
      <c r="O33" s="81">
        <v>0.96</v>
      </c>
      <c r="P33" s="81">
        <f t="shared" si="3"/>
        <v>30.230399999999996</v>
      </c>
      <c r="Z33" s="712" t="s">
        <v>694</v>
      </c>
      <c r="AA33" s="714"/>
      <c r="AB33" s="719">
        <v>0.15</v>
      </c>
      <c r="AC33" s="732" t="s">
        <v>739</v>
      </c>
      <c r="AD33" s="732" t="s">
        <v>913</v>
      </c>
      <c r="AE33" s="732" t="s">
        <v>913</v>
      </c>
      <c r="AF33" s="676"/>
      <c r="AG33" s="676"/>
    </row>
    <row r="34" spans="1:33" x14ac:dyDescent="0.25">
      <c r="A34" s="31" t="s">
        <v>81</v>
      </c>
      <c r="B34" s="14"/>
      <c r="C34" s="14">
        <f>SUM(C2:C32)</f>
        <v>3750</v>
      </c>
      <c r="D34" s="18"/>
      <c r="E34" s="18"/>
      <c r="F34" s="18">
        <f>SUM(F2:F32)</f>
        <v>94430.62</v>
      </c>
      <c r="G34" s="14"/>
      <c r="H34" s="14">
        <f>SUM(H2:H33)</f>
        <v>3350</v>
      </c>
      <c r="I34" s="18"/>
      <c r="J34" s="18"/>
      <c r="K34" s="18">
        <f>SUM(K2:K33)</f>
        <v>87115.150000000038</v>
      </c>
      <c r="L34" s="14"/>
      <c r="M34" s="18">
        <f>SUM(M2:M10)</f>
        <v>285</v>
      </c>
      <c r="O34" s="81">
        <v>0.95</v>
      </c>
      <c r="P34" s="81">
        <f t="shared" si="3"/>
        <v>29.915499999999998</v>
      </c>
      <c r="Z34" s="712" t="s">
        <v>701</v>
      </c>
      <c r="AA34" s="714"/>
      <c r="AB34" s="719">
        <v>0.18</v>
      </c>
      <c r="AC34" s="719"/>
      <c r="AD34" s="732" t="s">
        <v>914</v>
      </c>
      <c r="AE34" s="732" t="s">
        <v>914</v>
      </c>
      <c r="AF34" s="676"/>
      <c r="AG34" s="676"/>
    </row>
    <row r="35" spans="1:33" ht="15.75" thickBot="1" x14ac:dyDescent="0.3">
      <c r="A35" s="341" t="s">
        <v>193</v>
      </c>
      <c r="B35" s="342"/>
      <c r="C35" s="343">
        <f>SumByColor($A$35,C2:C33)</f>
        <v>3350</v>
      </c>
      <c r="D35" s="343"/>
      <c r="E35" s="343"/>
      <c r="F35" s="344">
        <f>SumByColor($A$35,F2:F33)</f>
        <v>83093</v>
      </c>
      <c r="G35" s="343"/>
      <c r="H35" s="343">
        <f>SumByColor($A$35,H2:H33)</f>
        <v>3350</v>
      </c>
      <c r="I35" s="343"/>
      <c r="J35" s="343"/>
      <c r="K35" s="344">
        <f>SumByColor($A$35,K2:K33)</f>
        <v>87117</v>
      </c>
      <c r="L35" s="343"/>
      <c r="M35" s="344">
        <f>SumByColor($A$35,M2:M33)</f>
        <v>286</v>
      </c>
      <c r="O35" s="81">
        <v>0.94</v>
      </c>
      <c r="P35" s="81">
        <f t="shared" si="3"/>
        <v>29.600599999999996</v>
      </c>
      <c r="Z35" s="712" t="s">
        <v>724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O36" s="81">
        <v>0.93</v>
      </c>
      <c r="P36" s="81">
        <f t="shared" si="3"/>
        <v>29.285699999999999</v>
      </c>
      <c r="Z36" s="712" t="s">
        <v>695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O37" s="81">
        <v>0.92</v>
      </c>
      <c r="P37" s="81">
        <f t="shared" si="3"/>
        <v>28.970800000000001</v>
      </c>
      <c r="Z37" s="712" t="s">
        <v>696</v>
      </c>
      <c r="AA37" s="714"/>
      <c r="AB37" s="676"/>
      <c r="AC37" s="676"/>
      <c r="AD37" s="676"/>
      <c r="AE37" s="676"/>
      <c r="AF37" s="676"/>
      <c r="AG37" s="676"/>
    </row>
    <row r="38" spans="1:33" x14ac:dyDescent="0.25">
      <c r="B38" s="484" t="s">
        <v>113</v>
      </c>
      <c r="C38" s="484" t="s">
        <v>146</v>
      </c>
      <c r="D38" s="485" t="s">
        <v>145</v>
      </c>
      <c r="E38" s="486" t="s">
        <v>147</v>
      </c>
      <c r="F38" s="486" t="s">
        <v>65</v>
      </c>
      <c r="G38" s="488" t="s">
        <v>151</v>
      </c>
      <c r="H38" s="488" t="s">
        <v>88</v>
      </c>
      <c r="I38" s="488" t="s">
        <v>154</v>
      </c>
      <c r="J38" s="488" t="s">
        <v>490</v>
      </c>
      <c r="K38" s="488" t="s">
        <v>150</v>
      </c>
      <c r="L38" s="488" t="s">
        <v>952</v>
      </c>
      <c r="O38" s="81">
        <v>0.91</v>
      </c>
      <c r="P38" s="81">
        <f t="shared" si="3"/>
        <v>28.655899999999999</v>
      </c>
      <c r="Z38" s="712" t="s">
        <v>725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B39" s="522">
        <v>42754</v>
      </c>
      <c r="C39" s="526">
        <v>100</v>
      </c>
      <c r="D39" s="527">
        <v>27.58</v>
      </c>
      <c r="E39" s="527">
        <v>30.25</v>
      </c>
      <c r="F39" s="527">
        <f t="shared" ref="F39:F44" si="4">C39*(E39-D39)</f>
        <v>267.00000000000017</v>
      </c>
      <c r="G39" s="527">
        <f t="shared" ref="G39:G44" si="5">D39*C39</f>
        <v>2758</v>
      </c>
      <c r="H39" s="568">
        <f t="shared" ref="H39:H44" si="6">(E39-D39)/D39</f>
        <v>9.6809282088469978E-2</v>
      </c>
      <c r="I39" s="527"/>
      <c r="J39" s="527"/>
      <c r="K39" s="527"/>
      <c r="L39" s="527"/>
      <c r="O39" s="81">
        <v>0.9</v>
      </c>
      <c r="P39" s="81">
        <f t="shared" si="3"/>
        <v>28.340999999999998</v>
      </c>
      <c r="Z39" s="712" t="s">
        <v>706</v>
      </c>
      <c r="AA39" s="717" t="s">
        <v>717</v>
      </c>
      <c r="AB39" s="712" t="s">
        <v>709</v>
      </c>
      <c r="AC39" s="712" t="s">
        <v>740</v>
      </c>
      <c r="AD39" s="712"/>
      <c r="AE39" s="712"/>
      <c r="AF39" s="676"/>
      <c r="AG39" s="676"/>
    </row>
    <row r="40" spans="1:33" x14ac:dyDescent="0.25">
      <c r="B40" s="522">
        <v>42758</v>
      </c>
      <c r="C40" s="526">
        <v>100</v>
      </c>
      <c r="D40" s="527">
        <v>27.180700000000002</v>
      </c>
      <c r="E40" s="527">
        <v>31.55</v>
      </c>
      <c r="F40" s="527">
        <f t="shared" si="4"/>
        <v>436.92999999999989</v>
      </c>
      <c r="G40" s="527">
        <f t="shared" si="5"/>
        <v>2718.07</v>
      </c>
      <c r="H40" s="568">
        <f t="shared" si="6"/>
        <v>0.16075009105725749</v>
      </c>
      <c r="I40" s="527"/>
      <c r="J40" s="527"/>
      <c r="K40" s="527"/>
      <c r="L40" s="527"/>
      <c r="Z40" s="712" t="s">
        <v>707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A41" t="s">
        <v>343</v>
      </c>
      <c r="B41" s="184">
        <v>42758</v>
      </c>
      <c r="C41" s="10">
        <v>100</v>
      </c>
      <c r="D41" s="39">
        <v>31.18</v>
      </c>
      <c r="E41" s="39">
        <v>31.55</v>
      </c>
      <c r="F41" s="39">
        <f t="shared" si="4"/>
        <v>37.000000000000099</v>
      </c>
      <c r="G41" s="39">
        <f t="shared" si="5"/>
        <v>3118</v>
      </c>
      <c r="H41" s="222">
        <f t="shared" si="6"/>
        <v>1.1866581141757569E-2</v>
      </c>
      <c r="I41" s="39"/>
      <c r="J41" s="39"/>
      <c r="K41" s="39"/>
      <c r="L41" s="39"/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A42" t="s">
        <v>343</v>
      </c>
      <c r="B42" s="184">
        <v>42760</v>
      </c>
      <c r="C42" s="10">
        <v>100</v>
      </c>
      <c r="D42" s="39">
        <v>31.18</v>
      </c>
      <c r="E42" s="39">
        <v>33.26</v>
      </c>
      <c r="F42" s="39">
        <f t="shared" si="4"/>
        <v>207.99999999999983</v>
      </c>
      <c r="G42" s="39">
        <f t="shared" si="5"/>
        <v>3118</v>
      </c>
      <c r="H42" s="222">
        <f t="shared" si="6"/>
        <v>6.6709429121231498E-2</v>
      </c>
      <c r="I42" s="39"/>
      <c r="J42" s="39"/>
      <c r="K42" s="39"/>
      <c r="L42" s="39"/>
      <c r="Q42" s="2"/>
      <c r="Z42" s="718" t="s">
        <v>723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x14ac:dyDescent="0.25">
      <c r="A43" t="s">
        <v>333</v>
      </c>
      <c r="B43" s="184">
        <v>42787</v>
      </c>
      <c r="C43" s="10">
        <v>100</v>
      </c>
      <c r="D43" s="39">
        <v>31.18</v>
      </c>
      <c r="E43" s="39">
        <v>33.64</v>
      </c>
      <c r="F43" s="39">
        <f t="shared" si="4"/>
        <v>246.00000000000009</v>
      </c>
      <c r="G43" s="39">
        <f t="shared" si="5"/>
        <v>3118</v>
      </c>
      <c r="H43" s="222">
        <f t="shared" si="6"/>
        <v>7.8896728672225816E-2</v>
      </c>
      <c r="I43" s="39"/>
      <c r="J43" s="39"/>
      <c r="K43" s="39"/>
      <c r="L43" s="39"/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A44">
        <v>100</v>
      </c>
      <c r="B44" s="184">
        <v>42808</v>
      </c>
      <c r="C44" s="228">
        <v>200</v>
      </c>
      <c r="D44" s="229">
        <v>29.83</v>
      </c>
      <c r="E44" s="39">
        <v>28.6</v>
      </c>
      <c r="F44" s="39">
        <f t="shared" si="4"/>
        <v>-245.99999999999937</v>
      </c>
      <c r="G44" s="39">
        <f t="shared" si="5"/>
        <v>5966</v>
      </c>
      <c r="H44" s="222">
        <f t="shared" si="6"/>
        <v>-4.1233657391887259E-2</v>
      </c>
      <c r="I44" s="39"/>
      <c r="J44" s="39">
        <v>30.72</v>
      </c>
      <c r="K44" s="39">
        <v>1207</v>
      </c>
      <c r="L44" s="39"/>
      <c r="Q44" s="2"/>
      <c r="Z44" s="709" t="s">
        <v>1045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A45">
        <v>0</v>
      </c>
      <c r="B45" s="184">
        <v>42809</v>
      </c>
      <c r="C45" s="10">
        <v>100</v>
      </c>
      <c r="D45" s="39">
        <v>30.750599999999999</v>
      </c>
      <c r="E45" s="39">
        <v>29.14</v>
      </c>
      <c r="F45" s="39">
        <f>C45*(E45-D45)</f>
        <v>-161.0599999999998</v>
      </c>
      <c r="G45" s="39">
        <f>D45*C45</f>
        <v>3075.06</v>
      </c>
      <c r="H45" s="222">
        <f>(E45-D45)/D45</f>
        <v>-5.2376213797454295E-2</v>
      </c>
      <c r="I45" s="39"/>
      <c r="J45" s="39"/>
      <c r="K45" s="39">
        <v>1291</v>
      </c>
      <c r="L45" s="39"/>
      <c r="Q45" s="2"/>
      <c r="Z45" s="712" t="s">
        <v>699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A46">
        <v>0</v>
      </c>
      <c r="B46" s="184">
        <v>42811</v>
      </c>
      <c r="C46" s="10">
        <v>100</v>
      </c>
      <c r="D46" s="39">
        <v>30.4756</v>
      </c>
      <c r="E46" s="39">
        <v>29.17</v>
      </c>
      <c r="F46" s="39">
        <f t="shared" ref="F46:F59" si="7">C46*(E46-D46)</f>
        <v>-130.55999999999983</v>
      </c>
      <c r="G46" s="39">
        <f t="shared" ref="G46:G59" si="8">D46*C46</f>
        <v>3047.56</v>
      </c>
      <c r="H46" s="222">
        <f t="shared" ref="H46:H59" si="9">(E46-D46)/D46</f>
        <v>-4.2840830041081988E-2</v>
      </c>
      <c r="I46" s="39"/>
      <c r="J46" s="39">
        <v>30</v>
      </c>
      <c r="K46" s="39">
        <v>1321</v>
      </c>
      <c r="L46" s="39"/>
      <c r="Q46" s="2"/>
      <c r="Z46" s="712" t="s">
        <v>700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A47">
        <v>0</v>
      </c>
      <c r="B47" s="184">
        <v>42836</v>
      </c>
      <c r="C47" s="228">
        <v>200</v>
      </c>
      <c r="D47" s="229">
        <v>29.412800000000001</v>
      </c>
      <c r="E47" s="39">
        <v>28.69</v>
      </c>
      <c r="F47" s="39">
        <f t="shared" si="7"/>
        <v>-144.55999999999989</v>
      </c>
      <c r="G47" s="39">
        <f t="shared" si="8"/>
        <v>5882.56</v>
      </c>
      <c r="H47" s="222">
        <f t="shared" si="9"/>
        <v>-2.4574334983408566E-2</v>
      </c>
      <c r="I47" s="39">
        <v>29</v>
      </c>
      <c r="J47" s="39"/>
      <c r="K47" s="39">
        <v>1308</v>
      </c>
      <c r="L47" s="39"/>
      <c r="Q47" s="2"/>
      <c r="Z47" s="712" t="s">
        <v>692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A48">
        <v>100</v>
      </c>
      <c r="B48" s="184">
        <v>42857</v>
      </c>
      <c r="C48" s="10">
        <v>300</v>
      </c>
      <c r="D48" s="39">
        <v>27.9452</v>
      </c>
      <c r="E48" s="39">
        <v>24.95</v>
      </c>
      <c r="F48" s="39">
        <f t="shared" si="7"/>
        <v>-898.56000000000017</v>
      </c>
      <c r="G48" s="39">
        <f t="shared" si="8"/>
        <v>8383.56</v>
      </c>
      <c r="H48" s="222">
        <f t="shared" si="9"/>
        <v>-0.10718119748650932</v>
      </c>
      <c r="I48" s="39"/>
      <c r="J48" s="39"/>
      <c r="K48" s="39">
        <v>554</v>
      </c>
      <c r="L48" s="39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>
        <v>100</v>
      </c>
      <c r="B49" s="184">
        <v>42858</v>
      </c>
      <c r="C49" s="7">
        <v>400</v>
      </c>
      <c r="D49" s="43">
        <v>26.953900000000001</v>
      </c>
      <c r="E49" s="39">
        <v>23.98</v>
      </c>
      <c r="F49" s="39">
        <f t="shared" si="7"/>
        <v>-1189.5600000000002</v>
      </c>
      <c r="G49" s="39">
        <f t="shared" si="8"/>
        <v>10781.56</v>
      </c>
      <c r="H49" s="222">
        <f t="shared" si="9"/>
        <v>-0.11033282753145186</v>
      </c>
      <c r="I49" s="39"/>
      <c r="J49" s="39"/>
      <c r="K49" s="39"/>
      <c r="L49" s="39"/>
      <c r="Q49" s="2"/>
      <c r="Z49" s="712" t="s">
        <v>697</v>
      </c>
      <c r="AA49" s="714">
        <v>20</v>
      </c>
      <c r="AB49" s="712" t="s">
        <v>731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A50">
        <v>100</v>
      </c>
      <c r="B50" s="184">
        <v>42862</v>
      </c>
      <c r="C50" s="10">
        <v>400</v>
      </c>
      <c r="D50" s="39">
        <v>26.953900000000001</v>
      </c>
      <c r="E50" s="39">
        <v>23.45</v>
      </c>
      <c r="F50" s="39">
        <f t="shared" si="7"/>
        <v>-1401.5600000000006</v>
      </c>
      <c r="G50" s="39">
        <f t="shared" si="8"/>
        <v>10781.56</v>
      </c>
      <c r="H50" s="222">
        <f t="shared" si="9"/>
        <v>-0.12999603025907203</v>
      </c>
      <c r="I50" s="39"/>
      <c r="J50" s="39"/>
      <c r="K50" s="39">
        <v>50</v>
      </c>
      <c r="L50" s="39"/>
      <c r="Q50" s="2"/>
      <c r="Z50" s="712" t="s">
        <v>704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>
        <v>200</v>
      </c>
      <c r="B51" s="184">
        <v>42867</v>
      </c>
      <c r="C51" s="10">
        <v>600</v>
      </c>
      <c r="D51" s="39">
        <v>25.63</v>
      </c>
      <c r="E51" s="39">
        <v>22.91</v>
      </c>
      <c r="F51" s="39">
        <f t="shared" si="7"/>
        <v>-1631.9999999999993</v>
      </c>
      <c r="G51" s="39">
        <f t="shared" si="8"/>
        <v>15378</v>
      </c>
      <c r="H51" s="222">
        <f t="shared" si="9"/>
        <v>-0.10612563402262969</v>
      </c>
      <c r="I51" s="39"/>
      <c r="J51" s="39"/>
      <c r="K51" s="39">
        <v>-179</v>
      </c>
      <c r="L51" s="39"/>
      <c r="Q51" s="2"/>
      <c r="Z51" s="712" t="s">
        <v>727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B52" s="184">
        <v>42898</v>
      </c>
      <c r="C52" s="10">
        <v>400</v>
      </c>
      <c r="D52" s="39">
        <v>26.354199999999999</v>
      </c>
      <c r="E52" s="39">
        <v>23.55</v>
      </c>
      <c r="F52" s="39">
        <f t="shared" si="7"/>
        <v>-1121.6799999999992</v>
      </c>
      <c r="G52" s="39">
        <f t="shared" si="8"/>
        <v>10541.68</v>
      </c>
      <c r="H52" s="222">
        <f t="shared" si="9"/>
        <v>-0.1064042922949662</v>
      </c>
      <c r="I52" s="39"/>
      <c r="J52" s="39"/>
      <c r="K52" s="39">
        <v>331</v>
      </c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400</v>
      </c>
      <c r="B53" s="184">
        <v>42900</v>
      </c>
      <c r="C53" s="10">
        <v>600</v>
      </c>
      <c r="D53" s="39">
        <v>25.296099999999999</v>
      </c>
      <c r="E53" s="39">
        <v>22.74</v>
      </c>
      <c r="F53" s="39">
        <f t="shared" si="7"/>
        <v>-1533.6600000000003</v>
      </c>
      <c r="G53" s="39">
        <f t="shared" si="8"/>
        <v>15177.66</v>
      </c>
      <c r="H53" s="222">
        <f t="shared" si="9"/>
        <v>-0.10104719699874687</v>
      </c>
      <c r="I53" s="39"/>
      <c r="J53" s="39"/>
      <c r="K53" s="39">
        <v>-81.41</v>
      </c>
      <c r="L53" s="39"/>
      <c r="Q53" s="2"/>
      <c r="Z53" s="712" t="s">
        <v>725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A54">
        <v>400</v>
      </c>
      <c r="B54" s="184">
        <v>42904</v>
      </c>
      <c r="C54" s="10">
        <v>600</v>
      </c>
      <c r="D54" s="39">
        <v>25.146100000000001</v>
      </c>
      <c r="E54" s="39">
        <v>22.71</v>
      </c>
      <c r="F54" s="39">
        <f t="shared" si="7"/>
        <v>-1461.6599999999999</v>
      </c>
      <c r="G54" s="39">
        <f t="shared" si="8"/>
        <v>15087.66</v>
      </c>
      <c r="H54" s="222">
        <f t="shared" si="9"/>
        <v>-9.6877845868743054E-2</v>
      </c>
      <c r="I54" s="39"/>
      <c r="J54" s="39"/>
      <c r="K54" s="39">
        <v>-9.41</v>
      </c>
      <c r="L54" s="39"/>
      <c r="Z54" s="712" t="s">
        <v>728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A55">
        <v>200</v>
      </c>
      <c r="B55" s="184">
        <v>42926</v>
      </c>
      <c r="C55" s="10">
        <v>400</v>
      </c>
      <c r="D55" s="39">
        <v>25.644500000000001</v>
      </c>
      <c r="E55" s="39">
        <v>24.11</v>
      </c>
      <c r="F55" s="39">
        <f t="shared" si="7"/>
        <v>-613.80000000000052</v>
      </c>
      <c r="G55" s="39">
        <f t="shared" si="8"/>
        <v>10257.800000000001</v>
      </c>
      <c r="H55" s="222">
        <f t="shared" si="9"/>
        <v>-5.9837392033379525E-2</v>
      </c>
      <c r="I55" s="39"/>
      <c r="J55" s="39"/>
      <c r="K55" s="39">
        <v>836</v>
      </c>
      <c r="L55" s="39"/>
      <c r="Z55" s="712" t="s">
        <v>729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B56" s="184">
        <v>42940</v>
      </c>
      <c r="C56" s="10">
        <v>600</v>
      </c>
      <c r="D56" s="39">
        <v>24.86</v>
      </c>
      <c r="E56" s="39">
        <v>24.22</v>
      </c>
      <c r="F56" s="39">
        <f t="shared" si="7"/>
        <v>-384.00000000000034</v>
      </c>
      <c r="G56" s="39">
        <f t="shared" si="8"/>
        <v>14916</v>
      </c>
      <c r="H56" s="222">
        <f t="shared" si="9"/>
        <v>-2.5744167337087714E-2</v>
      </c>
      <c r="I56" s="39"/>
      <c r="J56" s="39"/>
      <c r="K56" s="39">
        <v>1066</v>
      </c>
      <c r="L56" s="39"/>
      <c r="Z56" s="722" t="s">
        <v>730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A57">
        <v>200</v>
      </c>
      <c r="B57" s="184">
        <v>42941</v>
      </c>
      <c r="C57" s="7">
        <v>400</v>
      </c>
      <c r="D57" s="43">
        <v>24.794799999999999</v>
      </c>
      <c r="E57" s="39">
        <v>24.22</v>
      </c>
      <c r="F57" s="39">
        <f t="shared" si="7"/>
        <v>-229.9199999999999</v>
      </c>
      <c r="G57" s="39">
        <f t="shared" si="8"/>
        <v>9917.92</v>
      </c>
      <c r="H57" s="222">
        <f t="shared" si="9"/>
        <v>-2.3182280155516471E-2</v>
      </c>
      <c r="I57" s="39">
        <v>23</v>
      </c>
      <c r="J57" s="39"/>
      <c r="K57" s="39">
        <v>1222</v>
      </c>
      <c r="L57" s="39"/>
      <c r="Z57" s="718" t="s">
        <v>723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200</v>
      </c>
      <c r="B58" s="184">
        <v>42942</v>
      </c>
      <c r="C58" s="10">
        <v>600</v>
      </c>
      <c r="D58" s="39">
        <v>24.623000000000001</v>
      </c>
      <c r="E58" s="39">
        <v>23.6</v>
      </c>
      <c r="F58" s="39">
        <f t="shared" si="7"/>
        <v>-613.79999999999984</v>
      </c>
      <c r="G58" s="39">
        <f t="shared" si="8"/>
        <v>14773.800000000001</v>
      </c>
      <c r="H58" s="222">
        <f t="shared" si="9"/>
        <v>-4.1546521544897033E-2</v>
      </c>
      <c r="I58" s="39"/>
      <c r="J58" s="39"/>
      <c r="K58" s="39">
        <v>838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B59" s="184">
        <v>42948</v>
      </c>
      <c r="C59" s="10">
        <v>800</v>
      </c>
      <c r="D59" s="39">
        <v>24.087399999999999</v>
      </c>
      <c r="E59" s="39">
        <v>22.75</v>
      </c>
      <c r="F59" s="39">
        <f t="shared" si="7"/>
        <v>-1069.9199999999992</v>
      </c>
      <c r="G59" s="39">
        <f t="shared" si="8"/>
        <v>19269.919999999998</v>
      </c>
      <c r="H59" s="222">
        <f t="shared" si="9"/>
        <v>-5.5522804453780765E-2</v>
      </c>
      <c r="I59" s="39"/>
      <c r="J59" s="39"/>
      <c r="K59" s="39">
        <v>430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A60">
        <v>800</v>
      </c>
      <c r="B60" s="184">
        <v>42983</v>
      </c>
      <c r="C60" s="10">
        <v>900</v>
      </c>
      <c r="D60" s="39">
        <v>23.59</v>
      </c>
      <c r="E60" s="39">
        <v>19.46</v>
      </c>
      <c r="F60" s="39">
        <f t="shared" ref="F60:F71" si="10">C60*(E60-D60)</f>
        <v>-3716.9999999999991</v>
      </c>
      <c r="G60" s="39">
        <f t="shared" ref="G60:G71" si="11">D60*C60</f>
        <v>21231</v>
      </c>
      <c r="H60" s="222">
        <f t="shared" ref="H60:H71" si="12">(E60-D60)/D60</f>
        <v>-0.17507418397626109</v>
      </c>
      <c r="I60" s="39"/>
      <c r="J60" s="39"/>
      <c r="K60" s="39">
        <v>-2264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A61">
        <v>700</v>
      </c>
      <c r="B61" s="184">
        <v>42984</v>
      </c>
      <c r="C61" s="425">
        <v>800</v>
      </c>
      <c r="D61" s="426">
        <v>24.0657</v>
      </c>
      <c r="E61" s="39">
        <v>19.78</v>
      </c>
      <c r="F61" s="39">
        <f t="shared" si="10"/>
        <v>-3428.5599999999986</v>
      </c>
      <c r="G61" s="39">
        <f t="shared" si="11"/>
        <v>19252.560000000001</v>
      </c>
      <c r="H61" s="222">
        <f t="shared" si="12"/>
        <v>-0.17808333021686459</v>
      </c>
      <c r="I61" s="39">
        <v>23.5</v>
      </c>
      <c r="J61" s="39"/>
      <c r="K61" s="39">
        <v>-2128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A62">
        <v>700</v>
      </c>
      <c r="B62" s="184">
        <v>42996</v>
      </c>
      <c r="C62" s="10">
        <v>800</v>
      </c>
      <c r="D62" s="39">
        <v>24.0657</v>
      </c>
      <c r="E62" s="39">
        <v>21.31</v>
      </c>
      <c r="F62" s="39">
        <f t="shared" si="10"/>
        <v>-2204.5600000000009</v>
      </c>
      <c r="G62" s="39">
        <f t="shared" si="11"/>
        <v>19252.560000000001</v>
      </c>
      <c r="H62" s="222">
        <f t="shared" si="12"/>
        <v>-0.11450736940957466</v>
      </c>
      <c r="I62" s="39">
        <v>23.5</v>
      </c>
      <c r="J62" s="39"/>
      <c r="K62" s="39">
        <v>-752</v>
      </c>
      <c r="L62" s="39"/>
      <c r="Z62" s="713" t="s">
        <v>721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700</v>
      </c>
      <c r="B63" s="184">
        <v>42999</v>
      </c>
      <c r="C63" s="425">
        <v>800</v>
      </c>
      <c r="D63" s="426">
        <v>23.896999999999998</v>
      </c>
      <c r="E63" s="39">
        <v>21.59</v>
      </c>
      <c r="F63" s="39">
        <f t="shared" si="10"/>
        <v>-1845.599999999999</v>
      </c>
      <c r="G63" s="39">
        <f t="shared" si="11"/>
        <v>19117.599999999999</v>
      </c>
      <c r="H63" s="222">
        <f t="shared" si="12"/>
        <v>-9.6539314558312703E-2</v>
      </c>
      <c r="I63" s="39">
        <v>23.5</v>
      </c>
      <c r="J63" s="39"/>
      <c r="K63" s="39">
        <v>-393</v>
      </c>
      <c r="L63" s="39"/>
      <c r="Z63" s="713" t="s">
        <v>719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B64" s="184">
        <v>43023</v>
      </c>
      <c r="C64" s="10">
        <v>800</v>
      </c>
      <c r="D64" s="39">
        <v>23.9</v>
      </c>
      <c r="E64" s="39">
        <v>21.78</v>
      </c>
      <c r="F64" s="39">
        <f t="shared" si="10"/>
        <v>-1695.999999999998</v>
      </c>
      <c r="G64" s="39">
        <f t="shared" si="11"/>
        <v>19120</v>
      </c>
      <c r="H64" s="222">
        <f t="shared" si="12"/>
        <v>-8.8702928870292783E-2</v>
      </c>
      <c r="I64" s="39"/>
      <c r="J64" s="39">
        <v>61</v>
      </c>
      <c r="K64" s="39">
        <v>-241</v>
      </c>
      <c r="L64" s="39"/>
      <c r="Z64" s="713" t="s">
        <v>718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800</v>
      </c>
      <c r="B65" s="184">
        <v>43031</v>
      </c>
      <c r="C65" s="10">
        <v>800</v>
      </c>
      <c r="D65" s="39">
        <v>23.9</v>
      </c>
      <c r="E65" s="39">
        <v>21.03</v>
      </c>
      <c r="F65" s="39">
        <f t="shared" si="10"/>
        <v>-2295.9999999999982</v>
      </c>
      <c r="G65" s="39">
        <f t="shared" si="11"/>
        <v>19120</v>
      </c>
      <c r="H65" s="222">
        <f t="shared" si="12"/>
        <v>-0.1200836820083681</v>
      </c>
      <c r="I65" s="39"/>
      <c r="J65" s="39"/>
      <c r="K65" s="39">
        <v>-841</v>
      </c>
      <c r="L65" s="39"/>
      <c r="Z65" s="713" t="s">
        <v>917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800</v>
      </c>
      <c r="B66" s="184">
        <v>43050</v>
      </c>
      <c r="C66" s="10">
        <v>800</v>
      </c>
      <c r="D66" s="39">
        <v>23.9</v>
      </c>
      <c r="E66" s="39">
        <v>22.84</v>
      </c>
      <c r="F66" s="39">
        <f t="shared" si="10"/>
        <v>-847.99999999999898</v>
      </c>
      <c r="G66" s="39">
        <f t="shared" si="11"/>
        <v>19120</v>
      </c>
      <c r="H66" s="222">
        <f t="shared" si="12"/>
        <v>-4.4351464435146391E-2</v>
      </c>
      <c r="I66" s="39"/>
      <c r="J66" s="39">
        <v>60.22</v>
      </c>
      <c r="K66" s="39">
        <v>607</v>
      </c>
      <c r="L66" s="39"/>
      <c r="Z66" s="713" t="s">
        <v>720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A67">
        <v>500</v>
      </c>
      <c r="B67" s="184">
        <v>43068</v>
      </c>
      <c r="C67" s="10">
        <v>500</v>
      </c>
      <c r="D67" s="39">
        <v>23.4815</v>
      </c>
      <c r="E67" s="39">
        <v>24.39</v>
      </c>
      <c r="F67" s="39">
        <f t="shared" si="10"/>
        <v>454.25000000000006</v>
      </c>
      <c r="G67" s="39">
        <f t="shared" si="11"/>
        <v>11740.75</v>
      </c>
      <c r="H67" s="222">
        <f t="shared" si="12"/>
        <v>3.8690032578838664E-2</v>
      </c>
      <c r="I67" s="39"/>
      <c r="J67" s="39"/>
      <c r="K67" s="39">
        <v>1907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500</v>
      </c>
      <c r="B68" s="184">
        <v>43081</v>
      </c>
      <c r="C68" s="10">
        <v>500</v>
      </c>
      <c r="D68" s="39">
        <v>23.4815</v>
      </c>
      <c r="E68" s="39">
        <v>24.82</v>
      </c>
      <c r="F68" s="39">
        <f t="shared" si="10"/>
        <v>669.24999999999989</v>
      </c>
      <c r="G68" s="39">
        <f t="shared" si="11"/>
        <v>11740.75</v>
      </c>
      <c r="H68" s="222">
        <f t="shared" si="12"/>
        <v>5.7002320976087546E-2</v>
      </c>
      <c r="I68" s="39"/>
      <c r="J68" s="39"/>
      <c r="K68" s="39">
        <v>2121</v>
      </c>
      <c r="L68" s="39"/>
      <c r="Z68" s="713" t="s">
        <v>722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A69">
        <v>450</v>
      </c>
      <c r="B69" s="184">
        <v>43090</v>
      </c>
      <c r="C69" s="10">
        <v>450</v>
      </c>
      <c r="D69" s="39">
        <v>23.29</v>
      </c>
      <c r="E69" s="39">
        <v>25.23</v>
      </c>
      <c r="F69" s="39">
        <f t="shared" si="10"/>
        <v>873.00000000000057</v>
      </c>
      <c r="G69" s="39">
        <f t="shared" si="11"/>
        <v>10480.5</v>
      </c>
      <c r="H69" s="222">
        <f t="shared" si="12"/>
        <v>8.3297552597681471E-2</v>
      </c>
      <c r="I69" s="39"/>
      <c r="J69" s="39">
        <v>68</v>
      </c>
      <c r="K69" s="39">
        <v>2324</v>
      </c>
      <c r="L69" s="39"/>
      <c r="Z69" s="713" t="s">
        <v>1046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A70">
        <v>400</v>
      </c>
      <c r="B70" s="184">
        <v>43102</v>
      </c>
      <c r="C70" s="7">
        <v>400</v>
      </c>
      <c r="D70" s="43">
        <v>22.85</v>
      </c>
      <c r="E70" s="39">
        <v>26.65</v>
      </c>
      <c r="F70" s="39">
        <f t="shared" si="10"/>
        <v>1519.9999999999989</v>
      </c>
      <c r="G70" s="39">
        <f t="shared" si="11"/>
        <v>9140</v>
      </c>
      <c r="H70" s="222">
        <f t="shared" si="12"/>
        <v>0.16630196936542657</v>
      </c>
      <c r="I70" s="746" t="s">
        <v>808</v>
      </c>
      <c r="J70" s="39"/>
      <c r="K70" s="39">
        <v>2972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400</v>
      </c>
      <c r="B71" s="184">
        <v>43110</v>
      </c>
      <c r="C71" s="10">
        <v>400</v>
      </c>
      <c r="D71" s="39">
        <v>22.8508</v>
      </c>
      <c r="E71" s="39">
        <v>25.91</v>
      </c>
      <c r="F71" s="39">
        <f t="shared" si="10"/>
        <v>1223.6800000000003</v>
      </c>
      <c r="G71" s="39">
        <f t="shared" si="11"/>
        <v>9140.32</v>
      </c>
      <c r="H71" s="222">
        <f t="shared" si="12"/>
        <v>0.13387715090937738</v>
      </c>
      <c r="I71" s="39"/>
      <c r="J71" s="39"/>
      <c r="K71" s="39">
        <v>2676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B72" s="184">
        <v>43112</v>
      </c>
      <c r="C72" s="10">
        <v>400</v>
      </c>
      <c r="D72" s="39">
        <v>22.8508</v>
      </c>
      <c r="E72" s="39">
        <v>27.22</v>
      </c>
      <c r="F72" s="39">
        <f t="shared" ref="F72:F84" si="13">C72*(E72-D72)</f>
        <v>1747.6799999999998</v>
      </c>
      <c r="G72" s="39">
        <f t="shared" ref="G72:G84" si="14">D72*C72</f>
        <v>9140.32</v>
      </c>
      <c r="H72" s="222">
        <f t="shared" ref="H72:H84" si="15">(E72-D72)/D72</f>
        <v>0.1912055595427731</v>
      </c>
      <c r="I72" s="39"/>
      <c r="J72" s="39"/>
      <c r="K72" s="39">
        <v>3120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400</v>
      </c>
      <c r="B73" s="184">
        <v>43116</v>
      </c>
      <c r="C73" s="10">
        <v>450</v>
      </c>
      <c r="D73" s="39">
        <v>23.176200000000001</v>
      </c>
      <c r="E73" s="39">
        <v>25.68</v>
      </c>
      <c r="F73" s="39">
        <f t="shared" si="13"/>
        <v>1126.7099999999991</v>
      </c>
      <c r="G73" s="39">
        <f t="shared" si="14"/>
        <v>10429.290000000001</v>
      </c>
      <c r="H73" s="222">
        <f t="shared" si="15"/>
        <v>0.10803324099722983</v>
      </c>
      <c r="I73" s="39"/>
      <c r="J73" s="39"/>
      <c r="K73" s="39">
        <v>2579</v>
      </c>
      <c r="L73" s="39"/>
      <c r="AA73" s="107"/>
    </row>
    <row r="74" spans="1:33" x14ac:dyDescent="0.25">
      <c r="A74">
        <v>350</v>
      </c>
      <c r="B74" s="184">
        <v>43118</v>
      </c>
      <c r="C74" s="7">
        <v>400</v>
      </c>
      <c r="D74" s="43">
        <v>22.763300000000001</v>
      </c>
      <c r="E74" s="39">
        <v>26.22</v>
      </c>
      <c r="F74" s="39">
        <f t="shared" si="13"/>
        <v>1382.6799999999992</v>
      </c>
      <c r="G74" s="39">
        <f t="shared" si="14"/>
        <v>9105.32</v>
      </c>
      <c r="H74" s="222">
        <f t="shared" si="15"/>
        <v>0.15185408091093988</v>
      </c>
      <c r="I74" s="39">
        <v>22.5</v>
      </c>
      <c r="J74" s="39"/>
      <c r="K74" s="39">
        <v>2835</v>
      </c>
      <c r="L74" s="39"/>
      <c r="AA74" s="4"/>
    </row>
    <row r="75" spans="1:33" x14ac:dyDescent="0.25">
      <c r="A75">
        <v>350</v>
      </c>
      <c r="B75" s="184">
        <v>43121</v>
      </c>
      <c r="C75" s="10">
        <v>400</v>
      </c>
      <c r="D75" s="39">
        <v>22.76</v>
      </c>
      <c r="E75" s="39">
        <v>26.53</v>
      </c>
      <c r="F75" s="39">
        <f t="shared" si="13"/>
        <v>1507.9999999999998</v>
      </c>
      <c r="G75" s="39">
        <f t="shared" si="14"/>
        <v>9104</v>
      </c>
      <c r="H75" s="222">
        <f t="shared" si="15"/>
        <v>0.16564147627416517</v>
      </c>
      <c r="I75" s="39"/>
      <c r="J75" s="39">
        <v>58.41</v>
      </c>
      <c r="K75" s="39">
        <v>2959</v>
      </c>
      <c r="L75" s="39"/>
    </row>
    <row r="76" spans="1:33" x14ac:dyDescent="0.25">
      <c r="A76">
        <v>250</v>
      </c>
      <c r="B76" s="184">
        <v>43126</v>
      </c>
      <c r="C76" s="10">
        <v>300</v>
      </c>
      <c r="D76" s="39">
        <v>21.144600000000001</v>
      </c>
      <c r="E76" s="39">
        <v>27.6</v>
      </c>
      <c r="F76" s="39">
        <f t="shared" si="13"/>
        <v>1936.6200000000003</v>
      </c>
      <c r="G76" s="39">
        <f t="shared" si="14"/>
        <v>6343.38</v>
      </c>
      <c r="H76" s="222">
        <f t="shared" si="15"/>
        <v>0.30529780653216426</v>
      </c>
      <c r="I76" s="39"/>
      <c r="J76" s="39"/>
      <c r="K76" s="39">
        <v>3389</v>
      </c>
      <c r="L76" s="39"/>
    </row>
    <row r="77" spans="1:33" x14ac:dyDescent="0.25">
      <c r="A77">
        <v>250</v>
      </c>
      <c r="B77" s="184">
        <v>43131</v>
      </c>
      <c r="C77" s="10">
        <v>400</v>
      </c>
      <c r="D77" s="39">
        <v>22.578499999999998</v>
      </c>
      <c r="E77" s="39">
        <v>27.3</v>
      </c>
      <c r="F77" s="39">
        <f t="shared" si="13"/>
        <v>1888.600000000001</v>
      </c>
      <c r="G77" s="39">
        <f t="shared" si="14"/>
        <v>9031.4</v>
      </c>
      <c r="H77" s="222">
        <f t="shared" si="15"/>
        <v>0.20911486591226178</v>
      </c>
      <c r="I77" s="39"/>
      <c r="J77" s="39"/>
      <c r="K77" s="39">
        <v>3341</v>
      </c>
      <c r="L77" s="39"/>
    </row>
    <row r="78" spans="1:33" x14ac:dyDescent="0.25">
      <c r="A78">
        <v>250</v>
      </c>
      <c r="B78" s="184">
        <v>43133</v>
      </c>
      <c r="C78" s="10">
        <v>600</v>
      </c>
      <c r="D78" s="39">
        <v>23.68</v>
      </c>
      <c r="E78" s="39">
        <v>26.04</v>
      </c>
      <c r="F78" s="39">
        <f t="shared" si="13"/>
        <v>1415.9999999999995</v>
      </c>
      <c r="G78" s="39">
        <f t="shared" si="14"/>
        <v>14208</v>
      </c>
      <c r="H78" s="222">
        <f t="shared" si="15"/>
        <v>9.9662162162162143E-2</v>
      </c>
      <c r="I78" s="39"/>
      <c r="J78" s="39"/>
      <c r="K78" s="39">
        <v>2869</v>
      </c>
      <c r="L78" s="39"/>
    </row>
    <row r="79" spans="1:33" x14ac:dyDescent="0.25">
      <c r="B79" s="184">
        <v>43140</v>
      </c>
      <c r="C79" s="425">
        <v>800</v>
      </c>
      <c r="D79" s="426">
        <v>23.654199999999999</v>
      </c>
      <c r="E79" s="39">
        <v>24.35</v>
      </c>
      <c r="F79" s="39">
        <f t="shared" si="13"/>
        <v>556.64000000000158</v>
      </c>
      <c r="G79" s="39">
        <f t="shared" si="14"/>
        <v>18923.36</v>
      </c>
      <c r="H79" s="222">
        <f t="shared" si="15"/>
        <v>2.9415494922677664E-2</v>
      </c>
      <c r="I79" s="39"/>
      <c r="J79" s="39"/>
      <c r="K79" s="39">
        <v>2032</v>
      </c>
      <c r="L79" s="39"/>
    </row>
    <row r="80" spans="1:33" x14ac:dyDescent="0.25">
      <c r="A80">
        <v>50</v>
      </c>
      <c r="B80" s="184">
        <v>43140</v>
      </c>
      <c r="C80" s="10">
        <v>600</v>
      </c>
      <c r="D80" s="39">
        <v>23.379200000000001</v>
      </c>
      <c r="E80" s="39">
        <v>24.35</v>
      </c>
      <c r="F80" s="39">
        <f t="shared" si="13"/>
        <v>582.48000000000036</v>
      </c>
      <c r="G80" s="39">
        <f t="shared" si="14"/>
        <v>14027.52</v>
      </c>
      <c r="H80" s="222">
        <f t="shared" si="15"/>
        <v>4.1524089789214368E-2</v>
      </c>
      <c r="I80" s="39"/>
      <c r="J80" s="39"/>
      <c r="K80" s="39">
        <v>2035</v>
      </c>
      <c r="L80" s="39"/>
    </row>
    <row r="81" spans="1:12" x14ac:dyDescent="0.25">
      <c r="A81">
        <v>50</v>
      </c>
      <c r="B81" s="184">
        <v>43146</v>
      </c>
      <c r="C81" s="10">
        <v>600</v>
      </c>
      <c r="D81" s="39">
        <v>23.38</v>
      </c>
      <c r="E81" s="39">
        <v>25.86</v>
      </c>
      <c r="F81" s="39">
        <f t="shared" si="13"/>
        <v>1488.0000000000002</v>
      </c>
      <c r="G81" s="39">
        <f t="shared" si="14"/>
        <v>14028</v>
      </c>
      <c r="H81" s="222">
        <f t="shared" si="15"/>
        <v>0.10607356715141149</v>
      </c>
      <c r="I81" s="39"/>
      <c r="J81" s="39"/>
      <c r="K81" s="39">
        <v>2941</v>
      </c>
      <c r="L81" s="39"/>
    </row>
    <row r="82" spans="1:12" x14ac:dyDescent="0.25">
      <c r="A82">
        <v>0</v>
      </c>
      <c r="B82" s="184">
        <v>43151</v>
      </c>
      <c r="C82" s="10">
        <v>500</v>
      </c>
      <c r="D82" s="39">
        <v>22.82</v>
      </c>
      <c r="E82" s="39">
        <v>26.19</v>
      </c>
      <c r="F82" s="39">
        <f t="shared" si="13"/>
        <v>1685.0000000000005</v>
      </c>
      <c r="G82" s="39">
        <f t="shared" si="14"/>
        <v>11410</v>
      </c>
      <c r="H82" s="222">
        <f t="shared" si="15"/>
        <v>0.14767747589833483</v>
      </c>
      <c r="I82" s="39"/>
      <c r="J82" s="39"/>
      <c r="K82" s="39">
        <v>3139</v>
      </c>
      <c r="L82" s="39"/>
    </row>
    <row r="83" spans="1:12" x14ac:dyDescent="0.25">
      <c r="A83">
        <v>0</v>
      </c>
      <c r="B83" s="184">
        <v>43151</v>
      </c>
      <c r="C83" s="7">
        <v>400</v>
      </c>
      <c r="D83" s="43">
        <v>21.81</v>
      </c>
      <c r="E83" s="39">
        <v>26.76</v>
      </c>
      <c r="F83" s="39">
        <f t="shared" si="13"/>
        <v>1980.0000000000011</v>
      </c>
      <c r="G83" s="39">
        <f t="shared" si="14"/>
        <v>8724</v>
      </c>
      <c r="H83" s="222">
        <f t="shared" si="15"/>
        <v>0.22696011004126562</v>
      </c>
      <c r="I83" s="746" t="s">
        <v>918</v>
      </c>
      <c r="J83" s="39"/>
      <c r="K83" s="39">
        <v>3433</v>
      </c>
      <c r="L83" s="39"/>
    </row>
    <row r="84" spans="1:12" x14ac:dyDescent="0.25">
      <c r="B84" s="184">
        <v>43157</v>
      </c>
      <c r="C84" s="10">
        <v>400</v>
      </c>
      <c r="D84" s="39">
        <v>21.81</v>
      </c>
      <c r="E84" s="39">
        <v>28.12</v>
      </c>
      <c r="F84" s="39">
        <f t="shared" si="13"/>
        <v>2524.0000000000009</v>
      </c>
      <c r="G84" s="39">
        <f t="shared" si="14"/>
        <v>8724</v>
      </c>
      <c r="H84" s="222">
        <f t="shared" si="15"/>
        <v>0.28931682714351226</v>
      </c>
      <c r="I84" s="39"/>
      <c r="J84" s="39"/>
      <c r="K84" s="39">
        <v>3996</v>
      </c>
      <c r="L84" s="39"/>
    </row>
    <row r="85" spans="1:12" x14ac:dyDescent="0.25">
      <c r="A85" s="1">
        <v>43164</v>
      </c>
      <c r="B85" s="184">
        <v>43158</v>
      </c>
      <c r="C85" s="10">
        <v>400</v>
      </c>
      <c r="D85" s="39">
        <v>21.81</v>
      </c>
      <c r="E85" s="39">
        <v>26.82</v>
      </c>
      <c r="F85" s="39">
        <f>C85*(E85-D85)</f>
        <v>2004.0000000000007</v>
      </c>
      <c r="G85" s="39">
        <f>D85*C85</f>
        <v>8724</v>
      </c>
      <c r="H85" s="222">
        <f>(E85-D85)/D85</f>
        <v>0.22971114167812939</v>
      </c>
      <c r="I85" s="39"/>
      <c r="J85" s="39"/>
      <c r="K85" s="39">
        <v>3457</v>
      </c>
      <c r="L85" s="39"/>
    </row>
    <row r="86" spans="1:12" x14ac:dyDescent="0.25">
      <c r="A86">
        <v>200</v>
      </c>
      <c r="B86" s="184">
        <v>43165</v>
      </c>
      <c r="C86" s="10">
        <v>400</v>
      </c>
      <c r="D86" s="39">
        <v>21.81</v>
      </c>
      <c r="E86" s="39">
        <v>27.74</v>
      </c>
      <c r="F86" s="39">
        <f>C86*(E86-D86)</f>
        <v>2372</v>
      </c>
      <c r="G86" s="39">
        <f>D86*C86</f>
        <v>8724</v>
      </c>
      <c r="H86" s="222">
        <f>(E86-D86)/D86</f>
        <v>0.27189362677670792</v>
      </c>
      <c r="I86" s="39"/>
      <c r="J86" s="39"/>
      <c r="K86" s="39">
        <v>3825</v>
      </c>
      <c r="L86" s="39"/>
    </row>
    <row r="87" spans="1:12" x14ac:dyDescent="0.25">
      <c r="A87">
        <v>400</v>
      </c>
      <c r="B87" s="184">
        <v>43178</v>
      </c>
      <c r="C87" s="10">
        <v>600</v>
      </c>
      <c r="D87" s="39">
        <v>22.95</v>
      </c>
      <c r="E87" s="39">
        <v>25.59</v>
      </c>
      <c r="F87" s="39">
        <f>C87*(E87-D87)</f>
        <v>1584.0000000000005</v>
      </c>
      <c r="G87" s="39">
        <f>D87*C87</f>
        <v>13770</v>
      </c>
      <c r="H87" s="222">
        <f>(E87-D87)/D87</f>
        <v>0.11503267973856211</v>
      </c>
      <c r="I87" s="39">
        <v>22.5</v>
      </c>
      <c r="J87" s="39"/>
      <c r="K87" s="39">
        <v>2851</v>
      </c>
      <c r="L87" s="39"/>
    </row>
    <row r="88" spans="1:12" x14ac:dyDescent="0.25">
      <c r="A88">
        <v>400</v>
      </c>
      <c r="B88" s="184">
        <v>43185</v>
      </c>
      <c r="C88" s="10">
        <v>600</v>
      </c>
      <c r="D88" s="39">
        <v>22.95</v>
      </c>
      <c r="E88" s="39">
        <v>24.65</v>
      </c>
      <c r="F88" s="39">
        <f t="shared" ref="F88:F95" si="16">C88*(E88-D88)</f>
        <v>1019.9999999999995</v>
      </c>
      <c r="G88" s="39">
        <f t="shared" ref="G88:G95" si="17">D88*C88</f>
        <v>13770</v>
      </c>
      <c r="H88" s="222">
        <f t="shared" ref="H88:H95" si="18">(E88-D88)/D88</f>
        <v>7.4074074074074042E-2</v>
      </c>
      <c r="I88" s="39"/>
      <c r="J88" s="39"/>
      <c r="K88" s="39">
        <v>2474</v>
      </c>
      <c r="L88" s="39"/>
    </row>
    <row r="89" spans="1:12" x14ac:dyDescent="0.25">
      <c r="A89">
        <v>400</v>
      </c>
      <c r="B89" s="184">
        <v>43187</v>
      </c>
      <c r="C89" s="425">
        <v>800</v>
      </c>
      <c r="D89" s="426">
        <v>23.1145</v>
      </c>
      <c r="E89" s="39">
        <v>23.57</v>
      </c>
      <c r="F89" s="39">
        <f t="shared" si="16"/>
        <v>364.40000000000055</v>
      </c>
      <c r="G89" s="39">
        <f t="shared" si="17"/>
        <v>18491.599999999999</v>
      </c>
      <c r="H89" s="222">
        <f t="shared" si="18"/>
        <v>1.9706244997728727E-2</v>
      </c>
      <c r="I89" s="746" t="s">
        <v>944</v>
      </c>
      <c r="J89" s="39"/>
      <c r="K89" s="39">
        <v>1817</v>
      </c>
      <c r="L89" s="39"/>
    </row>
    <row r="90" spans="1:12" x14ac:dyDescent="0.25">
      <c r="A90">
        <v>200</v>
      </c>
      <c r="B90" s="184">
        <v>43188</v>
      </c>
      <c r="C90" s="10">
        <v>600</v>
      </c>
      <c r="D90" s="39">
        <v>22.732900000000001</v>
      </c>
      <c r="E90" s="39">
        <v>24.28</v>
      </c>
      <c r="F90" s="39">
        <f t="shared" si="16"/>
        <v>928.26000000000022</v>
      </c>
      <c r="G90" s="39">
        <f t="shared" si="17"/>
        <v>13639.74</v>
      </c>
      <c r="H90" s="222">
        <f t="shared" si="18"/>
        <v>6.8055549445957195E-2</v>
      </c>
      <c r="I90" s="39">
        <v>22.5</v>
      </c>
      <c r="J90" s="39"/>
      <c r="K90" s="39">
        <v>2380</v>
      </c>
      <c r="L90" s="39"/>
    </row>
    <row r="91" spans="1:12" x14ac:dyDescent="0.25">
      <c r="A91">
        <v>200</v>
      </c>
      <c r="B91" s="184">
        <v>43192</v>
      </c>
      <c r="C91" s="425">
        <v>800</v>
      </c>
      <c r="D91" s="426">
        <v>22.97</v>
      </c>
      <c r="E91" s="39">
        <v>23.67</v>
      </c>
      <c r="F91" s="39">
        <f t="shared" si="16"/>
        <v>560.00000000000227</v>
      </c>
      <c r="G91" s="39">
        <f t="shared" si="17"/>
        <v>18376</v>
      </c>
      <c r="H91" s="222">
        <f t="shared" si="18"/>
        <v>3.0474531998258725E-2</v>
      </c>
      <c r="I91" s="39"/>
      <c r="J91" s="39"/>
      <c r="K91" s="39">
        <v>2012</v>
      </c>
      <c r="L91" s="39"/>
    </row>
    <row r="92" spans="1:12" x14ac:dyDescent="0.25">
      <c r="A92">
        <v>0</v>
      </c>
      <c r="B92" s="184">
        <v>43195</v>
      </c>
      <c r="C92" s="10">
        <v>600</v>
      </c>
      <c r="D92" s="39">
        <v>22.21</v>
      </c>
      <c r="E92" s="39">
        <v>25.19</v>
      </c>
      <c r="F92" s="39">
        <f t="shared" si="16"/>
        <v>1788.0000000000002</v>
      </c>
      <c r="G92" s="39">
        <f t="shared" si="17"/>
        <v>13326</v>
      </c>
      <c r="H92" s="222">
        <f t="shared" si="18"/>
        <v>0.13417379558757317</v>
      </c>
      <c r="I92" s="746" t="s">
        <v>946</v>
      </c>
      <c r="J92" s="39"/>
      <c r="K92" s="39">
        <v>3240</v>
      </c>
      <c r="L92" s="39"/>
    </row>
    <row r="93" spans="1:12" x14ac:dyDescent="0.25">
      <c r="B93" s="184">
        <v>43196</v>
      </c>
      <c r="C93" s="10">
        <v>700</v>
      </c>
      <c r="D93" s="39">
        <v>22.54</v>
      </c>
      <c r="E93" s="39">
        <v>24.5</v>
      </c>
      <c r="F93" s="39">
        <f t="shared" si="16"/>
        <v>1372.0000000000007</v>
      </c>
      <c r="G93" s="39">
        <f t="shared" si="17"/>
        <v>15778</v>
      </c>
      <c r="H93" s="222">
        <f t="shared" si="18"/>
        <v>8.6956521739130474E-2</v>
      </c>
      <c r="I93" s="39"/>
      <c r="J93" s="39"/>
      <c r="K93" s="39">
        <v>2826</v>
      </c>
      <c r="L93" s="39"/>
    </row>
    <row r="94" spans="1:12" x14ac:dyDescent="0.25">
      <c r="A94">
        <v>0</v>
      </c>
      <c r="B94" s="184">
        <v>43196</v>
      </c>
      <c r="C94" s="425">
        <v>800</v>
      </c>
      <c r="D94" s="426">
        <v>22.725999999999999</v>
      </c>
      <c r="E94" s="39">
        <v>24.05</v>
      </c>
      <c r="F94" s="39">
        <f t="shared" si="16"/>
        <v>1059.2000000000012</v>
      </c>
      <c r="G94" s="39">
        <f t="shared" si="17"/>
        <v>18180.8</v>
      </c>
      <c r="H94" s="222">
        <f t="shared" si="18"/>
        <v>5.8259262518701123E-2</v>
      </c>
      <c r="I94" s="39">
        <v>22.5</v>
      </c>
      <c r="J94" s="39">
        <v>43</v>
      </c>
      <c r="K94" s="39">
        <v>2511</v>
      </c>
      <c r="L94" s="39">
        <v>19.38</v>
      </c>
    </row>
    <row r="95" spans="1:12" x14ac:dyDescent="0.25">
      <c r="A95">
        <v>0</v>
      </c>
      <c r="B95" s="184">
        <v>43200</v>
      </c>
      <c r="C95" s="10">
        <v>600</v>
      </c>
      <c r="D95" s="39">
        <v>21.895</v>
      </c>
      <c r="E95" s="39">
        <v>25.03</v>
      </c>
      <c r="F95" s="39">
        <f t="shared" si="16"/>
        <v>1881.0000000000009</v>
      </c>
      <c r="G95" s="39">
        <f t="shared" si="17"/>
        <v>13137</v>
      </c>
      <c r="H95" s="222">
        <f t="shared" si="18"/>
        <v>0.14318337519981739</v>
      </c>
      <c r="I95" s="39"/>
      <c r="J95" s="39"/>
      <c r="K95" s="39">
        <v>3333</v>
      </c>
      <c r="L95" s="39"/>
    </row>
    <row r="96" spans="1:12" x14ac:dyDescent="0.25">
      <c r="A96">
        <v>0</v>
      </c>
      <c r="B96" s="184">
        <v>43208</v>
      </c>
      <c r="C96" s="10">
        <v>600</v>
      </c>
      <c r="D96" s="39">
        <v>21.895</v>
      </c>
      <c r="E96" s="39">
        <v>26.04</v>
      </c>
      <c r="F96" s="39">
        <f>C96*(E96-D96)</f>
        <v>2486.9999999999995</v>
      </c>
      <c r="G96" s="39">
        <f>D96*C96</f>
        <v>13137</v>
      </c>
      <c r="H96" s="222">
        <f>(E96-D96)/D96</f>
        <v>0.18931262845398492</v>
      </c>
      <c r="I96" s="39"/>
      <c r="J96" s="39"/>
      <c r="K96" s="39">
        <v>3939</v>
      </c>
      <c r="L96" s="39"/>
    </row>
    <row r="97" spans="1:12" x14ac:dyDescent="0.25">
      <c r="A97">
        <v>0</v>
      </c>
      <c r="B97" s="184">
        <v>43216</v>
      </c>
      <c r="C97" s="10">
        <v>600</v>
      </c>
      <c r="D97" s="39">
        <v>21.895</v>
      </c>
      <c r="E97" s="39">
        <v>27.17</v>
      </c>
      <c r="F97" s="39">
        <f t="shared" ref="F97:F105" si="19">C97*(E97-D97)</f>
        <v>3165.0000000000014</v>
      </c>
      <c r="G97" s="39">
        <f t="shared" ref="G97:G105" si="20">D97*C97</f>
        <v>13137</v>
      </c>
      <c r="H97" s="222">
        <f t="shared" ref="H97:H105" si="21">(E97-D97)/D97</f>
        <v>0.24092258506508346</v>
      </c>
      <c r="I97" s="39"/>
      <c r="J97" s="39"/>
      <c r="K97" s="39">
        <v>4617</v>
      </c>
      <c r="L97" s="39"/>
    </row>
    <row r="98" spans="1:12" x14ac:dyDescent="0.25">
      <c r="A98">
        <v>200</v>
      </c>
      <c r="B98" s="184">
        <v>43224</v>
      </c>
      <c r="C98" s="7">
        <v>400</v>
      </c>
      <c r="D98" s="43">
        <v>19.053000000000001</v>
      </c>
      <c r="E98" s="39">
        <v>27.43</v>
      </c>
      <c r="F98" s="39">
        <f t="shared" si="19"/>
        <v>3350.7999999999997</v>
      </c>
      <c r="G98" s="39">
        <f t="shared" si="20"/>
        <v>7621.2000000000007</v>
      </c>
      <c r="H98" s="222">
        <f t="shared" si="21"/>
        <v>0.4396682937070277</v>
      </c>
      <c r="I98" s="746" t="s">
        <v>1040</v>
      </c>
      <c r="J98" s="39"/>
      <c r="K98" s="39">
        <v>4803</v>
      </c>
      <c r="L98" s="39">
        <v>19.68</v>
      </c>
    </row>
    <row r="99" spans="1:12" x14ac:dyDescent="0.25">
      <c r="A99">
        <v>400</v>
      </c>
      <c r="B99" s="184">
        <v>43227</v>
      </c>
      <c r="C99" s="10">
        <v>500</v>
      </c>
      <c r="D99" s="39">
        <v>20.6462</v>
      </c>
      <c r="E99" s="39">
        <v>27.56</v>
      </c>
      <c r="F99" s="39">
        <f t="shared" si="19"/>
        <v>3456.8999999999992</v>
      </c>
      <c r="G99" s="39">
        <f t="shared" si="20"/>
        <v>10323.1</v>
      </c>
      <c r="H99" s="222">
        <f t="shared" si="21"/>
        <v>0.33487033933605209</v>
      </c>
      <c r="I99" s="39"/>
      <c r="J99" s="39"/>
      <c r="K99" s="39">
        <v>4909</v>
      </c>
      <c r="L99" s="39"/>
    </row>
    <row r="100" spans="1:12" x14ac:dyDescent="0.25">
      <c r="A100">
        <v>400</v>
      </c>
      <c r="B100" s="184">
        <v>43228</v>
      </c>
      <c r="C100" s="10">
        <v>600</v>
      </c>
      <c r="D100" s="39">
        <v>21.5518</v>
      </c>
      <c r="E100" s="39">
        <v>26.1</v>
      </c>
      <c r="F100" s="39">
        <f t="shared" si="19"/>
        <v>2728.920000000001</v>
      </c>
      <c r="G100" s="39">
        <f t="shared" si="20"/>
        <v>12931.08</v>
      </c>
      <c r="H100" s="222">
        <f t="shared" si="21"/>
        <v>0.21103573715420529</v>
      </c>
      <c r="I100" s="746" t="s">
        <v>1049</v>
      </c>
      <c r="J100" s="39"/>
      <c r="K100" s="39">
        <v>4181</v>
      </c>
      <c r="L100" s="39"/>
    </row>
    <row r="101" spans="1:12" x14ac:dyDescent="0.25">
      <c r="A101">
        <v>200</v>
      </c>
      <c r="B101" s="184">
        <v>43234</v>
      </c>
      <c r="C101" s="7">
        <v>400</v>
      </c>
      <c r="D101" s="43">
        <v>18.6431</v>
      </c>
      <c r="E101" s="39">
        <v>27.17</v>
      </c>
      <c r="F101" s="39">
        <f t="shared" si="19"/>
        <v>3410.7600000000007</v>
      </c>
      <c r="G101" s="39">
        <f t="shared" si="20"/>
        <v>7457.24</v>
      </c>
      <c r="H101" s="222">
        <f t="shared" si="21"/>
        <v>0.45737565104515887</v>
      </c>
      <c r="I101" s="39">
        <v>18.5</v>
      </c>
      <c r="J101" s="39"/>
      <c r="K101" s="39">
        <v>4863</v>
      </c>
      <c r="L101" s="39"/>
    </row>
    <row r="102" spans="1:12" x14ac:dyDescent="0.25">
      <c r="A102">
        <v>0</v>
      </c>
      <c r="B102" s="184">
        <v>43257</v>
      </c>
      <c r="C102" s="228">
        <v>200</v>
      </c>
      <c r="D102" s="229">
        <v>8.5065000000000008</v>
      </c>
      <c r="E102" s="39">
        <v>29.08</v>
      </c>
      <c r="F102" s="39">
        <f t="shared" si="19"/>
        <v>4114.6999999999989</v>
      </c>
      <c r="G102" s="39">
        <f t="shared" si="20"/>
        <v>1701.3000000000002</v>
      </c>
      <c r="H102" s="222">
        <f t="shared" si="21"/>
        <v>2.418562275906659</v>
      </c>
      <c r="I102" s="39"/>
      <c r="J102" s="39"/>
      <c r="K102" s="39">
        <v>5567</v>
      </c>
      <c r="L102" s="39"/>
    </row>
    <row r="103" spans="1:12" x14ac:dyDescent="0.25">
      <c r="A103">
        <v>200</v>
      </c>
      <c r="B103" s="184">
        <v>43270</v>
      </c>
      <c r="C103" s="7">
        <v>400</v>
      </c>
      <c r="D103" s="43">
        <v>18.353300000000001</v>
      </c>
      <c r="E103" s="39">
        <v>28.31</v>
      </c>
      <c r="F103" s="39">
        <f t="shared" si="19"/>
        <v>3982.6799999999994</v>
      </c>
      <c r="G103" s="39">
        <f t="shared" si="20"/>
        <v>7341.3200000000006</v>
      </c>
      <c r="H103" s="222">
        <f t="shared" si="21"/>
        <v>0.54250189339246879</v>
      </c>
      <c r="I103" s="229" t="s">
        <v>1112</v>
      </c>
      <c r="J103" s="39"/>
      <c r="K103" s="39">
        <v>5435</v>
      </c>
      <c r="L103" s="39"/>
    </row>
    <row r="104" spans="1:12" x14ac:dyDescent="0.25">
      <c r="A104">
        <v>200</v>
      </c>
      <c r="B104" s="184">
        <v>43272</v>
      </c>
      <c r="C104" s="10">
        <v>400</v>
      </c>
      <c r="D104" s="39">
        <v>18.328299999999999</v>
      </c>
      <c r="E104" s="39">
        <v>28.28</v>
      </c>
      <c r="F104" s="39">
        <f t="shared" si="19"/>
        <v>3980.6800000000012</v>
      </c>
      <c r="G104" s="39">
        <f t="shared" si="20"/>
        <v>7331.32</v>
      </c>
      <c r="H104" s="222">
        <f t="shared" si="21"/>
        <v>0.54296906969004233</v>
      </c>
      <c r="I104" s="39"/>
      <c r="J104" s="39"/>
      <c r="K104" s="39">
        <v>5473</v>
      </c>
      <c r="L104" s="39"/>
    </row>
    <row r="105" spans="1:12" x14ac:dyDescent="0.25">
      <c r="A105">
        <v>100</v>
      </c>
      <c r="B105" s="184">
        <v>43273</v>
      </c>
      <c r="C105" s="10">
        <v>300</v>
      </c>
      <c r="D105" s="39">
        <v>14.7445</v>
      </c>
      <c r="E105" s="39">
        <v>28.88</v>
      </c>
      <c r="F105" s="39">
        <f t="shared" si="19"/>
        <v>4240.6499999999996</v>
      </c>
      <c r="G105" s="39">
        <f t="shared" si="20"/>
        <v>4423.3500000000004</v>
      </c>
      <c r="H105" s="222">
        <f t="shared" si="21"/>
        <v>0.95869646308793099</v>
      </c>
      <c r="I105" s="39"/>
      <c r="J105" s="39"/>
      <c r="K105" s="39">
        <v>5693</v>
      </c>
      <c r="L105" s="39"/>
    </row>
    <row r="106" spans="1:12" x14ac:dyDescent="0.25">
      <c r="A106">
        <v>100</v>
      </c>
      <c r="B106" s="184">
        <v>43292</v>
      </c>
      <c r="C106" s="7">
        <v>400</v>
      </c>
      <c r="D106" s="43">
        <v>18.11</v>
      </c>
      <c r="E106" s="39">
        <v>27.88</v>
      </c>
      <c r="F106" s="39">
        <f t="shared" ref="F106:F110" si="22">C106*(E106-D106)</f>
        <v>3908</v>
      </c>
      <c r="G106" s="39">
        <f t="shared" ref="G106:G110" si="23">D106*C106</f>
        <v>7244</v>
      </c>
      <c r="H106" s="222">
        <f t="shared" ref="H106:H110" si="24">(E106-D106)/D106</f>
        <v>0.5394809497515185</v>
      </c>
      <c r="I106" s="39"/>
      <c r="J106" s="39"/>
      <c r="K106" s="39">
        <v>5361</v>
      </c>
      <c r="L106" s="39"/>
    </row>
    <row r="107" spans="1:12" x14ac:dyDescent="0.25">
      <c r="A107">
        <v>100</v>
      </c>
      <c r="B107" s="184">
        <v>43292</v>
      </c>
      <c r="C107" s="10">
        <v>500</v>
      </c>
      <c r="D107" s="39">
        <v>20.059999999999999</v>
      </c>
      <c r="E107" s="39">
        <v>27.88</v>
      </c>
      <c r="F107" s="39">
        <f t="shared" si="22"/>
        <v>3910</v>
      </c>
      <c r="G107" s="39">
        <f t="shared" si="23"/>
        <v>10030</v>
      </c>
      <c r="H107" s="222">
        <f t="shared" si="24"/>
        <v>0.38983050847457629</v>
      </c>
      <c r="I107" s="39"/>
      <c r="J107" s="39"/>
      <c r="K107" s="39">
        <v>5361</v>
      </c>
      <c r="L107" s="39"/>
    </row>
    <row r="108" spans="1:12" x14ac:dyDescent="0.25">
      <c r="A108">
        <v>0</v>
      </c>
      <c r="B108" s="184">
        <v>43298</v>
      </c>
      <c r="C108" s="7">
        <v>400</v>
      </c>
      <c r="D108" s="43">
        <v>17.940999999999999</v>
      </c>
      <c r="E108" s="39">
        <v>28.55</v>
      </c>
      <c r="F108" s="39">
        <f t="shared" si="22"/>
        <v>4243.6000000000004</v>
      </c>
      <c r="G108" s="39">
        <f t="shared" si="23"/>
        <v>7176.4</v>
      </c>
      <c r="H108" s="222">
        <f t="shared" si="24"/>
        <v>0.5913271278078146</v>
      </c>
      <c r="I108" s="229" t="s">
        <v>1190</v>
      </c>
      <c r="J108" s="39"/>
      <c r="K108" s="39">
        <v>5696</v>
      </c>
      <c r="L108" s="39"/>
    </row>
    <row r="109" spans="1:12" x14ac:dyDescent="0.25">
      <c r="A109">
        <v>0</v>
      </c>
      <c r="B109" s="184">
        <v>43305</v>
      </c>
      <c r="C109" s="228">
        <v>200</v>
      </c>
      <c r="D109" s="229">
        <v>6.5023</v>
      </c>
      <c r="E109" s="39">
        <v>29.38</v>
      </c>
      <c r="F109" s="39">
        <f t="shared" si="22"/>
        <v>4575.5399999999991</v>
      </c>
      <c r="G109" s="39">
        <f t="shared" si="23"/>
        <v>1300.46</v>
      </c>
      <c r="H109" s="222">
        <f t="shared" si="24"/>
        <v>3.518401181120526</v>
      </c>
      <c r="I109" s="39"/>
      <c r="J109" s="39"/>
      <c r="K109" s="39">
        <v>5828</v>
      </c>
      <c r="L109" s="39"/>
    </row>
    <row r="110" spans="1:12" x14ac:dyDescent="0.25">
      <c r="A110">
        <v>0</v>
      </c>
      <c r="B110" s="184">
        <v>43306</v>
      </c>
      <c r="C110" s="7">
        <v>400</v>
      </c>
      <c r="D110" s="43">
        <v>17.576000000000001</v>
      </c>
      <c r="E110" s="39">
        <v>28.65</v>
      </c>
      <c r="F110" s="39">
        <f t="shared" si="22"/>
        <v>4429.5999999999995</v>
      </c>
      <c r="G110" s="39">
        <f t="shared" si="23"/>
        <v>7030.4000000000005</v>
      </c>
      <c r="H110" s="222">
        <f t="shared" si="24"/>
        <v>0.63006372325898941</v>
      </c>
      <c r="I110" s="39">
        <v>17.5</v>
      </c>
      <c r="J110" s="39"/>
      <c r="K110" s="39">
        <v>5882</v>
      </c>
      <c r="L110" s="39"/>
    </row>
    <row r="111" spans="1:12" x14ac:dyDescent="0.25">
      <c r="B111" s="184">
        <v>43312</v>
      </c>
      <c r="C111" s="10">
        <v>400</v>
      </c>
      <c r="D111" s="39">
        <v>17.579999999999998</v>
      </c>
      <c r="E111" s="39">
        <v>30.11</v>
      </c>
      <c r="F111" s="39">
        <f t="shared" ref="F111" si="25">C111*(E111-D111)</f>
        <v>5012</v>
      </c>
      <c r="G111" s="39">
        <f t="shared" ref="G111" si="26">D111*C111</f>
        <v>7031.9999999999991</v>
      </c>
      <c r="H111" s="222">
        <f t="shared" ref="H111" si="27">(E111-D111)/D111</f>
        <v>0.71274175199089884</v>
      </c>
      <c r="I111" s="39"/>
      <c r="J111" s="39"/>
      <c r="K111" s="39">
        <v>6466</v>
      </c>
      <c r="L111" s="39"/>
    </row>
    <row r="112" spans="1:12" x14ac:dyDescent="0.25">
      <c r="B112" s="184">
        <v>43313</v>
      </c>
      <c r="C112" s="10">
        <v>400</v>
      </c>
      <c r="D112" s="39">
        <v>17.579999999999998</v>
      </c>
      <c r="E112" s="39">
        <v>31.54</v>
      </c>
      <c r="F112" s="39">
        <f t="shared" ref="F112" si="28">C112*(E112-D112)</f>
        <v>5584</v>
      </c>
      <c r="G112" s="39">
        <f t="shared" ref="G112" si="29">D112*C112</f>
        <v>7031.9999999999991</v>
      </c>
      <c r="H112" s="222">
        <f t="shared" ref="H112" si="30">(E112-D112)/D112</f>
        <v>0.79408418657565427</v>
      </c>
      <c r="I112" s="39"/>
      <c r="J112" s="39"/>
      <c r="K112" s="39">
        <v>7038</v>
      </c>
      <c r="L112" s="39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39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39"/>
    </row>
    <row r="116" spans="2:12" x14ac:dyDescent="0.25">
      <c r="B116" s="184"/>
      <c r="C116" s="10"/>
      <c r="D116" s="39"/>
      <c r="E116" s="39"/>
      <c r="F116" s="39"/>
      <c r="G116" s="39"/>
      <c r="H116" s="222"/>
      <c r="I116" s="39"/>
      <c r="J116" s="39"/>
      <c r="K116" s="39"/>
      <c r="L116" s="39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39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39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39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39"/>
    </row>
    <row r="122" spans="2:12" x14ac:dyDescent="0.25">
      <c r="B122" s="484" t="s">
        <v>113</v>
      </c>
      <c r="C122" s="484" t="s">
        <v>146</v>
      </c>
      <c r="D122" s="485" t="s">
        <v>145</v>
      </c>
      <c r="E122" s="486" t="s">
        <v>147</v>
      </c>
      <c r="F122" s="486" t="s">
        <v>65</v>
      </c>
      <c r="G122" s="488" t="s">
        <v>151</v>
      </c>
      <c r="H122" s="488" t="s">
        <v>88</v>
      </c>
      <c r="I122" s="488" t="s">
        <v>154</v>
      </c>
    </row>
    <row r="123" spans="2:12" x14ac:dyDescent="0.25">
      <c r="B123" s="361">
        <v>42548</v>
      </c>
      <c r="C123" s="362">
        <v>100</v>
      </c>
      <c r="D123" s="363">
        <v>25</v>
      </c>
      <c r="E123" s="363">
        <v>24.69</v>
      </c>
      <c r="F123" s="363">
        <f t="shared" ref="F123:F128" si="31">C123*(E123-D123)</f>
        <v>-30.999999999999872</v>
      </c>
      <c r="G123" s="363">
        <f t="shared" ref="G123:G128" si="32">D123*C123</f>
        <v>2500</v>
      </c>
      <c r="H123" s="364">
        <f t="shared" ref="H123:H128" si="33">(E123-D123)/D123</f>
        <v>-1.2399999999999949E-2</v>
      </c>
      <c r="I123" s="363"/>
    </row>
    <row r="124" spans="2:12" x14ac:dyDescent="0.25">
      <c r="B124" s="361">
        <v>42549</v>
      </c>
      <c r="C124" s="362">
        <v>100</v>
      </c>
      <c r="D124" s="363">
        <v>25</v>
      </c>
      <c r="E124" s="363">
        <v>25.26</v>
      </c>
      <c r="F124" s="363">
        <f t="shared" si="31"/>
        <v>26.000000000000156</v>
      </c>
      <c r="G124" s="363">
        <f t="shared" si="32"/>
        <v>2500</v>
      </c>
      <c r="H124" s="364">
        <f t="shared" si="33"/>
        <v>1.0400000000000062E-2</v>
      </c>
      <c r="I124" s="363"/>
    </row>
    <row r="125" spans="2:12" x14ac:dyDescent="0.25">
      <c r="B125" s="361">
        <v>42552</v>
      </c>
      <c r="C125" s="362">
        <v>100</v>
      </c>
      <c r="D125" s="363">
        <v>25</v>
      </c>
      <c r="E125" s="363">
        <v>26.57</v>
      </c>
      <c r="F125" s="363">
        <f t="shared" si="31"/>
        <v>157.00000000000003</v>
      </c>
      <c r="G125" s="363">
        <f t="shared" si="32"/>
        <v>2500</v>
      </c>
      <c r="H125" s="364">
        <f t="shared" si="33"/>
        <v>6.2800000000000009E-2</v>
      </c>
      <c r="I125" s="363"/>
    </row>
    <row r="126" spans="2:12" x14ac:dyDescent="0.25">
      <c r="B126" s="361">
        <v>42556</v>
      </c>
      <c r="C126" s="362">
        <v>100</v>
      </c>
      <c r="D126" s="363">
        <v>25</v>
      </c>
      <c r="E126" s="363">
        <v>25.47</v>
      </c>
      <c r="F126" s="363">
        <f t="shared" si="31"/>
        <v>46.999999999999886</v>
      </c>
      <c r="G126" s="363">
        <f t="shared" si="32"/>
        <v>2500</v>
      </c>
      <c r="H126" s="364">
        <f t="shared" si="33"/>
        <v>1.8799999999999956E-2</v>
      </c>
      <c r="I126" s="363"/>
    </row>
    <row r="127" spans="2:12" x14ac:dyDescent="0.25">
      <c r="B127" s="361">
        <v>42562</v>
      </c>
      <c r="C127" s="362">
        <v>100</v>
      </c>
      <c r="D127" s="363">
        <v>25</v>
      </c>
      <c r="E127" s="363">
        <v>25.69</v>
      </c>
      <c r="F127" s="363">
        <f t="shared" si="31"/>
        <v>69.000000000000128</v>
      </c>
      <c r="G127" s="363">
        <f t="shared" si="32"/>
        <v>2500</v>
      </c>
      <c r="H127" s="364">
        <f t="shared" si="33"/>
        <v>2.7600000000000052E-2</v>
      </c>
      <c r="I127" s="363"/>
    </row>
    <row r="128" spans="2:12" x14ac:dyDescent="0.25">
      <c r="B128" s="361">
        <v>42563</v>
      </c>
      <c r="C128" s="362">
        <v>100</v>
      </c>
      <c r="D128" s="363">
        <v>25</v>
      </c>
      <c r="E128" s="363">
        <v>26.48</v>
      </c>
      <c r="F128" s="363">
        <f t="shared" si="31"/>
        <v>148.00000000000006</v>
      </c>
      <c r="G128" s="363">
        <f t="shared" si="32"/>
        <v>2500</v>
      </c>
      <c r="H128" s="364">
        <f t="shared" si="33"/>
        <v>5.9200000000000016E-2</v>
      </c>
      <c r="I128" s="363"/>
    </row>
    <row r="129" spans="2:9" x14ac:dyDescent="0.25">
      <c r="B129" s="361">
        <v>42569</v>
      </c>
      <c r="C129" s="362">
        <v>100</v>
      </c>
      <c r="D129" s="363">
        <v>25</v>
      </c>
      <c r="E129" s="363">
        <v>29.28</v>
      </c>
      <c r="F129" s="363">
        <f t="shared" ref="F129:F135" si="34">C129*(E129-D129)</f>
        <v>428.00000000000011</v>
      </c>
      <c r="G129" s="363">
        <f t="shared" ref="G129:G135" si="35">D129*C129</f>
        <v>2500</v>
      </c>
      <c r="H129" s="364">
        <f t="shared" ref="H129:H135" si="36">(E129-D129)/D129</f>
        <v>0.17120000000000005</v>
      </c>
      <c r="I129" s="363"/>
    </row>
    <row r="130" spans="2:9" x14ac:dyDescent="0.25">
      <c r="B130" s="361">
        <v>42570</v>
      </c>
      <c r="C130" s="362">
        <v>100</v>
      </c>
      <c r="D130" s="363">
        <v>25</v>
      </c>
      <c r="E130" s="363">
        <v>28.68</v>
      </c>
      <c r="F130" s="363">
        <f t="shared" si="34"/>
        <v>368</v>
      </c>
      <c r="G130" s="363">
        <f t="shared" si="35"/>
        <v>2500</v>
      </c>
      <c r="H130" s="364">
        <f t="shared" si="36"/>
        <v>0.1472</v>
      </c>
      <c r="I130" s="363"/>
    </row>
    <row r="131" spans="2:9" x14ac:dyDescent="0.25">
      <c r="B131" s="361">
        <v>42571</v>
      </c>
      <c r="C131" s="362">
        <v>100</v>
      </c>
      <c r="D131" s="363">
        <v>25</v>
      </c>
      <c r="E131" s="363">
        <v>29.01</v>
      </c>
      <c r="F131" s="363">
        <f t="shared" si="34"/>
        <v>401.00000000000017</v>
      </c>
      <c r="G131" s="363">
        <f t="shared" si="35"/>
        <v>2500</v>
      </c>
      <c r="H131" s="364">
        <f t="shared" si="36"/>
        <v>0.16040000000000007</v>
      </c>
      <c r="I131" s="363"/>
    </row>
    <row r="132" spans="2:9" x14ac:dyDescent="0.25">
      <c r="B132" s="361">
        <v>42572</v>
      </c>
      <c r="C132" s="362">
        <v>100</v>
      </c>
      <c r="D132" s="363">
        <v>25</v>
      </c>
      <c r="E132" s="363">
        <v>28.89</v>
      </c>
      <c r="F132" s="363">
        <f t="shared" si="34"/>
        <v>389.00000000000006</v>
      </c>
      <c r="G132" s="363">
        <f t="shared" si="35"/>
        <v>2500</v>
      </c>
      <c r="H132" s="364">
        <f t="shared" si="36"/>
        <v>0.15560000000000002</v>
      </c>
      <c r="I132" s="363"/>
    </row>
    <row r="133" spans="2:9" x14ac:dyDescent="0.25">
      <c r="B133" s="361">
        <v>42576</v>
      </c>
      <c r="C133" s="362">
        <v>100</v>
      </c>
      <c r="D133" s="363">
        <v>25</v>
      </c>
      <c r="E133" s="363">
        <v>28.63</v>
      </c>
      <c r="F133" s="363">
        <f t="shared" si="34"/>
        <v>362.99999999999989</v>
      </c>
      <c r="G133" s="363">
        <f t="shared" si="35"/>
        <v>2500</v>
      </c>
      <c r="H133" s="364">
        <f t="shared" si="36"/>
        <v>0.14519999999999997</v>
      </c>
      <c r="I133" s="363"/>
    </row>
    <row r="134" spans="2:9" x14ac:dyDescent="0.25">
      <c r="B134" s="361">
        <v>42577</v>
      </c>
      <c r="C134" s="362">
        <v>100</v>
      </c>
      <c r="D134" s="363">
        <v>25</v>
      </c>
      <c r="E134" s="363">
        <v>29.34</v>
      </c>
      <c r="F134" s="363">
        <f t="shared" si="34"/>
        <v>434</v>
      </c>
      <c r="G134" s="363">
        <f t="shared" si="35"/>
        <v>2500</v>
      </c>
      <c r="H134" s="364">
        <f t="shared" si="36"/>
        <v>0.1736</v>
      </c>
      <c r="I134" s="363"/>
    </row>
    <row r="135" spans="2:9" x14ac:dyDescent="0.25">
      <c r="B135" s="361">
        <v>42580</v>
      </c>
      <c r="C135" s="362">
        <v>100</v>
      </c>
      <c r="D135" s="363">
        <v>25</v>
      </c>
      <c r="E135" s="363">
        <v>27</v>
      </c>
      <c r="F135" s="363">
        <f t="shared" si="34"/>
        <v>200</v>
      </c>
      <c r="G135" s="363">
        <f t="shared" si="35"/>
        <v>2500</v>
      </c>
      <c r="H135" s="364">
        <f t="shared" si="36"/>
        <v>0.08</v>
      </c>
      <c r="I135" s="363"/>
    </row>
    <row r="136" spans="2:9" x14ac:dyDescent="0.25">
      <c r="B136" s="361">
        <v>42584</v>
      </c>
      <c r="C136" s="362">
        <v>0</v>
      </c>
      <c r="D136" s="363"/>
      <c r="E136" s="363"/>
      <c r="F136" s="363">
        <v>287.94</v>
      </c>
      <c r="G136" s="363"/>
      <c r="H136" s="364"/>
      <c r="I136" s="363"/>
    </row>
    <row r="137" spans="2:9" x14ac:dyDescent="0.25">
      <c r="B137" s="184"/>
      <c r="C137" s="10"/>
      <c r="D137" s="39"/>
      <c r="E137" s="39"/>
      <c r="F137" s="39"/>
      <c r="G137" s="39"/>
      <c r="H137" s="222"/>
      <c r="I137" s="39"/>
    </row>
    <row r="138" spans="2:9" x14ac:dyDescent="0.25">
      <c r="B138" s="182" t="s">
        <v>113</v>
      </c>
      <c r="C138" s="182" t="s">
        <v>146</v>
      </c>
      <c r="D138" s="183" t="s">
        <v>145</v>
      </c>
      <c r="E138" s="185" t="s">
        <v>147</v>
      </c>
      <c r="F138" s="185" t="s">
        <v>65</v>
      </c>
      <c r="G138" s="220" t="s">
        <v>151</v>
      </c>
      <c r="H138" s="220" t="s">
        <v>88</v>
      </c>
      <c r="I138" s="220" t="s">
        <v>154</v>
      </c>
    </row>
    <row r="139" spans="2:9" x14ac:dyDescent="0.25">
      <c r="B139" s="255">
        <v>42627</v>
      </c>
      <c r="C139" s="250">
        <v>50</v>
      </c>
      <c r="D139" s="251">
        <v>25.74</v>
      </c>
      <c r="E139" s="251">
        <v>25.83</v>
      </c>
      <c r="F139" s="251">
        <f>C139*(E139-D139)</f>
        <v>4.4999999999999929</v>
      </c>
      <c r="G139" s="251">
        <f>D139*C139</f>
        <v>1287</v>
      </c>
      <c r="H139" s="265">
        <f>(E139-D139)/D139</f>
        <v>3.4965034965034913E-3</v>
      </c>
      <c r="I139" s="251"/>
    </row>
    <row r="140" spans="2:9" x14ac:dyDescent="0.25">
      <c r="B140" s="255">
        <v>42629</v>
      </c>
      <c r="C140" s="250">
        <v>50</v>
      </c>
      <c r="D140" s="251">
        <v>25.74</v>
      </c>
      <c r="E140" s="251">
        <v>25.54</v>
      </c>
      <c r="F140" s="251">
        <f t="shared" ref="F140:F145" si="37">C140*(E140-D140)</f>
        <v>-9.9999999999999645</v>
      </c>
      <c r="G140" s="251">
        <f t="shared" ref="G140:G145" si="38">D140*C140</f>
        <v>1287</v>
      </c>
      <c r="H140" s="265">
        <f t="shared" ref="H140:H145" si="39">(E140-D140)/D140</f>
        <v>-7.7700077700077431E-3</v>
      </c>
      <c r="I140" s="251"/>
    </row>
    <row r="141" spans="2:9" x14ac:dyDescent="0.25">
      <c r="B141" s="255">
        <v>42636</v>
      </c>
      <c r="C141" s="250">
        <v>50</v>
      </c>
      <c r="D141" s="251">
        <v>25.74</v>
      </c>
      <c r="E141" s="251">
        <v>24.82</v>
      </c>
      <c r="F141" s="251">
        <f t="shared" si="37"/>
        <v>-45.999999999999908</v>
      </c>
      <c r="G141" s="251">
        <f t="shared" si="38"/>
        <v>1287</v>
      </c>
      <c r="H141" s="265">
        <f t="shared" si="39"/>
        <v>-3.5742035742035674E-2</v>
      </c>
      <c r="I141" s="251"/>
    </row>
    <row r="142" spans="2:9" x14ac:dyDescent="0.25">
      <c r="B142" s="255">
        <v>42639</v>
      </c>
      <c r="C142" s="250">
        <v>100</v>
      </c>
      <c r="D142" s="251">
        <v>24.96</v>
      </c>
      <c r="E142" s="251">
        <v>24.14</v>
      </c>
      <c r="F142" s="251">
        <f t="shared" si="37"/>
        <v>-82.000000000000028</v>
      </c>
      <c r="G142" s="251">
        <f t="shared" si="38"/>
        <v>2496</v>
      </c>
      <c r="H142" s="265">
        <f t="shared" si="39"/>
        <v>-3.2852564102564111E-2</v>
      </c>
      <c r="I142" s="251"/>
    </row>
    <row r="143" spans="2:9" x14ac:dyDescent="0.25">
      <c r="B143" s="255">
        <v>42639</v>
      </c>
      <c r="C143" s="250">
        <v>150</v>
      </c>
      <c r="D143" s="251">
        <v>24.8</v>
      </c>
      <c r="E143" s="251">
        <v>24.14</v>
      </c>
      <c r="F143" s="251">
        <f t="shared" si="37"/>
        <v>-99.000000000000028</v>
      </c>
      <c r="G143" s="251">
        <f t="shared" si="38"/>
        <v>3720</v>
      </c>
      <c r="H143" s="265">
        <f t="shared" si="39"/>
        <v>-2.6612903225806457E-2</v>
      </c>
      <c r="I143" s="251"/>
    </row>
    <row r="144" spans="2:9" x14ac:dyDescent="0.25">
      <c r="B144" s="255">
        <v>42640</v>
      </c>
      <c r="C144" s="250">
        <v>150</v>
      </c>
      <c r="D144" s="251">
        <v>24.8</v>
      </c>
      <c r="E144" s="251">
        <v>23.99</v>
      </c>
      <c r="F144" s="251">
        <f t="shared" si="37"/>
        <v>-121.50000000000034</v>
      </c>
      <c r="G144" s="251">
        <f t="shared" si="38"/>
        <v>3720</v>
      </c>
      <c r="H144" s="265">
        <f t="shared" si="39"/>
        <v>-3.2661290322580736E-2</v>
      </c>
      <c r="I144" s="251"/>
    </row>
    <row r="145" spans="2:9" x14ac:dyDescent="0.25">
      <c r="B145" s="255">
        <v>42643</v>
      </c>
      <c r="C145" s="250">
        <v>150</v>
      </c>
      <c r="D145" s="251">
        <v>24.8</v>
      </c>
      <c r="E145" s="251">
        <v>24.46</v>
      </c>
      <c r="F145" s="251">
        <f t="shared" si="37"/>
        <v>-50.999999999999979</v>
      </c>
      <c r="G145" s="251">
        <f t="shared" si="38"/>
        <v>3720</v>
      </c>
      <c r="H145" s="265">
        <f t="shared" si="39"/>
        <v>-1.3709677419354832E-2</v>
      </c>
      <c r="I145" s="251"/>
    </row>
    <row r="146" spans="2:9" x14ac:dyDescent="0.25">
      <c r="B146" s="255">
        <v>42646</v>
      </c>
      <c r="C146" s="250">
        <v>150</v>
      </c>
      <c r="D146" s="251">
        <v>24.8</v>
      </c>
      <c r="E146" s="251">
        <v>24.89</v>
      </c>
      <c r="F146" s="251">
        <f t="shared" ref="F146:F157" si="40">C146*(E146-D146)</f>
        <v>13.499999999999979</v>
      </c>
      <c r="G146" s="251">
        <f t="shared" ref="G146:G157" si="41">D146*C146</f>
        <v>3720</v>
      </c>
      <c r="H146" s="265">
        <f t="shared" ref="H146:H157" si="42">(E146-D146)/D146</f>
        <v>3.6290322580645102E-3</v>
      </c>
      <c r="I146" s="251"/>
    </row>
    <row r="147" spans="2:9" x14ac:dyDescent="0.25">
      <c r="B147" s="255">
        <v>42648</v>
      </c>
      <c r="C147" s="250">
        <v>150</v>
      </c>
      <c r="D147" s="251">
        <v>24.8</v>
      </c>
      <c r="E147" s="251">
        <v>25.07</v>
      </c>
      <c r="F147" s="251">
        <f t="shared" si="40"/>
        <v>40.499999999999936</v>
      </c>
      <c r="G147" s="251">
        <f t="shared" si="41"/>
        <v>3720</v>
      </c>
      <c r="H147" s="265">
        <f t="shared" si="42"/>
        <v>1.0887096774193531E-2</v>
      </c>
      <c r="I147" s="251"/>
    </row>
    <row r="148" spans="2:9" x14ac:dyDescent="0.25">
      <c r="B148" s="255">
        <v>42649</v>
      </c>
      <c r="C148" s="250">
        <v>150</v>
      </c>
      <c r="D148" s="251">
        <v>24.8</v>
      </c>
      <c r="E148" s="251">
        <v>24.85</v>
      </c>
      <c r="F148" s="251">
        <f t="shared" si="40"/>
        <v>7.5000000000001066</v>
      </c>
      <c r="G148" s="251">
        <f t="shared" si="41"/>
        <v>3720</v>
      </c>
      <c r="H148" s="265">
        <f t="shared" si="42"/>
        <v>2.0161290322580931E-3</v>
      </c>
      <c r="I148" s="251"/>
    </row>
    <row r="149" spans="2:9" x14ac:dyDescent="0.25">
      <c r="B149" s="255">
        <v>42650</v>
      </c>
      <c r="C149" s="250">
        <v>150</v>
      </c>
      <c r="D149" s="251">
        <v>24.8</v>
      </c>
      <c r="E149" s="251">
        <v>24.58</v>
      </c>
      <c r="F149" s="251">
        <f t="shared" si="40"/>
        <v>-33.000000000000362</v>
      </c>
      <c r="G149" s="251">
        <f t="shared" si="41"/>
        <v>3720</v>
      </c>
      <c r="H149" s="265">
        <f t="shared" si="42"/>
        <v>-8.8709677419355811E-3</v>
      </c>
      <c r="I149" s="251"/>
    </row>
    <row r="150" spans="2:9" x14ac:dyDescent="0.25">
      <c r="B150" s="255">
        <v>42661</v>
      </c>
      <c r="C150" s="250">
        <v>150</v>
      </c>
      <c r="D150" s="251">
        <v>24.8</v>
      </c>
      <c r="E150" s="251">
        <v>23.39</v>
      </c>
      <c r="F150" s="251">
        <f t="shared" si="40"/>
        <v>-211.50000000000003</v>
      </c>
      <c r="G150" s="251">
        <f t="shared" si="41"/>
        <v>3720</v>
      </c>
      <c r="H150" s="265">
        <f t="shared" si="42"/>
        <v>-5.6854838709677426E-2</v>
      </c>
      <c r="I150" s="251"/>
    </row>
    <row r="151" spans="2:9" x14ac:dyDescent="0.25">
      <c r="B151" s="255">
        <v>42662</v>
      </c>
      <c r="C151" s="250">
        <v>150</v>
      </c>
      <c r="D151" s="251">
        <v>24.8</v>
      </c>
      <c r="E151" s="251">
        <v>23.84</v>
      </c>
      <c r="F151" s="251">
        <f t="shared" si="40"/>
        <v>-144.00000000000011</v>
      </c>
      <c r="G151" s="251">
        <f t="shared" si="41"/>
        <v>3720</v>
      </c>
      <c r="H151" s="265">
        <f t="shared" si="42"/>
        <v>-3.8709677419354875E-2</v>
      </c>
      <c r="I151" s="251"/>
    </row>
    <row r="152" spans="2:9" x14ac:dyDescent="0.25">
      <c r="B152" s="255">
        <v>42664</v>
      </c>
      <c r="C152" s="250">
        <v>150</v>
      </c>
      <c r="D152" s="251">
        <v>24.8</v>
      </c>
      <c r="E152" s="251">
        <v>24.31</v>
      </c>
      <c r="F152" s="251">
        <f t="shared" si="40"/>
        <v>-73.500000000000298</v>
      </c>
      <c r="G152" s="251">
        <f t="shared" si="41"/>
        <v>3720</v>
      </c>
      <c r="H152" s="265">
        <f t="shared" si="42"/>
        <v>-1.975806451612911E-2</v>
      </c>
      <c r="I152" s="251"/>
    </row>
    <row r="153" spans="2:9" x14ac:dyDescent="0.25">
      <c r="B153" s="255">
        <v>42670</v>
      </c>
      <c r="C153" s="250">
        <v>150</v>
      </c>
      <c r="D153" s="251">
        <v>24.626899999999999</v>
      </c>
      <c r="E153" s="251">
        <v>23.93</v>
      </c>
      <c r="F153" s="251">
        <f t="shared" si="40"/>
        <v>-104.53499999999991</v>
      </c>
      <c r="G153" s="251">
        <f t="shared" si="41"/>
        <v>3694.0349999999999</v>
      </c>
      <c r="H153" s="265">
        <f t="shared" si="42"/>
        <v>-2.8298324190214743E-2</v>
      </c>
      <c r="I153" s="251"/>
    </row>
    <row r="154" spans="2:9" x14ac:dyDescent="0.25">
      <c r="B154" s="255">
        <v>42674</v>
      </c>
      <c r="C154" s="250">
        <v>150</v>
      </c>
      <c r="D154" s="251">
        <v>24.626899999999999</v>
      </c>
      <c r="E154" s="251">
        <v>23.53</v>
      </c>
      <c r="F154" s="251">
        <f t="shared" si="40"/>
        <v>-164.53499999999968</v>
      </c>
      <c r="G154" s="251">
        <f t="shared" si="41"/>
        <v>3694.0349999999999</v>
      </c>
      <c r="H154" s="265">
        <f t="shared" si="42"/>
        <v>-4.4540725791715481E-2</v>
      </c>
      <c r="I154" s="251"/>
    </row>
    <row r="155" spans="2:9" x14ac:dyDescent="0.25">
      <c r="B155" s="255">
        <v>42675</v>
      </c>
      <c r="C155" s="250">
        <v>150</v>
      </c>
      <c r="D155" s="251">
        <v>24.264700000000001</v>
      </c>
      <c r="E155" s="251">
        <v>24.32</v>
      </c>
      <c r="F155" s="251">
        <f t="shared" si="40"/>
        <v>8.2949999999998525</v>
      </c>
      <c r="G155" s="251">
        <f t="shared" si="41"/>
        <v>3639.7050000000004</v>
      </c>
      <c r="H155" s="265">
        <f t="shared" si="42"/>
        <v>2.2790308555225912E-3</v>
      </c>
      <c r="I155" s="251"/>
    </row>
    <row r="156" spans="2:9" x14ac:dyDescent="0.25">
      <c r="B156" s="255">
        <v>42676</v>
      </c>
      <c r="C156" s="250">
        <v>150</v>
      </c>
      <c r="D156" s="251">
        <v>24.264700000000001</v>
      </c>
      <c r="E156" s="251">
        <v>24.73</v>
      </c>
      <c r="F156" s="251">
        <f t="shared" si="40"/>
        <v>69.794999999999874</v>
      </c>
      <c r="G156" s="251">
        <f t="shared" si="41"/>
        <v>3639.7050000000004</v>
      </c>
      <c r="H156" s="265">
        <f t="shared" si="42"/>
        <v>1.9176004648728363E-2</v>
      </c>
      <c r="I156" s="251"/>
    </row>
    <row r="157" spans="2:9" x14ac:dyDescent="0.25">
      <c r="B157" s="255">
        <v>42704</v>
      </c>
      <c r="C157" s="250">
        <v>100</v>
      </c>
      <c r="D157" s="251">
        <v>22.507400000000001</v>
      </c>
      <c r="E157" s="251">
        <v>28.4</v>
      </c>
      <c r="F157" s="251">
        <f t="shared" si="40"/>
        <v>589.25999999999976</v>
      </c>
      <c r="G157" s="251">
        <f t="shared" si="41"/>
        <v>2250.7400000000002</v>
      </c>
      <c r="H157" s="265">
        <f t="shared" si="42"/>
        <v>0.26180722784506422</v>
      </c>
      <c r="I157" s="251"/>
    </row>
    <row r="158" spans="2:9" x14ac:dyDescent="0.25">
      <c r="B158" s="255">
        <v>42711</v>
      </c>
      <c r="C158" s="250">
        <v>0</v>
      </c>
      <c r="D158" s="251"/>
      <c r="E158" s="251"/>
      <c r="F158" s="251">
        <v>727.2</v>
      </c>
      <c r="G158" s="251"/>
      <c r="H158" s="265"/>
      <c r="I158" s="251"/>
    </row>
    <row r="159" spans="2:9" x14ac:dyDescent="0.25">
      <c r="B159" s="184"/>
      <c r="C159" s="10"/>
      <c r="D159" s="39"/>
      <c r="E159" s="39"/>
      <c r="F159" s="39"/>
      <c r="G159" s="39"/>
      <c r="H159" s="222"/>
      <c r="I159" s="39"/>
    </row>
    <row r="160" spans="2:9" x14ac:dyDescent="0.25">
      <c r="B160" s="184"/>
      <c r="C160" s="10"/>
      <c r="D160" s="39"/>
      <c r="E160" s="39"/>
      <c r="F160" s="39"/>
      <c r="G160" s="39"/>
      <c r="H160" s="222"/>
      <c r="I160" s="39"/>
    </row>
    <row r="161" spans="1:13" x14ac:dyDescent="0.25">
      <c r="B161" s="184"/>
      <c r="C161" s="10"/>
      <c r="D161" s="39"/>
      <c r="E161" s="39"/>
      <c r="F161" s="39"/>
      <c r="G161" s="39"/>
      <c r="H161" s="222"/>
      <c r="I161" s="39"/>
    </row>
    <row r="165" spans="1:13" x14ac:dyDescent="0.25">
      <c r="L165" t="s">
        <v>65</v>
      </c>
      <c r="M165" s="2">
        <f>K183+M183-F183</f>
        <v>1452.2599999999984</v>
      </c>
    </row>
    <row r="166" spans="1:13" x14ac:dyDescent="0.25">
      <c r="A166" s="449" t="s">
        <v>1</v>
      </c>
      <c r="B166" s="449" t="s">
        <v>2</v>
      </c>
      <c r="C166" s="449" t="s">
        <v>4</v>
      </c>
      <c r="D166" s="450" t="s">
        <v>5</v>
      </c>
      <c r="E166" s="450" t="s">
        <v>94</v>
      </c>
      <c r="F166" s="450" t="s">
        <v>60</v>
      </c>
      <c r="G166" s="449" t="s">
        <v>3</v>
      </c>
      <c r="H166" s="449" t="s">
        <v>6</v>
      </c>
      <c r="I166" s="450" t="s">
        <v>7</v>
      </c>
      <c r="J166" s="450" t="s">
        <v>95</v>
      </c>
      <c r="K166" s="450" t="s">
        <v>61</v>
      </c>
      <c r="L166" s="449" t="s">
        <v>37</v>
      </c>
      <c r="M166" s="449" t="s">
        <v>38</v>
      </c>
    </row>
    <row r="167" spans="1:13" x14ac:dyDescent="0.25">
      <c r="A167" s="451" t="s">
        <v>223</v>
      </c>
      <c r="B167" s="452">
        <v>42548</v>
      </c>
      <c r="C167" s="453">
        <v>100</v>
      </c>
      <c r="D167" s="454">
        <v>25</v>
      </c>
      <c r="E167" s="454">
        <v>0</v>
      </c>
      <c r="F167" s="454">
        <f>D167*C167+E167</f>
        <v>2500</v>
      </c>
      <c r="G167" s="452">
        <v>42584</v>
      </c>
      <c r="H167" s="455">
        <v>100</v>
      </c>
      <c r="I167" s="454">
        <v>27.88</v>
      </c>
      <c r="J167" s="454">
        <v>0.06</v>
      </c>
      <c r="K167" s="454">
        <f>H167*I167-J167</f>
        <v>2787.94</v>
      </c>
      <c r="L167" s="452">
        <v>42719</v>
      </c>
      <c r="M167" s="453">
        <v>41.25</v>
      </c>
    </row>
    <row r="168" spans="1:13" x14ac:dyDescent="0.25">
      <c r="A168" s="456" t="s">
        <v>71</v>
      </c>
      <c r="B168" s="452">
        <v>42627</v>
      </c>
      <c r="C168" s="453">
        <v>50</v>
      </c>
      <c r="D168" s="454">
        <v>25.74</v>
      </c>
      <c r="E168" s="454">
        <v>0</v>
      </c>
      <c r="F168" s="454">
        <v>1287</v>
      </c>
      <c r="G168" s="452" t="s">
        <v>330</v>
      </c>
      <c r="H168" s="455">
        <v>50</v>
      </c>
      <c r="I168" s="454">
        <v>25</v>
      </c>
      <c r="J168" s="454">
        <v>0.03</v>
      </c>
      <c r="K168" s="454">
        <v>1249.97</v>
      </c>
      <c r="L168" s="453"/>
      <c r="M168" s="453"/>
    </row>
    <row r="169" spans="1:13" x14ac:dyDescent="0.25">
      <c r="A169" s="453"/>
      <c r="B169" s="452">
        <v>42639</v>
      </c>
      <c r="C169" s="453">
        <v>50</v>
      </c>
      <c r="D169" s="454">
        <v>24.48</v>
      </c>
      <c r="E169" s="454">
        <v>0</v>
      </c>
      <c r="F169" s="454">
        <v>1224</v>
      </c>
      <c r="G169" s="452" t="s">
        <v>330</v>
      </c>
      <c r="H169" s="455">
        <v>100</v>
      </c>
      <c r="I169" s="454">
        <v>24.88</v>
      </c>
      <c r="J169" s="454">
        <v>0.05</v>
      </c>
      <c r="K169" s="454">
        <v>2487.9499999999998</v>
      </c>
      <c r="L169" s="453"/>
      <c r="M169" s="453"/>
    </row>
    <row r="170" spans="1:13" x14ac:dyDescent="0.25">
      <c r="A170" s="453"/>
      <c r="B170" s="452">
        <v>42639</v>
      </c>
      <c r="C170" s="453">
        <v>50</v>
      </c>
      <c r="D170" s="454">
        <v>24.18</v>
      </c>
      <c r="E170" s="454">
        <v>0</v>
      </c>
      <c r="F170" s="454">
        <v>1209</v>
      </c>
      <c r="G170" s="452" t="s">
        <v>330</v>
      </c>
      <c r="H170" s="455">
        <v>50</v>
      </c>
      <c r="I170" s="454">
        <v>27.78</v>
      </c>
      <c r="J170" s="454">
        <v>0.03</v>
      </c>
      <c r="K170" s="454">
        <v>1388.97</v>
      </c>
      <c r="L170" s="453"/>
      <c r="M170" s="453"/>
    </row>
    <row r="171" spans="1:13" x14ac:dyDescent="0.25">
      <c r="A171" s="453"/>
      <c r="B171" s="452">
        <v>42670</v>
      </c>
      <c r="C171" s="453">
        <v>50</v>
      </c>
      <c r="D171" s="454">
        <v>24.48</v>
      </c>
      <c r="E171" s="454">
        <v>0</v>
      </c>
      <c r="F171" s="454">
        <v>1224</v>
      </c>
      <c r="G171" s="452" t="s">
        <v>330</v>
      </c>
      <c r="H171" s="455">
        <v>100</v>
      </c>
      <c r="I171" s="454">
        <v>29.78</v>
      </c>
      <c r="J171" s="454">
        <v>0.06</v>
      </c>
      <c r="K171" s="454">
        <v>2977.94</v>
      </c>
      <c r="L171" s="453"/>
      <c r="M171" s="453"/>
    </row>
    <row r="172" spans="1:13" x14ac:dyDescent="0.25">
      <c r="A172" s="453"/>
      <c r="B172" s="452" t="s">
        <v>330</v>
      </c>
      <c r="C172" s="453">
        <v>100</v>
      </c>
      <c r="D172" s="454">
        <v>24.34</v>
      </c>
      <c r="E172" s="454">
        <v>-0.37</v>
      </c>
      <c r="F172" s="454">
        <v>2433.63</v>
      </c>
      <c r="G172" s="453"/>
      <c r="H172" s="455"/>
      <c r="I172" s="454"/>
      <c r="J172" s="454"/>
      <c r="K172" s="454"/>
      <c r="L172" s="453"/>
      <c r="M172" s="453"/>
    </row>
    <row r="173" spans="1:13" x14ac:dyDescent="0.25">
      <c r="A173" s="453"/>
      <c r="B173" s="496">
        <v>42723</v>
      </c>
      <c r="C173" s="497">
        <v>100</v>
      </c>
      <c r="D173" s="499">
        <v>27.98</v>
      </c>
      <c r="E173" s="499">
        <v>0</v>
      </c>
      <c r="F173" s="499">
        <f>D173*C173+E173</f>
        <v>2798</v>
      </c>
      <c r="G173" s="496">
        <v>42724</v>
      </c>
      <c r="H173" s="497">
        <v>100</v>
      </c>
      <c r="I173" s="499">
        <v>27.94</v>
      </c>
      <c r="J173" s="499">
        <v>0.06</v>
      </c>
      <c r="K173" s="499">
        <f>I173*H173-J173</f>
        <v>2793.94</v>
      </c>
      <c r="L173" s="453"/>
      <c r="M173" s="453"/>
    </row>
    <row r="174" spans="1:13" x14ac:dyDescent="0.25">
      <c r="A174" s="453"/>
      <c r="B174" s="434">
        <v>42724</v>
      </c>
      <c r="C174" s="7">
        <v>100</v>
      </c>
      <c r="D174" s="43">
        <v>27.58</v>
      </c>
      <c r="E174" s="43">
        <v>0</v>
      </c>
      <c r="F174" s="43">
        <f>D174*C174+E174</f>
        <v>2758</v>
      </c>
      <c r="G174" s="434">
        <v>42758</v>
      </c>
      <c r="H174" s="80">
        <v>100</v>
      </c>
      <c r="I174" s="43">
        <v>31.58</v>
      </c>
      <c r="J174" s="43">
        <v>7.0000000000000007E-2</v>
      </c>
      <c r="K174" s="43">
        <f>H174*I174-J174</f>
        <v>3157.93</v>
      </c>
      <c r="L174" s="453"/>
      <c r="M174" s="453"/>
    </row>
    <row r="175" spans="1:13" x14ac:dyDescent="0.25">
      <c r="A175" s="453"/>
      <c r="B175" s="453"/>
      <c r="C175" s="453"/>
      <c r="D175" s="454"/>
      <c r="E175" s="454"/>
      <c r="F175" s="454"/>
      <c r="G175" s="453"/>
      <c r="H175" s="455"/>
      <c r="I175" s="454"/>
      <c r="J175" s="454"/>
      <c r="K175" s="454"/>
      <c r="L175" s="453"/>
      <c r="M175" s="453"/>
    </row>
    <row r="176" spans="1:13" x14ac:dyDescent="0.25">
      <c r="A176" s="453"/>
      <c r="B176" s="453"/>
      <c r="C176" s="453"/>
      <c r="D176" s="454"/>
      <c r="E176" s="454"/>
      <c r="F176" s="454"/>
      <c r="G176" s="453"/>
      <c r="H176" s="455"/>
      <c r="I176" s="454"/>
      <c r="J176" s="454"/>
      <c r="K176" s="454"/>
      <c r="L176" s="453"/>
      <c r="M176" s="453"/>
    </row>
    <row r="177" spans="1:13" x14ac:dyDescent="0.25">
      <c r="A177" s="453"/>
      <c r="B177" s="453"/>
      <c r="C177" s="453"/>
      <c r="D177" s="454"/>
      <c r="E177" s="454"/>
      <c r="F177" s="454"/>
      <c r="G177" s="453"/>
      <c r="H177" s="455"/>
      <c r="I177" s="454"/>
      <c r="J177" s="454"/>
      <c r="K177" s="454"/>
      <c r="L177" s="453"/>
      <c r="M177" s="453"/>
    </row>
    <row r="178" spans="1:13" x14ac:dyDescent="0.25">
      <c r="A178" s="453"/>
      <c r="B178" s="453"/>
      <c r="C178" s="453"/>
      <c r="D178" s="454"/>
      <c r="E178" s="454"/>
      <c r="F178" s="454"/>
      <c r="G178" s="453"/>
      <c r="H178" s="455"/>
      <c r="I178" s="454"/>
      <c r="J178" s="454"/>
      <c r="K178" s="454"/>
      <c r="L178" s="453"/>
      <c r="M178" s="453"/>
    </row>
    <row r="179" spans="1:13" x14ac:dyDescent="0.25">
      <c r="A179" s="453"/>
      <c r="B179" s="453"/>
      <c r="C179" s="453"/>
      <c r="D179" s="454"/>
      <c r="E179" s="454"/>
      <c r="F179" s="454"/>
      <c r="G179" s="453"/>
      <c r="H179" s="455"/>
      <c r="I179" s="454"/>
      <c r="J179" s="454"/>
      <c r="K179" s="454"/>
      <c r="L179" s="453"/>
      <c r="M179" s="453"/>
    </row>
    <row r="180" spans="1:13" x14ac:dyDescent="0.25">
      <c r="A180" s="453"/>
      <c r="B180" s="453"/>
      <c r="C180" s="453"/>
      <c r="D180" s="454"/>
      <c r="E180" s="454"/>
      <c r="F180" s="454"/>
      <c r="G180" s="453"/>
      <c r="H180" s="455"/>
      <c r="I180" s="454"/>
      <c r="J180" s="454"/>
      <c r="K180" s="454"/>
      <c r="L180" s="453"/>
      <c r="M180" s="453"/>
    </row>
    <row r="181" spans="1:13" x14ac:dyDescent="0.25">
      <c r="A181" s="453"/>
      <c r="B181" s="453"/>
      <c r="C181" s="453"/>
      <c r="D181" s="454"/>
      <c r="E181" s="454"/>
      <c r="F181" s="454"/>
      <c r="G181" s="453"/>
      <c r="H181" s="455"/>
      <c r="I181" s="454"/>
      <c r="J181" s="454"/>
      <c r="K181" s="454"/>
      <c r="L181" s="453"/>
      <c r="M181" s="453"/>
    </row>
    <row r="182" spans="1:13" x14ac:dyDescent="0.25">
      <c r="A182" s="453"/>
      <c r="B182" s="453"/>
      <c r="C182" s="453"/>
      <c r="D182" s="454"/>
      <c r="E182" s="454"/>
      <c r="F182" s="454"/>
      <c r="G182" s="453"/>
      <c r="H182" s="453"/>
      <c r="I182" s="454"/>
      <c r="J182" s="454"/>
      <c r="K182" s="454"/>
      <c r="L182" s="453"/>
      <c r="M182" s="453"/>
    </row>
    <row r="183" spans="1:13" x14ac:dyDescent="0.25">
      <c r="A183" s="63" t="s">
        <v>81</v>
      </c>
      <c r="B183" s="64"/>
      <c r="C183" s="64">
        <f>SUM(C167:C182)</f>
        <v>600</v>
      </c>
      <c r="D183" s="65"/>
      <c r="E183" s="65"/>
      <c r="F183" s="65">
        <f>SUM(F167:F182)</f>
        <v>15433.630000000001</v>
      </c>
      <c r="G183" s="64"/>
      <c r="H183" s="544">
        <f>SUM(H167:H182)</f>
        <v>600</v>
      </c>
      <c r="I183" s="65"/>
      <c r="J183" s="65"/>
      <c r="K183" s="65">
        <f>SUM(K167:K182)</f>
        <v>16844.64</v>
      </c>
      <c r="L183" s="64"/>
      <c r="M183" s="65">
        <f>SUM(M167:M175)</f>
        <v>41.25</v>
      </c>
    </row>
    <row r="184" spans="1:13" ht="15.75" thickBot="1" x14ac:dyDescent="0.3">
      <c r="A184" s="457" t="s">
        <v>193</v>
      </c>
      <c r="B184" s="458"/>
      <c r="C184" s="459">
        <f>SumByColor($A$35,C167:C182)</f>
        <v>100</v>
      </c>
      <c r="D184" s="459"/>
      <c r="E184" s="459"/>
      <c r="F184" s="460">
        <f>SumByColor($A$35,F167:F182)</f>
        <v>2758</v>
      </c>
      <c r="G184" s="459"/>
      <c r="H184" s="459">
        <f>SumByColor($A$35,H167:H182)</f>
        <v>100</v>
      </c>
      <c r="I184" s="459"/>
      <c r="J184" s="459"/>
      <c r="K184" s="460">
        <f>SumByColor($A$35,K167:K182)</f>
        <v>3158</v>
      </c>
      <c r="L184" s="459"/>
      <c r="M184" s="460">
        <f>SumByColor($A$35,M167:M182)</f>
        <v>0</v>
      </c>
    </row>
  </sheetData>
  <mergeCells count="1">
    <mergeCell ref="O18:P18"/>
  </mergeCells>
  <conditionalFormatting sqref="O19:O39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6:F137 H136:H137 H143:H161 F143:F161 K87:K94 H87:H94 F87:F94 K118:K120 K107:L108 F108 H108 H117:H120 F117:F120 K117:L117">
    <cfRule type="expression" dxfId="1059" priority="84">
      <formula>F87&gt;0</formula>
    </cfRule>
    <cfRule type="expression" dxfId="1058" priority="85">
      <formula>F87&lt;0</formula>
    </cfRule>
  </conditionalFormatting>
  <conditionalFormatting sqref="Q7">
    <cfRule type="expression" dxfId="1057" priority="72">
      <formula>Q7&gt;0</formula>
    </cfRule>
    <cfRule type="expression" dxfId="1056" priority="73">
      <formula>Q7&lt;0</formula>
    </cfRule>
  </conditionalFormatting>
  <conditionalFormatting sqref="Q8">
    <cfRule type="expression" dxfId="1055" priority="70">
      <formula>Q8&gt;0</formula>
    </cfRule>
    <cfRule type="expression" dxfId="1054" priority="71">
      <formula>Q8&lt;0</formula>
    </cfRule>
  </conditionalFormatting>
  <conditionalFormatting sqref="F123:F135">
    <cfRule type="expression" dxfId="1053" priority="68">
      <formula>F123&gt;0</formula>
    </cfRule>
    <cfRule type="expression" dxfId="1052" priority="69">
      <formula>F123&lt;0</formula>
    </cfRule>
  </conditionalFormatting>
  <conditionalFormatting sqref="H123:H135">
    <cfRule type="expression" dxfId="1051" priority="66">
      <formula>H123&gt;0</formula>
    </cfRule>
    <cfRule type="expression" dxfId="1050" priority="67">
      <formula>H123&lt;0</formula>
    </cfRule>
  </conditionalFormatting>
  <conditionalFormatting sqref="H139:H142">
    <cfRule type="expression" dxfId="1049" priority="62">
      <formula>H139&gt;0</formula>
    </cfRule>
    <cfRule type="expression" dxfId="1048" priority="63">
      <formula>H139&lt;0</formula>
    </cfRule>
  </conditionalFormatting>
  <conditionalFormatting sqref="F139:F142">
    <cfRule type="expression" dxfId="1047" priority="64">
      <formula>F139&gt;0</formula>
    </cfRule>
    <cfRule type="expression" dxfId="1046" priority="65">
      <formula>F139&lt;0</formula>
    </cfRule>
  </conditionalFormatting>
  <conditionalFormatting sqref="M165">
    <cfRule type="expression" dxfId="1045" priority="60">
      <formula>M165&gt;0</formula>
    </cfRule>
    <cfRule type="expression" dxfId="1044" priority="61">
      <formula>M165&lt;0</formula>
    </cfRule>
  </conditionalFormatting>
  <conditionalFormatting sqref="F39:F40 F47:F84">
    <cfRule type="expression" dxfId="1043" priority="58">
      <formula>F39&gt;0</formula>
    </cfRule>
    <cfRule type="expression" dxfId="1042" priority="59">
      <formula>F39&lt;0</formula>
    </cfRule>
  </conditionalFormatting>
  <conditionalFormatting sqref="H39:H40 H47:H84">
    <cfRule type="expression" dxfId="1041" priority="56">
      <formula>H39&gt;0</formula>
    </cfRule>
    <cfRule type="expression" dxfId="1040" priority="57">
      <formula>H39&lt;0</formula>
    </cfRule>
  </conditionalFormatting>
  <conditionalFormatting sqref="Q10">
    <cfRule type="expression" dxfId="1039" priority="54">
      <formula>Q10&gt;0</formula>
    </cfRule>
    <cfRule type="expression" dxfId="1038" priority="55">
      <formula>Q10&lt;0</formula>
    </cfRule>
  </conditionalFormatting>
  <conditionalFormatting sqref="F41:F46">
    <cfRule type="expression" dxfId="1037" priority="52">
      <formula>F41&gt;0</formula>
    </cfRule>
    <cfRule type="expression" dxfId="1036" priority="53">
      <formula>F41&lt;0</formula>
    </cfRule>
  </conditionalFormatting>
  <conditionalFormatting sqref="H41:H46">
    <cfRule type="expression" dxfId="1035" priority="50">
      <formula>H41&gt;0</formula>
    </cfRule>
    <cfRule type="expression" dxfId="1034" priority="51">
      <formula>H41&lt;0</formula>
    </cfRule>
  </conditionalFormatting>
  <conditionalFormatting sqref="K44:K51">
    <cfRule type="expression" dxfId="1033" priority="48">
      <formula>K44&gt;0</formula>
    </cfRule>
    <cfRule type="expression" dxfId="1032" priority="49">
      <formula>K44&lt;0</formula>
    </cfRule>
  </conditionalFormatting>
  <conditionalFormatting sqref="K52:K84">
    <cfRule type="expression" dxfId="1031" priority="46">
      <formula>K52&gt;0</formula>
    </cfRule>
    <cfRule type="expression" dxfId="1030" priority="47">
      <formula>K52&lt;0</formula>
    </cfRule>
  </conditionalFormatting>
  <conditionalFormatting sqref="F85:F86">
    <cfRule type="expression" dxfId="1029" priority="43">
      <formula>F85&gt;0</formula>
    </cfRule>
    <cfRule type="expression" dxfId="1028" priority="44">
      <formula>F85&lt;0</formula>
    </cfRule>
  </conditionalFormatting>
  <conditionalFormatting sqref="H85:H86">
    <cfRule type="expression" dxfId="1027" priority="41">
      <formula>H85&gt;0</formula>
    </cfRule>
    <cfRule type="expression" dxfId="1026" priority="42">
      <formula>H85&lt;0</formula>
    </cfRule>
  </conditionalFormatting>
  <conditionalFormatting sqref="K85:K86">
    <cfRule type="expression" dxfId="1025" priority="39">
      <formula>K85&gt;0</formula>
    </cfRule>
    <cfRule type="expression" dxfId="1024" priority="40">
      <formula>K85&lt;0</formula>
    </cfRule>
  </conditionalFormatting>
  <conditionalFormatting sqref="F95:F97 H95:H97 K95:K97">
    <cfRule type="expression" dxfId="1023" priority="35">
      <formula>F95&gt;0</formula>
    </cfRule>
    <cfRule type="expression" dxfId="1022" priority="36">
      <formula>F95&lt;0</formula>
    </cfRule>
  </conditionalFormatting>
  <conditionalFormatting sqref="L87:L93 L118:L120">
    <cfRule type="expression" dxfId="1021" priority="33">
      <formula>L87&gt;0</formula>
    </cfRule>
    <cfRule type="expression" dxfId="1020" priority="34">
      <formula>L87&lt;0</formula>
    </cfRule>
  </conditionalFormatting>
  <conditionalFormatting sqref="L44:L51">
    <cfRule type="expression" dxfId="1019" priority="31">
      <formula>L44&gt;0</formula>
    </cfRule>
    <cfRule type="expression" dxfId="1018" priority="32">
      <formula>L44&lt;0</formula>
    </cfRule>
  </conditionalFormatting>
  <conditionalFormatting sqref="L52:L84">
    <cfRule type="expression" dxfId="1017" priority="29">
      <formula>L52&gt;0</formula>
    </cfRule>
    <cfRule type="expression" dxfId="1016" priority="30">
      <formula>L52&lt;0</formula>
    </cfRule>
  </conditionalFormatting>
  <conditionalFormatting sqref="L85:L86">
    <cfRule type="expression" dxfId="1015" priority="27">
      <formula>L85&gt;0</formula>
    </cfRule>
    <cfRule type="expression" dxfId="1014" priority="28">
      <formula>L85&lt;0</formula>
    </cfRule>
  </conditionalFormatting>
  <conditionalFormatting sqref="L95:L97">
    <cfRule type="expression" dxfId="1013" priority="25">
      <formula>L95&gt;0</formula>
    </cfRule>
    <cfRule type="expression" dxfId="1012" priority="26">
      <formula>L95&lt;0</formula>
    </cfRule>
  </conditionalFormatting>
  <conditionalFormatting sqref="K104:K106 F104:F107 H104:H107">
    <cfRule type="expression" dxfId="1011" priority="23">
      <formula>F104&gt;0</formula>
    </cfRule>
    <cfRule type="expression" dxfId="1010" priority="24">
      <formula>F104&lt;0</formula>
    </cfRule>
  </conditionalFormatting>
  <conditionalFormatting sqref="L104:L106">
    <cfRule type="expression" dxfId="1009" priority="21">
      <formula>L104&gt;0</formula>
    </cfRule>
    <cfRule type="expression" dxfId="1008" priority="22">
      <formula>L104&lt;0</formula>
    </cfRule>
  </conditionalFormatting>
  <conditionalFormatting sqref="K101:K103 F101:F103 H101:H103">
    <cfRule type="expression" dxfId="1007" priority="19">
      <formula>F101&gt;0</formula>
    </cfRule>
    <cfRule type="expression" dxfId="1006" priority="20">
      <formula>F101&lt;0</formula>
    </cfRule>
  </conditionalFormatting>
  <conditionalFormatting sqref="L101:L103">
    <cfRule type="expression" dxfId="1005" priority="17">
      <formula>L101&gt;0</formula>
    </cfRule>
    <cfRule type="expression" dxfId="1004" priority="18">
      <formula>L101&lt;0</formula>
    </cfRule>
  </conditionalFormatting>
  <conditionalFormatting sqref="K98:K100 F98:F100 H98:H100">
    <cfRule type="expression" dxfId="1003" priority="15">
      <formula>F98&gt;0</formula>
    </cfRule>
    <cfRule type="expression" dxfId="1002" priority="16">
      <formula>F98&lt;0</formula>
    </cfRule>
  </conditionalFormatting>
  <conditionalFormatting sqref="L99:L100">
    <cfRule type="expression" dxfId="1001" priority="13">
      <formula>L99&gt;0</formula>
    </cfRule>
    <cfRule type="expression" dxfId="1000" priority="14">
      <formula>L99&lt;0</formula>
    </cfRule>
  </conditionalFormatting>
  <conditionalFormatting sqref="K109:L109 K110:K112 H109:H112 F109:F112">
    <cfRule type="expression" dxfId="999" priority="7">
      <formula>F109&gt;0</formula>
    </cfRule>
    <cfRule type="expression" dxfId="998" priority="8">
      <formula>F109&lt;0</formula>
    </cfRule>
  </conditionalFormatting>
  <conditionalFormatting sqref="L110:L112">
    <cfRule type="expression" dxfId="997" priority="5">
      <formula>L110&gt;0</formula>
    </cfRule>
    <cfRule type="expression" dxfId="996" priority="6">
      <formula>L110&lt;0</formula>
    </cfRule>
  </conditionalFormatting>
  <conditionalFormatting sqref="K114:K116 H113:H116 F113:F116 K113:L113">
    <cfRule type="expression" dxfId="995" priority="3">
      <formula>F113&gt;0</formula>
    </cfRule>
    <cfRule type="expression" dxfId="994" priority="4">
      <formula>F113&lt;0</formula>
    </cfRule>
  </conditionalFormatting>
  <conditionalFormatting sqref="L114:L116">
    <cfRule type="expression" dxfId="993" priority="1">
      <formula>L114&gt;0</formula>
    </cfRule>
    <cfRule type="expression" dxfId="992" priority="2">
      <formula>L114&lt;0</formula>
    </cfRule>
  </conditionalFormatting>
  <hyperlinks>
    <hyperlink ref="A3" location="ACTIVE!A1" display="Back"/>
    <hyperlink ref="A168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57.13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57.13</v>
      </c>
      <c r="R4" s="475">
        <v>-3.3E-3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205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9" t="s">
        <v>78</v>
      </c>
      <c r="P40" s="859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62.843000000000011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62.27170000000001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61.700400000000009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61.129100000000008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60.557800000000007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59.986500000000007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59.415200000000006</v>
      </c>
      <c r="Q47" s="2"/>
      <c r="T47" s="91" t="s">
        <v>311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58.843900000000005</v>
      </c>
      <c r="Q48" s="2"/>
      <c r="T48" s="91" t="s">
        <v>312</v>
      </c>
      <c r="U48" s="86" t="s">
        <v>491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58.272600000000004</v>
      </c>
      <c r="Q49" s="2"/>
      <c r="T49" s="91" t="s">
        <v>313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57.701300000000003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57.13</v>
      </c>
      <c r="Q51" s="2"/>
      <c r="T51" s="91" t="s">
        <v>104</v>
      </c>
      <c r="U51" s="86" t="s">
        <v>583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56.558700000000002</v>
      </c>
      <c r="Q52" s="2"/>
      <c r="T52" s="91" t="s">
        <v>105</v>
      </c>
      <c r="U52" s="86" t="s">
        <v>505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55.987400000000001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55.4161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221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231</v>
      </c>
      <c r="M55" s="250"/>
      <c r="O55" s="81">
        <v>0.96</v>
      </c>
      <c r="P55" s="81">
        <f t="shared" si="5"/>
        <v>54.844799999999999</v>
      </c>
      <c r="T55" s="91" t="s">
        <v>314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54.273499999999999</v>
      </c>
      <c r="T56" s="91" t="s">
        <v>315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53.702199999999998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53.130900000000004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52.559600000000003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51.988300000000002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51.417000000000002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91" priority="9">
      <formula>F39&gt;0</formula>
    </cfRule>
    <cfRule type="expression" dxfId="990" priority="10">
      <formula>F39&lt;0</formula>
    </cfRule>
  </conditionalFormatting>
  <conditionalFormatting sqref="F25:F38">
    <cfRule type="expression" dxfId="989" priority="7">
      <formula>F25&gt;0</formula>
    </cfRule>
    <cfRule type="expression" dxfId="988" priority="8">
      <formula>F25&lt;0</formula>
    </cfRule>
  </conditionalFormatting>
  <conditionalFormatting sqref="H25:H38">
    <cfRule type="expression" dxfId="987" priority="5">
      <formula>H25&gt;0</formula>
    </cfRule>
    <cfRule type="expression" dxfId="986" priority="6">
      <formula>H25&lt;0</formula>
    </cfRule>
  </conditionalFormatting>
  <conditionalFormatting sqref="Q7">
    <cfRule type="expression" dxfId="985" priority="3">
      <formula>Q7&gt;0</formula>
    </cfRule>
    <cfRule type="expression" dxfId="984" priority="4">
      <formula>Q7&lt;0</formula>
    </cfRule>
  </conditionalFormatting>
  <conditionalFormatting sqref="Q8">
    <cfRule type="expression" dxfId="983" priority="1">
      <formula>Q8&gt;0</formula>
    </cfRule>
    <cfRule type="expression" dxfId="982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487.68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487.68</v>
      </c>
      <c r="R4" s="495">
        <v>-8.9999999999999998E-4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59" t="s">
        <v>78</v>
      </c>
      <c r="P14" s="859"/>
      <c r="W14" s="134"/>
    </row>
    <row r="15" spans="1:23" ht="15.75" thickTop="1" x14ac:dyDescent="0.25">
      <c r="H15" s="70"/>
      <c r="O15" s="81">
        <v>1.1000000000000001</v>
      </c>
      <c r="P15" s="81">
        <f>O15*$Q$4</f>
        <v>536.44800000000009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531.57120000000009</v>
      </c>
      <c r="W16" s="134"/>
    </row>
    <row r="17" spans="1:23" x14ac:dyDescent="0.25">
      <c r="O17" s="81">
        <v>1.08</v>
      </c>
      <c r="P17" s="81">
        <f t="shared" si="0"/>
        <v>526.69440000000009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521.81760000000008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516.94080000000008</v>
      </c>
      <c r="W19" s="134"/>
    </row>
    <row r="20" spans="1:23" x14ac:dyDescent="0.25">
      <c r="O20" s="81">
        <v>1.05</v>
      </c>
      <c r="P20" s="81">
        <f t="shared" si="0"/>
        <v>512.06400000000008</v>
      </c>
      <c r="W20" s="134"/>
    </row>
    <row r="21" spans="1:23" x14ac:dyDescent="0.25">
      <c r="O21" s="81">
        <v>1.04</v>
      </c>
      <c r="P21" s="81">
        <f t="shared" si="0"/>
        <v>507.18720000000002</v>
      </c>
      <c r="W21" s="134"/>
    </row>
    <row r="22" spans="1:23" x14ac:dyDescent="0.25">
      <c r="O22" s="81">
        <v>1.03</v>
      </c>
      <c r="P22" s="81">
        <f t="shared" si="0"/>
        <v>502.31040000000002</v>
      </c>
      <c r="W22" s="134"/>
    </row>
    <row r="23" spans="1:23" x14ac:dyDescent="0.25">
      <c r="O23" s="81">
        <v>1.02</v>
      </c>
      <c r="P23" s="81">
        <f t="shared" si="0"/>
        <v>497.43360000000001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178</v>
      </c>
      <c r="L24" s="220"/>
      <c r="O24" s="81">
        <v>1.01</v>
      </c>
      <c r="P24" s="81">
        <f t="shared" si="0"/>
        <v>492.55680000000001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487.68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482.8032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477.9264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473.0496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468.1728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463.29599999999999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458.41919999999999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453.54240000000004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448.66560000000004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443.78880000000004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438.91200000000003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81" priority="29">
      <formula>F29&gt;0</formula>
    </cfRule>
    <cfRule type="expression" dxfId="980" priority="30">
      <formula>F29&lt;0</formula>
    </cfRule>
  </conditionalFormatting>
  <conditionalFormatting sqref="Q7">
    <cfRule type="expression" dxfId="979" priority="27">
      <formula>Q7&gt;0</formula>
    </cfRule>
    <cfRule type="expression" dxfId="978" priority="28">
      <formula>Q7&lt;0</formula>
    </cfRule>
  </conditionalFormatting>
  <conditionalFormatting sqref="Q8">
    <cfRule type="expression" dxfId="977" priority="25">
      <formula>Q8&gt;0</formula>
    </cfRule>
    <cfRule type="expression" dxfId="976" priority="26">
      <formula>Q8&lt;0</formula>
    </cfRule>
  </conditionalFormatting>
  <conditionalFormatting sqref="F96:F110">
    <cfRule type="expression" dxfId="975" priority="19">
      <formula>F96&gt;0</formula>
    </cfRule>
    <cfRule type="expression" dxfId="974" priority="20">
      <formula>F96&lt;0</formula>
    </cfRule>
  </conditionalFormatting>
  <conditionalFormatting sqref="H96:H110">
    <cfRule type="expression" dxfId="973" priority="17">
      <formula>H96&gt;0</formula>
    </cfRule>
    <cfRule type="expression" dxfId="972" priority="18">
      <formula>H96&lt;0</formula>
    </cfRule>
  </conditionalFormatting>
  <conditionalFormatting sqref="Q10">
    <cfRule type="expression" dxfId="971" priority="15">
      <formula>Q10&gt;0</formula>
    </cfRule>
    <cfRule type="expression" dxfId="970" priority="16">
      <formula>Q10&lt;0</formula>
    </cfRule>
  </conditionalFormatting>
  <conditionalFormatting sqref="L29:L38">
    <cfRule type="expression" dxfId="969" priority="9">
      <formula>L29&gt;0</formula>
    </cfRule>
    <cfRule type="expression" dxfId="968" priority="10">
      <formula>L29&lt;0</formula>
    </cfRule>
  </conditionalFormatting>
  <conditionalFormatting sqref="F27:F29 H27:H29 J25:K29">
    <cfRule type="expression" dxfId="967" priority="7">
      <formula>F25&gt;0</formula>
    </cfRule>
    <cfRule type="expression" dxfId="966" priority="8">
      <formula>F25&lt;0</formula>
    </cfRule>
  </conditionalFormatting>
  <conditionalFormatting sqref="L25:L29">
    <cfRule type="expression" dxfId="965" priority="5">
      <formula>L25&gt;0</formula>
    </cfRule>
    <cfRule type="expression" dxfId="964" priority="6">
      <formula>L25&lt;0</formula>
    </cfRule>
  </conditionalFormatting>
  <conditionalFormatting sqref="F25:F26">
    <cfRule type="expression" dxfId="963" priority="3">
      <formula>F25&gt;0</formula>
    </cfRule>
    <cfRule type="expression" dxfId="962" priority="4">
      <formula>F25&lt;0</formula>
    </cfRule>
  </conditionalFormatting>
  <conditionalFormatting sqref="H25:H26">
    <cfRule type="expression" dxfId="961" priority="1">
      <formula>H25&gt;0</formula>
    </cfRule>
    <cfRule type="expression" dxfId="960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434">
        <v>43105</v>
      </c>
      <c r="C2" s="7">
        <v>40</v>
      </c>
      <c r="D2" s="43">
        <v>90.08</v>
      </c>
      <c r="E2" s="43">
        <v>0</v>
      </c>
      <c r="F2" s="43">
        <f t="shared" ref="F2:F7" si="0"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863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75.106999999999942</v>
      </c>
      <c r="T3" s="1">
        <v>43114</v>
      </c>
      <c r="U3" t="s">
        <v>864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97.82</v>
      </c>
      <c r="R4" s="495">
        <v>-5.1999999999999998E-3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3912.7999999999997</v>
      </c>
      <c r="T5" s="1">
        <v>43121</v>
      </c>
      <c r="U5" t="s">
        <v>881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3004.2799999999979</v>
      </c>
      <c r="W6" s="134"/>
    </row>
    <row r="7" spans="1:23" x14ac:dyDescent="0.25">
      <c r="B7" s="474">
        <v>43320</v>
      </c>
      <c r="C7" s="4">
        <v>40</v>
      </c>
      <c r="D7" s="3">
        <v>97.88</v>
      </c>
      <c r="E7" s="3">
        <v>0</v>
      </c>
      <c r="F7" s="3">
        <f t="shared" si="0"/>
        <v>3915.2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908.52000000000089</v>
      </c>
      <c r="R7" s="29">
        <v>43353</v>
      </c>
      <c r="T7" s="1">
        <v>43138</v>
      </c>
      <c r="U7" t="s">
        <v>962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908.52000000000089</v>
      </c>
      <c r="T8" s="1"/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0.30240856378233771</v>
      </c>
      <c r="U9" t="s">
        <v>964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966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2.330811694949908E-2</v>
      </c>
      <c r="R11">
        <f>0.57</f>
        <v>0.56999999999999995</v>
      </c>
      <c r="W11" s="134"/>
    </row>
    <row r="12" spans="1:23" x14ac:dyDescent="0.25">
      <c r="H12" s="70"/>
      <c r="O12" s="11" t="s">
        <v>925</v>
      </c>
      <c r="Q12" s="1" t="s">
        <v>1187</v>
      </c>
      <c r="W12" s="134"/>
    </row>
    <row r="13" spans="1:23" x14ac:dyDescent="0.25">
      <c r="H13" s="70"/>
      <c r="O13" s="11" t="s">
        <v>952</v>
      </c>
      <c r="Q13" s="2">
        <f>Q4/4.76</f>
        <v>20.550420168067227</v>
      </c>
      <c r="T13" s="1">
        <v>43213</v>
      </c>
      <c r="U13" t="s">
        <v>965</v>
      </c>
      <c r="W13" s="134"/>
    </row>
    <row r="14" spans="1:23" x14ac:dyDescent="0.25">
      <c r="H14" s="70"/>
      <c r="U14" t="s">
        <v>1003</v>
      </c>
      <c r="W14" s="134"/>
    </row>
    <row r="15" spans="1:23" x14ac:dyDescent="0.25">
      <c r="H15" s="70"/>
      <c r="U15" t="s">
        <v>1004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1072</v>
      </c>
      <c r="W17" s="134"/>
    </row>
    <row r="18" spans="1:23" ht="20.25" thickBot="1" x14ac:dyDescent="0.35">
      <c r="A18" s="31" t="s">
        <v>81</v>
      </c>
      <c r="B18" s="14"/>
      <c r="C18" s="14">
        <f>SUM(C2:C7)</f>
        <v>220</v>
      </c>
      <c r="D18" s="18"/>
      <c r="E18" s="18"/>
      <c r="F18" s="18">
        <f>SUM(F2:F7)</f>
        <v>19616</v>
      </c>
      <c r="G18" s="14"/>
      <c r="H18" s="71">
        <f>SUM(H2:H5)</f>
        <v>180</v>
      </c>
      <c r="I18" s="18"/>
      <c r="J18" s="18"/>
      <c r="K18" s="18">
        <f>SUM(K2:K5)</f>
        <v>16525.920000000002</v>
      </c>
      <c r="L18" s="14"/>
      <c r="M18" s="18">
        <f>SUM(M2:M10)</f>
        <v>85.8</v>
      </c>
      <c r="O18" s="859" t="s">
        <v>78</v>
      </c>
      <c r="P18" s="859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180</v>
      </c>
      <c r="D19" s="343"/>
      <c r="E19" s="343"/>
      <c r="F19" s="344">
        <f>SumByColor($A$19,F2:F17)</f>
        <v>15701</v>
      </c>
      <c r="G19" s="343"/>
      <c r="H19" s="343">
        <f>SumByColor($A$19,H2:H17)</f>
        <v>180</v>
      </c>
      <c r="I19" s="343"/>
      <c r="J19" s="343"/>
      <c r="K19" s="344">
        <f>SumByColor($A$19,K2:K17)</f>
        <v>16526</v>
      </c>
      <c r="L19" s="343"/>
      <c r="M19" s="344">
        <f>SumByColor($A$19,M2:M17)</f>
        <v>86</v>
      </c>
      <c r="O19" s="81">
        <v>1.1000000000000001</v>
      </c>
      <c r="P19" s="81">
        <f>O19*$Q$4</f>
        <v>107.602</v>
      </c>
      <c r="W19" s="134"/>
    </row>
    <row r="20" spans="1:23" x14ac:dyDescent="0.25">
      <c r="O20" s="81">
        <v>1.0900000000000001</v>
      </c>
      <c r="P20" s="81">
        <f t="shared" ref="P20:P39" si="1">O20*$Q$4</f>
        <v>106.6238</v>
      </c>
      <c r="T20" s="1">
        <v>43304</v>
      </c>
      <c r="U20" s="475" t="s">
        <v>1206</v>
      </c>
      <c r="W20" s="134"/>
    </row>
    <row r="21" spans="1:23" x14ac:dyDescent="0.25">
      <c r="O21" s="81">
        <v>1.08</v>
      </c>
      <c r="P21" s="81">
        <f t="shared" si="1"/>
        <v>105.6456</v>
      </c>
      <c r="W21" s="134"/>
    </row>
    <row r="22" spans="1:23" x14ac:dyDescent="0.25">
      <c r="O22" s="81">
        <v>1.07</v>
      </c>
      <c r="P22" s="81">
        <f t="shared" si="1"/>
        <v>104.6674</v>
      </c>
      <c r="T22" s="156">
        <v>43306</v>
      </c>
      <c r="U22" t="s">
        <v>1207</v>
      </c>
      <c r="W22" s="134"/>
    </row>
    <row r="23" spans="1:23" x14ac:dyDescent="0.25">
      <c r="O23" s="81">
        <v>1.06</v>
      </c>
      <c r="P23" s="81">
        <f t="shared" si="1"/>
        <v>103.6892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952</v>
      </c>
      <c r="L24" s="220"/>
      <c r="O24" s="81">
        <v>1.05</v>
      </c>
      <c r="P24" s="81">
        <f t="shared" si="1"/>
        <v>102.711</v>
      </c>
      <c r="W24" s="134"/>
    </row>
    <row r="25" spans="1:23" x14ac:dyDescent="0.25">
      <c r="B25" s="184">
        <v>43105</v>
      </c>
      <c r="C25" s="228">
        <v>40</v>
      </c>
      <c r="D25" s="229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222">
        <f t="shared" ref="H25:H40" si="4">(E25-D25)/D25</f>
        <v>2.5865896980461794E-2</v>
      </c>
      <c r="I25" s="39"/>
      <c r="J25" s="39"/>
      <c r="K25" s="39"/>
      <c r="L25" s="39"/>
      <c r="O25" s="81">
        <v>1.04</v>
      </c>
      <c r="P25" s="81">
        <f t="shared" si="1"/>
        <v>101.7328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222">
        <f t="shared" si="4"/>
        <v>0.1043458831415483</v>
      </c>
      <c r="I26" s="39"/>
      <c r="J26" s="39"/>
      <c r="K26" s="39"/>
      <c r="L26" s="39"/>
      <c r="O26" s="81">
        <v>1.03</v>
      </c>
      <c r="P26" s="81">
        <f t="shared" si="1"/>
        <v>100.7546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222">
        <f t="shared" si="4"/>
        <v>-4.2571212053671486E-3</v>
      </c>
      <c r="I27" s="39"/>
      <c r="J27" s="39"/>
      <c r="K27" s="39"/>
      <c r="L27" s="155"/>
      <c r="O27" s="81">
        <v>1.02</v>
      </c>
      <c r="P27" s="81">
        <f t="shared" si="1"/>
        <v>99.776399999999995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222">
        <f t="shared" si="4"/>
        <v>-2.2199438327464054E-2</v>
      </c>
      <c r="I28" s="39"/>
      <c r="J28" s="39"/>
      <c r="K28" s="39"/>
      <c r="L28" s="155"/>
      <c r="O28" s="81">
        <v>1.01</v>
      </c>
      <c r="P28" s="81">
        <f t="shared" si="1"/>
        <v>98.798199999999994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222">
        <f t="shared" si="4"/>
        <v>-3.6575580617839748E-2</v>
      </c>
      <c r="I29" s="39"/>
      <c r="J29" s="39"/>
      <c r="K29" s="39"/>
      <c r="L29" s="155"/>
      <c r="O29" s="81">
        <v>1</v>
      </c>
      <c r="P29" s="81">
        <f t="shared" si="1"/>
        <v>97.82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222">
        <f t="shared" si="4"/>
        <v>-6.1427361476396387E-2</v>
      </c>
      <c r="I30" s="39"/>
      <c r="J30" s="39"/>
      <c r="K30" s="39"/>
      <c r="L30" s="155"/>
      <c r="O30" s="81">
        <v>0.99</v>
      </c>
      <c r="P30" s="81">
        <f t="shared" si="1"/>
        <v>96.841799999999992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222">
        <f t="shared" si="4"/>
        <v>-5.1843266616145869E-2</v>
      </c>
      <c r="I31" s="39"/>
      <c r="J31" s="39"/>
      <c r="K31" s="39"/>
      <c r="L31" s="155"/>
      <c r="O31" s="81">
        <v>0.98</v>
      </c>
      <c r="P31" s="81">
        <f t="shared" si="1"/>
        <v>95.863599999999991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222">
        <f t="shared" si="4"/>
        <v>-6.3099005928765731E-2</v>
      </c>
      <c r="I32" s="39"/>
      <c r="J32" s="39"/>
      <c r="K32" s="39"/>
      <c r="L32" s="155"/>
      <c r="O32" s="81">
        <v>0.97</v>
      </c>
      <c r="P32" s="81">
        <f t="shared" si="1"/>
        <v>94.88539999999999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222">
        <f t="shared" si="4"/>
        <v>-5.9087059243079311E-2</v>
      </c>
      <c r="I33" s="39"/>
      <c r="J33" s="39">
        <v>36</v>
      </c>
      <c r="K33" s="39">
        <v>12.79</v>
      </c>
      <c r="L33" s="155"/>
      <c r="O33" s="81">
        <v>0.96</v>
      </c>
      <c r="P33" s="81">
        <f t="shared" si="1"/>
        <v>93.907199999999989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222">
        <f t="shared" si="4"/>
        <v>-5.6258695877598519E-2</v>
      </c>
      <c r="I34" s="39"/>
      <c r="J34" s="39"/>
      <c r="K34" s="39">
        <v>12.55</v>
      </c>
      <c r="L34" s="155"/>
      <c r="O34" s="81">
        <v>0.95</v>
      </c>
      <c r="P34" s="81">
        <f t="shared" si="1"/>
        <v>92.928999999999988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222">
        <f t="shared" si="4"/>
        <v>-2.4034233597156743E-2</v>
      </c>
      <c r="I35" s="39"/>
      <c r="J35" s="39"/>
      <c r="K35" s="39"/>
      <c r="L35" s="155"/>
      <c r="O35" s="81">
        <v>0.94</v>
      </c>
      <c r="P35" s="81">
        <f t="shared" si="1"/>
        <v>91.950799999999987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222">
        <f t="shared" si="4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1"/>
        <v>90.9726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222">
        <f t="shared" si="4"/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1"/>
        <v>89.994399999999999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222">
        <f t="shared" si="4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1"/>
        <v>89.016199999999998</v>
      </c>
      <c r="W38" s="134"/>
    </row>
    <row r="39" spans="1:23" x14ac:dyDescent="0.25">
      <c r="B39" s="184">
        <v>43258</v>
      </c>
      <c r="C39" s="228">
        <v>40</v>
      </c>
      <c r="D39" s="229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222">
        <f t="shared" si="4"/>
        <v>7.5497997594934155E-2</v>
      </c>
      <c r="I39" s="39"/>
      <c r="J39" s="39"/>
      <c r="K39" s="39">
        <v>18.66</v>
      </c>
      <c r="L39" s="39"/>
      <c r="O39" s="81">
        <v>0.9</v>
      </c>
      <c r="P39" s="81">
        <f t="shared" si="1"/>
        <v>88.037999999999997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222">
        <f t="shared" si="4"/>
        <v>0.13744248001937526</v>
      </c>
      <c r="I40" s="39"/>
      <c r="J40" s="39"/>
      <c r="K40" s="39">
        <v>19.73</v>
      </c>
      <c r="L40" s="39"/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82.58</v>
      </c>
      <c r="E41" s="39">
        <v>105.35</v>
      </c>
      <c r="F41" s="39">
        <f t="shared" ref="F41:F42" si="5">C41*(E41-D41)</f>
        <v>0</v>
      </c>
      <c r="G41" s="39">
        <f t="shared" ref="G41:G42" si="6">D41*C41</f>
        <v>0</v>
      </c>
      <c r="H41" s="222">
        <f t="shared" ref="H41:H42" si="7"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84">
        <v>43320</v>
      </c>
      <c r="C42" s="228">
        <v>40</v>
      </c>
      <c r="D42" s="229">
        <v>75.106999999999999</v>
      </c>
      <c r="E42" s="39">
        <v>97.68</v>
      </c>
      <c r="F42" s="39">
        <f t="shared" si="5"/>
        <v>902.9200000000003</v>
      </c>
      <c r="G42" s="39">
        <f t="shared" si="6"/>
        <v>3004.2799999999997</v>
      </c>
      <c r="H42" s="222">
        <f t="shared" si="7"/>
        <v>0.30054455643282263</v>
      </c>
      <c r="I42" s="39"/>
      <c r="J42" s="39"/>
      <c r="K42" s="39">
        <v>20.91</v>
      </c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828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959" priority="29">
      <formula>F60&gt;0</formula>
    </cfRule>
    <cfRule type="expression" dxfId="958" priority="30">
      <formula>F60&lt;0</formula>
    </cfRule>
  </conditionalFormatting>
  <conditionalFormatting sqref="Q7">
    <cfRule type="expression" dxfId="957" priority="27">
      <formula>Q7&gt;0</formula>
    </cfRule>
    <cfRule type="expression" dxfId="956" priority="28">
      <formula>Q7&lt;0</formula>
    </cfRule>
  </conditionalFormatting>
  <conditionalFormatting sqref="Q8">
    <cfRule type="expression" dxfId="955" priority="25">
      <formula>Q8&gt;0</formula>
    </cfRule>
    <cfRule type="expression" dxfId="954" priority="26">
      <formula>Q8&lt;0</formula>
    </cfRule>
  </conditionalFormatting>
  <conditionalFormatting sqref="F25:F29 F34:F59">
    <cfRule type="expression" dxfId="953" priority="23">
      <formula>F25&gt;0</formula>
    </cfRule>
    <cfRule type="expression" dxfId="952" priority="24">
      <formula>F25&lt;0</formula>
    </cfRule>
  </conditionalFormatting>
  <conditionalFormatting sqref="H25:H29 H34:H59">
    <cfRule type="expression" dxfId="951" priority="21">
      <formula>H25&gt;0</formula>
    </cfRule>
    <cfRule type="expression" dxfId="950" priority="22">
      <formula>H25&lt;0</formula>
    </cfRule>
  </conditionalFormatting>
  <conditionalFormatting sqref="F89:F110">
    <cfRule type="expression" dxfId="949" priority="19">
      <formula>F89&gt;0</formula>
    </cfRule>
    <cfRule type="expression" dxfId="948" priority="20">
      <formula>F89&lt;0</formula>
    </cfRule>
  </conditionalFormatting>
  <conditionalFormatting sqref="H89:H110">
    <cfRule type="expression" dxfId="947" priority="17">
      <formula>H89&gt;0</formula>
    </cfRule>
    <cfRule type="expression" dxfId="946" priority="18">
      <formula>H89&lt;0</formula>
    </cfRule>
  </conditionalFormatting>
  <conditionalFormatting sqref="Q10">
    <cfRule type="expression" dxfId="945" priority="15">
      <formula>Q10&gt;0</formula>
    </cfRule>
    <cfRule type="expression" dxfId="944" priority="16">
      <formula>Q10&lt;0</formula>
    </cfRule>
  </conditionalFormatting>
  <conditionalFormatting sqref="J25:J32 J34:J38">
    <cfRule type="expression" dxfId="943" priority="13">
      <formula>J25&gt;0</formula>
    </cfRule>
    <cfRule type="expression" dxfId="942" priority="14">
      <formula>J25&lt;0</formula>
    </cfRule>
  </conditionalFormatting>
  <conditionalFormatting sqref="K25:K30">
    <cfRule type="expression" dxfId="941" priority="11">
      <formula>K25&gt;0</formula>
    </cfRule>
    <cfRule type="expression" dxfId="940" priority="12">
      <formula>K25&lt;0</formula>
    </cfRule>
  </conditionalFormatting>
  <conditionalFormatting sqref="L25:L38">
    <cfRule type="expression" dxfId="939" priority="9">
      <formula>L25&gt;0</formula>
    </cfRule>
    <cfRule type="expression" dxfId="938" priority="10">
      <formula>L25&lt;0</formula>
    </cfRule>
  </conditionalFormatting>
  <conditionalFormatting sqref="F30:F33">
    <cfRule type="expression" dxfId="937" priority="7">
      <formula>F30&gt;0</formula>
    </cfRule>
    <cfRule type="expression" dxfId="936" priority="8">
      <formula>F30&lt;0</formula>
    </cfRule>
  </conditionalFormatting>
  <conditionalFormatting sqref="H30:H33">
    <cfRule type="expression" dxfId="935" priority="5">
      <formula>H30&gt;0</formula>
    </cfRule>
    <cfRule type="expression" dxfId="934" priority="6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999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78.53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78.53</v>
      </c>
      <c r="R4" s="495">
        <v>-3.3999999999999998E-3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792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791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795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793</v>
      </c>
      <c r="W9" s="134"/>
    </row>
    <row r="10" spans="1:23" x14ac:dyDescent="0.25">
      <c r="H10" s="70"/>
      <c r="O10" s="11" t="s">
        <v>205</v>
      </c>
      <c r="P10" s="33"/>
      <c r="Q10" s="2">
        <f>M41</f>
        <v>459.31999999999971</v>
      </c>
      <c r="U10" t="s">
        <v>794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925</v>
      </c>
      <c r="Q12" s="1" t="s">
        <v>1198</v>
      </c>
      <c r="T12" s="1">
        <v>43114</v>
      </c>
      <c r="U12" t="s">
        <v>845</v>
      </c>
      <c r="W12" s="134"/>
    </row>
    <row r="13" spans="1:23" x14ac:dyDescent="0.25">
      <c r="H13" s="70"/>
      <c r="O13" s="11" t="s">
        <v>952</v>
      </c>
      <c r="Q13" s="2">
        <f>Q4/(4.03+4.14)*2</f>
        <v>19.223990208078337</v>
      </c>
      <c r="U13" t="s">
        <v>846</v>
      </c>
      <c r="W13" s="134"/>
    </row>
    <row r="14" spans="1:23" x14ac:dyDescent="0.25">
      <c r="H14" s="70"/>
      <c r="U14" t="s">
        <v>848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59" t="s">
        <v>78</v>
      </c>
      <c r="P16" s="859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86.38300000000001</v>
      </c>
      <c r="Q17" s="2"/>
      <c r="U17" t="s">
        <v>951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85.597700000000003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84.812400000000011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84.027100000000004</v>
      </c>
      <c r="Q20" s="2"/>
      <c r="W20" s="134"/>
    </row>
    <row r="21" spans="1:23" x14ac:dyDescent="0.25">
      <c r="O21" s="81">
        <v>1.06</v>
      </c>
      <c r="P21" s="81">
        <f t="shared" si="0"/>
        <v>83.241800000000012</v>
      </c>
      <c r="Q21" s="2"/>
      <c r="T21" s="1">
        <v>43283</v>
      </c>
      <c r="U21" t="s">
        <v>1128</v>
      </c>
      <c r="W21" s="134"/>
    </row>
    <row r="22" spans="1:23" x14ac:dyDescent="0.25">
      <c r="O22" s="81">
        <v>1.05</v>
      </c>
      <c r="P22" s="81">
        <f t="shared" si="0"/>
        <v>82.456500000000005</v>
      </c>
      <c r="Q22" s="2"/>
      <c r="W22" s="134"/>
    </row>
    <row r="23" spans="1:23" x14ac:dyDescent="0.25">
      <c r="O23" s="81">
        <v>1.04</v>
      </c>
      <c r="P23" s="81">
        <f t="shared" si="0"/>
        <v>81.671199999999999</v>
      </c>
      <c r="Q23" s="2"/>
      <c r="T23" s="1">
        <v>43318</v>
      </c>
      <c r="U23" t="s">
        <v>1230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M24" s="220" t="s">
        <v>150</v>
      </c>
      <c r="O24" s="81">
        <v>1.03</v>
      </c>
      <c r="P24" s="81">
        <f t="shared" si="0"/>
        <v>80.885900000000007</v>
      </c>
      <c r="Q24" s="2"/>
      <c r="U24" t="s">
        <v>1231</v>
      </c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80.1006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79.315300000000008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78.53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77.744699999999995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76.959400000000002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76.174099999999996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75.388800000000003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74.603499999999997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73.81819999999999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73.032899999999998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72.247600000000006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71.462299999999999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70.677000000000007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712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490</v>
      </c>
      <c r="K64" s="488"/>
      <c r="L64" s="488" t="s">
        <v>952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847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872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895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33" priority="49">
      <formula>Q7&gt;0</formula>
    </cfRule>
    <cfRule type="expression" dxfId="932" priority="50">
      <formula>Q7&lt;0</formula>
    </cfRule>
  </conditionalFormatting>
  <conditionalFormatting sqref="Q8">
    <cfRule type="expression" dxfId="931" priority="47">
      <formula>Q8&gt;0</formula>
    </cfRule>
    <cfRule type="expression" dxfId="930" priority="48">
      <formula>Q8&lt;0</formula>
    </cfRule>
  </conditionalFormatting>
  <conditionalFormatting sqref="F26:F38">
    <cfRule type="expression" dxfId="929" priority="45">
      <formula>F26&gt;0</formula>
    </cfRule>
    <cfRule type="expression" dxfId="928" priority="46">
      <formula>F26&lt;0</formula>
    </cfRule>
  </conditionalFormatting>
  <conditionalFormatting sqref="H26:H38">
    <cfRule type="expression" dxfId="927" priority="43">
      <formula>H26&gt;0</formula>
    </cfRule>
    <cfRule type="expression" dxfId="926" priority="44">
      <formula>H26&lt;0</formula>
    </cfRule>
  </conditionalFormatting>
  <conditionalFormatting sqref="H25">
    <cfRule type="expression" dxfId="925" priority="23">
      <formula>H25&gt;0</formula>
    </cfRule>
    <cfRule type="expression" dxfId="924" priority="24">
      <formula>H25&lt;0</formula>
    </cfRule>
  </conditionalFormatting>
  <conditionalFormatting sqref="Q10">
    <cfRule type="expression" dxfId="923" priority="37">
      <formula>Q10&gt;0</formula>
    </cfRule>
    <cfRule type="expression" dxfId="922" priority="38">
      <formula>Q10&lt;0</formula>
    </cfRule>
  </conditionalFormatting>
  <conditionalFormatting sqref="F25">
    <cfRule type="expression" dxfId="921" priority="25">
      <formula>F25&gt;0</formula>
    </cfRule>
    <cfRule type="expression" dxfId="920" priority="26">
      <formula>F25&lt;0</formula>
    </cfRule>
  </conditionalFormatting>
  <conditionalFormatting sqref="J65:K72">
    <cfRule type="expression" dxfId="919" priority="19">
      <formula>J65&gt;0</formula>
    </cfRule>
    <cfRule type="expression" dxfId="918" priority="20">
      <formula>J65&lt;0</formula>
    </cfRule>
  </conditionalFormatting>
  <conditionalFormatting sqref="F65:F83 F89">
    <cfRule type="expression" dxfId="917" priority="17">
      <formula>F65&gt;0</formula>
    </cfRule>
    <cfRule type="expression" dxfId="916" priority="18">
      <formula>F65&lt;0</formula>
    </cfRule>
  </conditionalFormatting>
  <conditionalFormatting sqref="H65:H83 H89">
    <cfRule type="expression" dxfId="915" priority="15">
      <formula>H65&gt;0</formula>
    </cfRule>
    <cfRule type="expression" dxfId="914" priority="16">
      <formula>H65&lt;0</formula>
    </cfRule>
  </conditionalFormatting>
  <conditionalFormatting sqref="J76:J78">
    <cfRule type="expression" dxfId="913" priority="13">
      <formula>J76&gt;0</formula>
    </cfRule>
    <cfRule type="expression" dxfId="912" priority="14">
      <formula>J76&lt;0</formula>
    </cfRule>
  </conditionalFormatting>
  <conditionalFormatting sqref="K76:K78">
    <cfRule type="expression" dxfId="911" priority="11">
      <formula>K76&gt;0</formula>
    </cfRule>
    <cfRule type="expression" dxfId="910" priority="12">
      <formula>K76&lt;0</formula>
    </cfRule>
  </conditionalFormatting>
  <conditionalFormatting sqref="L65:L78">
    <cfRule type="expression" dxfId="909" priority="9">
      <formula>L65&gt;0</formula>
    </cfRule>
    <cfRule type="expression" dxfId="908" priority="10">
      <formula>L65&lt;0</formula>
    </cfRule>
  </conditionalFormatting>
  <conditionalFormatting sqref="F84:F88">
    <cfRule type="expression" dxfId="907" priority="7">
      <formula>F84&gt;0</formula>
    </cfRule>
    <cfRule type="expression" dxfId="906" priority="8">
      <formula>F84&lt;0</formula>
    </cfRule>
  </conditionalFormatting>
  <conditionalFormatting sqref="H84:H88">
    <cfRule type="expression" dxfId="905" priority="5">
      <formula>H84&gt;0</formula>
    </cfRule>
    <cfRule type="expression" dxfId="904" priority="6">
      <formula>H84&lt;0</formula>
    </cfRule>
  </conditionalFormatting>
  <conditionalFormatting sqref="M65:M78">
    <cfRule type="expression" dxfId="903" priority="3">
      <formula>M65&gt;0</formula>
    </cfRule>
    <cfRule type="expression" dxfId="902" priority="4">
      <formula>M65&lt;0</formula>
    </cfRule>
  </conditionalFormatting>
  <conditionalFormatting sqref="M26:M31">
    <cfRule type="expression" dxfId="901" priority="1">
      <formula>M26&gt;0</formula>
    </cfRule>
    <cfRule type="expression" dxfId="900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803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10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400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226</v>
      </c>
      <c r="AJ2">
        <f>$Q$2*$Q$4</f>
        <v>8979.9599999999991</v>
      </c>
      <c r="AK2">
        <f ca="1">AJ2*EXP(-$X$2 * AI2/365.25)</f>
        <v>17518.37006015822</v>
      </c>
      <c r="AM2" s="2">
        <f>Q10</f>
        <v>0</v>
      </c>
      <c r="AO2">
        <f ca="1" xml:space="preserve"> (SUM(AB:AB) - SUM(AE:AE) - SUM(AH:AH) - SUM(AK:AK))/SUM(AB:AB)</f>
        <v>-0.50448156952317125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29.624349999999986</v>
      </c>
      <c r="U3" t="s">
        <v>997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226</v>
      </c>
      <c r="AJ3">
        <f t="shared" ref="AJ3:AJ17" si="11">$Q$2*$Q$4</f>
        <v>8979.9599999999991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22.4499</v>
      </c>
      <c r="R4" s="495">
        <v>-6.6E-3</v>
      </c>
      <c r="U4" t="s">
        <v>998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226</v>
      </c>
      <c r="AJ4">
        <f t="shared" si="11"/>
        <v>8979.9599999999991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4"/>
      <c r="M5" s="4"/>
      <c r="O5" s="11" t="s">
        <v>67</v>
      </c>
      <c r="Q5" s="3">
        <f>Q4*Q2</f>
        <v>8979.9599999999991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226</v>
      </c>
      <c r="AJ5">
        <f t="shared" si="11"/>
        <v>8979.9599999999991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11849.739999999994</v>
      </c>
      <c r="T6" s="1">
        <v>43032</v>
      </c>
      <c r="U6" t="s">
        <v>862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226</v>
      </c>
      <c r="AJ6">
        <f t="shared" si="11"/>
        <v>8979.9599999999991</v>
      </c>
    </row>
    <row r="7" spans="1:41" x14ac:dyDescent="0.25">
      <c r="B7" s="434">
        <v>43160</v>
      </c>
      <c r="C7" s="4">
        <v>100</v>
      </c>
      <c r="D7" s="3">
        <v>28.28</v>
      </c>
      <c r="E7" s="3">
        <v>0</v>
      </c>
      <c r="F7" s="3">
        <f t="shared" ref="F7:F19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-2869.7799999999952</v>
      </c>
      <c r="R7">
        <v>100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226</v>
      </c>
      <c r="AJ7">
        <f t="shared" si="11"/>
        <v>8979.9599999999991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-2869.7799999999952</v>
      </c>
      <c r="T8" s="1">
        <v>43121</v>
      </c>
      <c r="U8" t="s">
        <v>880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226</v>
      </c>
      <c r="AJ8">
        <f t="shared" si="11"/>
        <v>8979.9599999999991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34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206</v>
      </c>
      <c r="Q9" s="134">
        <f>IF(Q2=0, 0, Q8/Q6)</f>
        <v>-0.24218084109862298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226</v>
      </c>
      <c r="AJ9">
        <f t="shared" si="11"/>
        <v>8979.9599999999991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434">
        <v>43318</v>
      </c>
      <c r="H10" s="80">
        <v>100</v>
      </c>
      <c r="I10" s="43">
        <v>24.95</v>
      </c>
      <c r="J10" s="43">
        <v>0</v>
      </c>
      <c r="K10" s="43">
        <f t="shared" si="0"/>
        <v>2495</v>
      </c>
      <c r="O10" s="11" t="s">
        <v>205</v>
      </c>
      <c r="P10" s="33"/>
      <c r="Q10" s="2">
        <f>M78</f>
        <v>0</v>
      </c>
      <c r="T10" s="1">
        <v>43160</v>
      </c>
      <c r="U10" t="s">
        <v>953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2495</v>
      </c>
      <c r="AE10">
        <f t="shared" si="6"/>
        <v>4781.7284244941156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226</v>
      </c>
      <c r="AJ10">
        <f t="shared" si="11"/>
        <v>8979.9599999999991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H11" s="70"/>
      <c r="O11" s="11" t="s">
        <v>176</v>
      </c>
      <c r="P11" s="33"/>
      <c r="Q11" s="134">
        <f>R11*4/Q4</f>
        <v>4.6325373386963867E-2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-43098</v>
      </c>
      <c r="AD11" s="2">
        <f t="shared" si="5"/>
        <v>0</v>
      </c>
      <c r="AE11">
        <f t="shared" si="6"/>
        <v>0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226</v>
      </c>
      <c r="AJ11">
        <f t="shared" si="11"/>
        <v>8979.9599999999991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H12" s="70"/>
      <c r="O12" s="11" t="s">
        <v>925</v>
      </c>
      <c r="Q12" s="19" t="s">
        <v>1200</v>
      </c>
      <c r="T12" s="1">
        <v>43223</v>
      </c>
      <c r="U12" t="s">
        <v>1036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-43098</v>
      </c>
      <c r="AD12" s="2">
        <f t="shared" si="5"/>
        <v>0</v>
      </c>
      <c r="AE12">
        <f t="shared" si="6"/>
        <v>0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226</v>
      </c>
      <c r="AJ12">
        <f t="shared" si="11"/>
        <v>8979.9599999999991</v>
      </c>
    </row>
    <row r="13" spans="1:41" x14ac:dyDescent="0.25">
      <c r="B13" s="434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H13" s="70"/>
      <c r="O13" s="11" t="s">
        <v>952</v>
      </c>
      <c r="Q13" s="2">
        <f>Q4/(1.65+1.75)*2</f>
        <v>13.205823529411765</v>
      </c>
      <c r="U13" t="s">
        <v>1037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-43098</v>
      </c>
      <c r="AD13" s="2">
        <f t="shared" si="5"/>
        <v>0</v>
      </c>
      <c r="AE13">
        <f t="shared" si="6"/>
        <v>0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226</v>
      </c>
      <c r="AJ13">
        <f t="shared" si="11"/>
        <v>8979.9599999999991</v>
      </c>
    </row>
    <row r="14" spans="1:41" x14ac:dyDescent="0.25">
      <c r="B14" s="434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1088</v>
      </c>
      <c r="Q14" s="821">
        <v>-1.08</v>
      </c>
      <c r="U14" t="s">
        <v>1038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226</v>
      </c>
      <c r="AJ14">
        <f t="shared" si="11"/>
        <v>8979.9599999999991</v>
      </c>
    </row>
    <row r="15" spans="1:41" x14ac:dyDescent="0.25">
      <c r="B15" s="72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O15" s="11" t="s">
        <v>1039</v>
      </c>
      <c r="Q15" s="29">
        <v>43324</v>
      </c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226</v>
      </c>
      <c r="AJ15">
        <f t="shared" si="11"/>
        <v>8979.9599999999991</v>
      </c>
    </row>
    <row r="16" spans="1:41" x14ac:dyDescent="0.25">
      <c r="B16" s="474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1050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226</v>
      </c>
      <c r="AJ16">
        <f t="shared" si="11"/>
        <v>8979.9599999999991</v>
      </c>
    </row>
    <row r="17" spans="1:39" x14ac:dyDescent="0.25">
      <c r="B17" s="474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226</v>
      </c>
      <c r="AJ17">
        <f t="shared" si="11"/>
        <v>8979.9599999999991</v>
      </c>
      <c r="AM17" s="2"/>
    </row>
    <row r="18" spans="1:39" ht="20.25" thickBot="1" x14ac:dyDescent="0.35">
      <c r="B18" s="474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59" t="s">
        <v>78</v>
      </c>
      <c r="P18" s="859"/>
      <c r="T18" s="1">
        <v>43236</v>
      </c>
      <c r="U18" t="s">
        <v>1064</v>
      </c>
      <c r="W18" s="134"/>
    </row>
    <row r="19" spans="1:39" ht="15.75" thickTop="1" x14ac:dyDescent="0.25">
      <c r="C19" s="4"/>
      <c r="D19" s="3"/>
      <c r="E19" s="3"/>
      <c r="F19" s="3"/>
      <c r="O19" s="81">
        <v>1.1000000000000001</v>
      </c>
      <c r="P19" s="81">
        <f>O19*$Q$4</f>
        <v>24.694890000000001</v>
      </c>
      <c r="W19" s="134"/>
    </row>
    <row r="20" spans="1:39" x14ac:dyDescent="0.25">
      <c r="C20" s="4"/>
      <c r="D20" s="3"/>
      <c r="E20" s="3"/>
      <c r="F20" s="3"/>
      <c r="H20" s="70"/>
      <c r="O20" s="81">
        <v>1.0900000000000001</v>
      </c>
      <c r="P20" s="81">
        <f t="shared" ref="P20:P39" si="13">O20*$Q$4</f>
        <v>24.470391000000003</v>
      </c>
      <c r="T20" s="1">
        <v>43244</v>
      </c>
      <c r="U20" t="s">
        <v>1078</v>
      </c>
      <c r="W20" s="134"/>
    </row>
    <row r="21" spans="1:39" x14ac:dyDescent="0.25">
      <c r="O21" s="81">
        <v>1.08</v>
      </c>
      <c r="P21" s="81">
        <f t="shared" si="13"/>
        <v>24.245892000000001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24.021393</v>
      </c>
      <c r="T22" s="156">
        <v>43288</v>
      </c>
      <c r="U22" t="s">
        <v>1165</v>
      </c>
      <c r="W22" s="134"/>
    </row>
    <row r="23" spans="1:39" x14ac:dyDescent="0.25">
      <c r="O23" s="81">
        <v>1.06</v>
      </c>
      <c r="P23" s="81">
        <f t="shared" si="13"/>
        <v>23.796894000000002</v>
      </c>
      <c r="W23" s="134"/>
    </row>
    <row r="24" spans="1:39" x14ac:dyDescent="0.25">
      <c r="A24" s="31" t="s">
        <v>81</v>
      </c>
      <c r="B24" s="14"/>
      <c r="C24" s="14">
        <f>SUM(C2:C22)</f>
        <v>1497</v>
      </c>
      <c r="D24" s="18"/>
      <c r="E24" s="18"/>
      <c r="F24" s="18">
        <f>SUM(F2:F22)</f>
        <v>38843.699999999997</v>
      </c>
      <c r="G24" s="14"/>
      <c r="H24" s="71">
        <f>SUM(H2:H10)</f>
        <v>1097</v>
      </c>
      <c r="I24" s="18"/>
      <c r="J24" s="18"/>
      <c r="K24" s="18">
        <f>SUM(K2:K10)</f>
        <v>26733.960000000003</v>
      </c>
      <c r="L24" s="14"/>
      <c r="M24" s="18">
        <f>SUM(M2:M10)</f>
        <v>260</v>
      </c>
      <c r="O24" s="81">
        <v>1.05</v>
      </c>
      <c r="P24" s="81">
        <f t="shared" si="13"/>
        <v>23.572395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1097</v>
      </c>
      <c r="D25" s="343"/>
      <c r="E25" s="343"/>
      <c r="F25" s="344">
        <f>SumByColor($A$25,F2:F23)</f>
        <v>25201</v>
      </c>
      <c r="G25" s="343"/>
      <c r="H25" s="343">
        <f>SumByColor($A$25,H2:H23)</f>
        <v>1097</v>
      </c>
      <c r="I25" s="343"/>
      <c r="J25" s="343"/>
      <c r="K25" s="344">
        <f>SumByColor($A$25,K2:K23)</f>
        <v>26734</v>
      </c>
      <c r="L25" s="343"/>
      <c r="M25" s="344">
        <f>SumByColor($A$25,M2:M23)</f>
        <v>260</v>
      </c>
      <c r="O25" s="81">
        <v>1.04</v>
      </c>
      <c r="P25" s="81">
        <f t="shared" si="13"/>
        <v>23.347895999999999</v>
      </c>
      <c r="T25" s="156">
        <v>43318</v>
      </c>
      <c r="U25" t="s">
        <v>1170</v>
      </c>
      <c r="W25" s="134"/>
    </row>
    <row r="26" spans="1:39" x14ac:dyDescent="0.25">
      <c r="O26" s="81">
        <v>1.03</v>
      </c>
      <c r="P26" s="81">
        <f t="shared" si="13"/>
        <v>23.123397000000001</v>
      </c>
      <c r="W26" s="134"/>
    </row>
    <row r="27" spans="1:39" x14ac:dyDescent="0.25">
      <c r="O27" s="81">
        <v>1.02</v>
      </c>
      <c r="P27" s="81">
        <f t="shared" si="13"/>
        <v>22.898897999999999</v>
      </c>
      <c r="W27" s="134"/>
    </row>
    <row r="28" spans="1:39" x14ac:dyDescent="0.25">
      <c r="O28" s="81">
        <v>1.01</v>
      </c>
      <c r="P28" s="81">
        <f t="shared" si="13"/>
        <v>22.674399000000001</v>
      </c>
      <c r="W28" s="134"/>
    </row>
    <row r="29" spans="1:39" x14ac:dyDescent="0.25">
      <c r="O29" s="81">
        <v>1</v>
      </c>
      <c r="P29" s="81">
        <f t="shared" si="13"/>
        <v>22.4499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490</v>
      </c>
      <c r="K30" s="220"/>
      <c r="L30" s="220" t="s">
        <v>952</v>
      </c>
      <c r="O30" s="81">
        <v>0.99</v>
      </c>
      <c r="P30" s="81">
        <f t="shared" si="13"/>
        <v>22.225400999999998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22.000902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21.776402999999998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21.551904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21.327404999999999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21.102905999999997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20.878406999999999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20.653908000000001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20.429409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20.204910000000002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922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8" si="18">D42*C42</f>
        <v>13285.12</v>
      </c>
      <c r="H42" s="222">
        <f t="shared" ref="H42:H68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8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1115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753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84">
        <v>43306</v>
      </c>
      <c r="C63" s="425">
        <v>400</v>
      </c>
      <c r="D63" s="426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222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8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222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8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222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84">
        <v>43311</v>
      </c>
      <c r="C66" s="425">
        <v>400</v>
      </c>
      <c r="D66" s="426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222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8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222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84">
        <v>43319</v>
      </c>
      <c r="C68" s="425">
        <v>400</v>
      </c>
      <c r="D68" s="426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222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/>
      <c r="B69" s="184"/>
      <c r="C69" s="10"/>
      <c r="D69" s="39"/>
      <c r="E69" s="39"/>
      <c r="F69" s="39"/>
      <c r="G69" s="39"/>
      <c r="H69" s="222"/>
      <c r="I69" s="39"/>
      <c r="J69" s="39"/>
      <c r="K69" s="39"/>
      <c r="L69" s="39"/>
      <c r="W69" s="134"/>
    </row>
    <row r="70" spans="1:23" x14ac:dyDescent="0.25">
      <c r="A70" s="4"/>
      <c r="B70" s="184"/>
      <c r="C70" s="10"/>
      <c r="D70" s="39"/>
      <c r="E70" s="39"/>
      <c r="F70" s="39"/>
      <c r="G70" s="39"/>
      <c r="H70" s="222"/>
      <c r="I70" s="39"/>
      <c r="J70" s="39"/>
      <c r="K70" s="39"/>
      <c r="L70" s="39"/>
    </row>
    <row r="71" spans="1:23" x14ac:dyDescent="0.25">
      <c r="A71" s="4"/>
      <c r="B71" s="184"/>
      <c r="C71" s="10"/>
      <c r="D71" s="39"/>
      <c r="E71" s="39"/>
      <c r="F71" s="39"/>
      <c r="G71" s="39"/>
      <c r="H71" s="222"/>
      <c r="I71" s="39"/>
      <c r="J71" s="39"/>
      <c r="K71" s="39"/>
      <c r="L71" s="39"/>
    </row>
    <row r="72" spans="1:23" x14ac:dyDescent="0.25">
      <c r="A72" s="4"/>
      <c r="B72" s="184"/>
      <c r="C72" s="10"/>
      <c r="D72" s="39"/>
      <c r="E72" s="39"/>
      <c r="F72" s="39"/>
      <c r="G72" s="39"/>
      <c r="H72" s="222"/>
      <c r="I72" s="39"/>
      <c r="J72" s="39"/>
      <c r="K72" s="39"/>
      <c r="L72" s="39"/>
    </row>
    <row r="73" spans="1:23" x14ac:dyDescent="0.25">
      <c r="A73" s="4"/>
      <c r="B73" s="184"/>
      <c r="C73" s="10"/>
      <c r="D73" s="39"/>
      <c r="E73" s="39"/>
      <c r="F73" s="39"/>
      <c r="G73" s="39"/>
      <c r="H73" s="222"/>
      <c r="I73" s="39"/>
      <c r="J73" s="39"/>
      <c r="K73" s="39"/>
      <c r="L73" s="39"/>
    </row>
    <row r="74" spans="1:23" x14ac:dyDescent="0.25">
      <c r="A74" s="4"/>
      <c r="B74" s="184"/>
      <c r="C74" s="10"/>
      <c r="D74" s="39"/>
      <c r="E74" s="39"/>
      <c r="F74" s="39"/>
      <c r="G74" s="39"/>
      <c r="H74" s="222"/>
      <c r="I74" s="39"/>
      <c r="J74" s="39"/>
      <c r="K74" s="39"/>
      <c r="L74" s="39"/>
    </row>
    <row r="75" spans="1:23" x14ac:dyDescent="0.25">
      <c r="A75" s="4"/>
      <c r="B75" s="184"/>
      <c r="C75" s="10"/>
      <c r="D75" s="39"/>
      <c r="E75" s="39"/>
      <c r="F75" s="39"/>
      <c r="G75" s="39"/>
      <c r="H75" s="222"/>
      <c r="I75" s="39"/>
      <c r="J75" s="39"/>
      <c r="K75" s="39"/>
      <c r="L75" s="39"/>
    </row>
    <row r="76" spans="1:23" x14ac:dyDescent="0.25">
      <c r="A76" s="4"/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23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</row>
    <row r="78" spans="1:23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 t="s">
        <v>65</v>
      </c>
      <c r="M78" s="2">
        <f>M96+K96-F96</f>
        <v>0</v>
      </c>
    </row>
    <row r="79" spans="1:23" x14ac:dyDescent="0.25">
      <c r="A79" s="510" t="s">
        <v>1</v>
      </c>
      <c r="B79" s="510" t="s">
        <v>2</v>
      </c>
      <c r="C79" s="510" t="s">
        <v>4</v>
      </c>
      <c r="D79" s="511" t="s">
        <v>5</v>
      </c>
      <c r="E79" s="511" t="s">
        <v>94</v>
      </c>
      <c r="F79" s="511" t="s">
        <v>60</v>
      </c>
      <c r="G79" s="510" t="s">
        <v>3</v>
      </c>
      <c r="H79" s="510" t="s">
        <v>6</v>
      </c>
      <c r="I79" s="511" t="s">
        <v>7</v>
      </c>
      <c r="J79" s="511" t="s">
        <v>95</v>
      </c>
      <c r="K79" s="511" t="s">
        <v>61</v>
      </c>
      <c r="L79" s="510" t="s">
        <v>37</v>
      </c>
      <c r="M79" s="510" t="s">
        <v>38</v>
      </c>
    </row>
    <row r="80" spans="1:23" x14ac:dyDescent="0.25">
      <c r="A80" s="512" t="s">
        <v>803</v>
      </c>
      <c r="B80" s="496"/>
      <c r="C80" s="497"/>
      <c r="D80" s="499"/>
      <c r="E80" s="499"/>
      <c r="F80" s="499"/>
      <c r="G80" s="496"/>
      <c r="H80" s="513"/>
      <c r="I80" s="499"/>
      <c r="J80" s="499"/>
      <c r="K80" s="499"/>
      <c r="L80" s="496"/>
      <c r="M80" s="499"/>
    </row>
    <row r="81" spans="1:13" x14ac:dyDescent="0.25">
      <c r="A81" s="514" t="s">
        <v>71</v>
      </c>
      <c r="B81" s="496"/>
      <c r="C81" s="497"/>
      <c r="D81" s="499"/>
      <c r="E81" s="499"/>
      <c r="F81" s="499"/>
      <c r="G81" s="496"/>
      <c r="H81" s="513"/>
      <c r="I81" s="499"/>
      <c r="J81" s="499"/>
      <c r="K81" s="499"/>
      <c r="L81" s="497"/>
      <c r="M81" s="497"/>
    </row>
    <row r="82" spans="1:13" x14ac:dyDescent="0.25">
      <c r="A82" s="497"/>
      <c r="B82" s="496"/>
      <c r="C82" s="497"/>
      <c r="D82" s="499"/>
      <c r="E82" s="499"/>
      <c r="F82" s="499"/>
      <c r="G82" s="496"/>
      <c r="H82" s="513"/>
      <c r="I82" s="499"/>
      <c r="J82" s="499"/>
      <c r="K82" s="499"/>
      <c r="L82" s="497"/>
      <c r="M82" s="497"/>
    </row>
    <row r="83" spans="1:13" x14ac:dyDescent="0.25">
      <c r="A83" s="497"/>
      <c r="B83" s="496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6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7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499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499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499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499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499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499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497"/>
      <c r="I95" s="499"/>
      <c r="J95" s="499"/>
      <c r="K95" s="499"/>
      <c r="L95" s="497"/>
      <c r="M95" s="497"/>
    </row>
    <row r="96" spans="1:13" x14ac:dyDescent="0.25">
      <c r="A96" s="515" t="s">
        <v>81</v>
      </c>
      <c r="B96" s="516"/>
      <c r="C96" s="516">
        <f>SUM(C80:C84)</f>
        <v>0</v>
      </c>
      <c r="D96" s="517"/>
      <c r="E96" s="517"/>
      <c r="F96" s="517">
        <f>SUM(F80:F84)</f>
        <v>0</v>
      </c>
      <c r="G96" s="516"/>
      <c r="H96" s="538">
        <f>SUM(H80:H83)</f>
        <v>0</v>
      </c>
      <c r="I96" s="517"/>
      <c r="J96" s="517"/>
      <c r="K96" s="517">
        <f>SUM(K80:K83)</f>
        <v>0</v>
      </c>
      <c r="L96" s="516"/>
      <c r="M96" s="517">
        <f>SUM(M80:M88)</f>
        <v>0</v>
      </c>
    </row>
    <row r="97" spans="1:13" ht="15.75" thickBot="1" x14ac:dyDescent="0.3">
      <c r="A97" s="518" t="s">
        <v>193</v>
      </c>
      <c r="B97" s="519"/>
      <c r="C97" s="520">
        <f>SumByColor($A$25,C80:C95)</f>
        <v>0</v>
      </c>
      <c r="D97" s="520"/>
      <c r="E97" s="520"/>
      <c r="F97" s="521">
        <f>SumByColor($A$25,F80:F95)</f>
        <v>0</v>
      </c>
      <c r="G97" s="520"/>
      <c r="H97" s="520">
        <f>SumByColor($A$25,H80:H95)</f>
        <v>0</v>
      </c>
      <c r="I97" s="520"/>
      <c r="J97" s="520"/>
      <c r="K97" s="521">
        <f>SumByColor($A$25,K81:K95)</f>
        <v>0</v>
      </c>
      <c r="L97" s="520"/>
      <c r="M97" s="521">
        <f>SumByColor($A$25,M80:M95)</f>
        <v>0</v>
      </c>
    </row>
    <row r="100" spans="1:13" x14ac:dyDescent="0.25">
      <c r="B100" s="182" t="s">
        <v>113</v>
      </c>
      <c r="C100" s="182" t="s">
        <v>146</v>
      </c>
      <c r="D100" s="183" t="s">
        <v>145</v>
      </c>
      <c r="E100" s="185" t="s">
        <v>147</v>
      </c>
      <c r="F100" s="185" t="s">
        <v>65</v>
      </c>
      <c r="G100" s="220" t="s">
        <v>151</v>
      </c>
      <c r="H100" s="220" t="s">
        <v>88</v>
      </c>
      <c r="I100" s="220" t="s">
        <v>154</v>
      </c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13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13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</sheetData>
  <mergeCells count="1">
    <mergeCell ref="O18:P18"/>
  </mergeCells>
  <conditionalFormatting sqref="O19:O39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1:F65 H31:H65 H73:H76 F73:F76">
    <cfRule type="expression" dxfId="899" priority="23">
      <formula>F31&gt;0</formula>
    </cfRule>
    <cfRule type="expression" dxfId="898" priority="24">
      <formula>F31&lt;0</formula>
    </cfRule>
  </conditionalFormatting>
  <conditionalFormatting sqref="Q7">
    <cfRule type="expression" dxfId="897" priority="21">
      <formula>Q7&gt;0</formula>
    </cfRule>
    <cfRule type="expression" dxfId="896" priority="22">
      <formula>Q7&lt;0</formula>
    </cfRule>
  </conditionalFormatting>
  <conditionalFormatting sqref="Q8">
    <cfRule type="expression" dxfId="895" priority="19">
      <formula>Q8&gt;0</formula>
    </cfRule>
    <cfRule type="expression" dxfId="894" priority="20">
      <formula>Q8&lt;0</formula>
    </cfRule>
  </conditionalFormatting>
  <conditionalFormatting sqref="F101:F122">
    <cfRule type="expression" dxfId="893" priority="13">
      <formula>F101&gt;0</formula>
    </cfRule>
    <cfRule type="expression" dxfId="892" priority="14">
      <formula>F101&lt;0</formula>
    </cfRule>
  </conditionalFormatting>
  <conditionalFormatting sqref="H101:H122">
    <cfRule type="expression" dxfId="891" priority="11">
      <formula>H101&gt;0</formula>
    </cfRule>
    <cfRule type="expression" dxfId="890" priority="12">
      <formula>H101&lt;0</formula>
    </cfRule>
  </conditionalFormatting>
  <conditionalFormatting sqref="Q10">
    <cfRule type="expression" dxfId="889" priority="9">
      <formula>Q10&gt;0</formula>
    </cfRule>
    <cfRule type="expression" dxfId="888" priority="10">
      <formula>Q10&lt;0</formula>
    </cfRule>
  </conditionalFormatting>
  <conditionalFormatting sqref="J31:J44">
    <cfRule type="expression" dxfId="887" priority="7">
      <formula>J31&gt;0</formula>
    </cfRule>
    <cfRule type="expression" dxfId="886" priority="8">
      <formula>J31&lt;0</formula>
    </cfRule>
  </conditionalFormatting>
  <conditionalFormatting sqref="K31:K44">
    <cfRule type="expression" dxfId="885" priority="5">
      <formula>K31&gt;0</formula>
    </cfRule>
    <cfRule type="expression" dxfId="884" priority="6">
      <formula>K31&lt;0</formula>
    </cfRule>
  </conditionalFormatting>
  <conditionalFormatting sqref="L31:L44">
    <cfRule type="expression" dxfId="883" priority="3">
      <formula>L31&gt;0</formula>
    </cfRule>
    <cfRule type="expression" dxfId="882" priority="4">
      <formula>L31&lt;0</formula>
    </cfRule>
  </conditionalFormatting>
  <conditionalFormatting sqref="H66:H72 F66:F72">
    <cfRule type="expression" dxfId="881" priority="1">
      <formula>F66&gt;0</formula>
    </cfRule>
    <cfRule type="expression" dxfId="880" priority="2">
      <formula>F66&lt;0</formula>
    </cfRule>
  </conditionalFormatting>
  <hyperlinks>
    <hyperlink ref="A3" location="ACTIVE!A1" display="Back"/>
    <hyperlink ref="A81" location="ACTIVE!A1" display="Back"/>
  </hyperlinks>
  <pageMargins left="0.7" right="0.7" top="0.75" bottom="0.75" header="0.3" footer="0.3"/>
  <pageSetup orientation="portrait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237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52.26</v>
      </c>
      <c r="T3" s="1">
        <v>42621</v>
      </c>
      <c r="U3" s="33" t="s">
        <v>253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52.26</v>
      </c>
      <c r="R4" s="475">
        <v>-2.12E-2</v>
      </c>
      <c r="T4" s="1">
        <v>42627</v>
      </c>
      <c r="U4" s="33" t="s">
        <v>253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319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510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206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205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63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63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57.486000000000004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56.9634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56.440800000000003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55.918199999999999</v>
      </c>
      <c r="Q28" s="2"/>
    </row>
    <row r="29" spans="1:32" x14ac:dyDescent="0.25">
      <c r="A29" s="10" t="s">
        <v>689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490</v>
      </c>
      <c r="K29" s="220" t="s">
        <v>459</v>
      </c>
      <c r="L29" s="220" t="s">
        <v>649</v>
      </c>
      <c r="M29" s="4"/>
      <c r="N29" s="4"/>
      <c r="O29" s="81">
        <v>1.06</v>
      </c>
      <c r="P29" s="81">
        <f t="shared" si="0"/>
        <v>55.395600000000002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54.872999999999998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54.3504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53.827799999999996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53.305199999999999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52.782599999999995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52.26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51.737400000000001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51.214799999999997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50.6922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50.169599999999996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49.646999999999998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49.124399999999994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48.601799999999997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48.0792</v>
      </c>
    </row>
    <row r="44" spans="1:32" x14ac:dyDescent="0.25">
      <c r="N44" s="4"/>
      <c r="O44" s="81">
        <v>0.91</v>
      </c>
      <c r="P44" s="81">
        <f t="shared" si="0"/>
        <v>47.556600000000003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47.033999999999999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285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225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258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286</v>
      </c>
      <c r="J168" s="578" t="s">
        <v>284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296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296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296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296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490</v>
      </c>
      <c r="K200" s="220" t="s">
        <v>459</v>
      </c>
      <c r="L200" s="220" t="s">
        <v>649</v>
      </c>
      <c r="M200" s="4"/>
    </row>
    <row r="201" spans="1:17" x14ac:dyDescent="0.25">
      <c r="A201" s="362" t="s">
        <v>338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345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346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347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368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383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408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413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426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426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444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318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251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306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79" priority="137">
      <formula>F30&gt;0</formula>
    </cfRule>
    <cfRule type="expression" dxfId="878" priority="138">
      <formula>F30&lt;0</formula>
    </cfRule>
  </conditionalFormatting>
  <conditionalFormatting sqref="H47:H58">
    <cfRule type="expression" dxfId="877" priority="129">
      <formula>H47&gt;0</formula>
    </cfRule>
    <cfRule type="expression" dxfId="876" priority="130">
      <formula>H47&lt;0</formula>
    </cfRule>
  </conditionalFormatting>
  <conditionalFormatting sqref="H59">
    <cfRule type="expression" dxfId="875" priority="119">
      <formula>H59&gt;0</formula>
    </cfRule>
    <cfRule type="expression" dxfId="874" priority="120">
      <formula>H59&lt;0</formula>
    </cfRule>
  </conditionalFormatting>
  <conditionalFormatting sqref="H60">
    <cfRule type="expression" dxfId="873" priority="115">
      <formula>H60&gt;0</formula>
    </cfRule>
    <cfRule type="expression" dxfId="872" priority="116">
      <formula>H60&lt;0</formula>
    </cfRule>
  </conditionalFormatting>
  <conditionalFormatting sqref="H61:H66">
    <cfRule type="expression" dxfId="871" priority="111">
      <formula>H61&gt;0</formula>
    </cfRule>
    <cfRule type="expression" dxfId="870" priority="112">
      <formula>H61&lt;0</formula>
    </cfRule>
  </conditionalFormatting>
  <conditionalFormatting sqref="Q8">
    <cfRule type="expression" dxfId="869" priority="95">
      <formula>Q8&gt;0</formula>
    </cfRule>
    <cfRule type="expression" dxfId="868" priority="96">
      <formula>Q8&lt;0</formula>
    </cfRule>
  </conditionalFormatting>
  <conditionalFormatting sqref="Q7">
    <cfRule type="expression" dxfId="867" priority="97">
      <formula>Q7&gt;0</formula>
    </cfRule>
    <cfRule type="expression" dxfId="866" priority="98">
      <formula>Q7&lt;0</formula>
    </cfRule>
  </conditionalFormatting>
  <conditionalFormatting sqref="F178 H178">
    <cfRule type="expression" dxfId="865" priority="93">
      <formula>F178&gt;0</formula>
    </cfRule>
    <cfRule type="expression" dxfId="864" priority="94">
      <formula>F178&lt;0</formula>
    </cfRule>
  </conditionalFormatting>
  <conditionalFormatting sqref="Q10">
    <cfRule type="expression" dxfId="863" priority="87">
      <formula>Q10&gt;0</formula>
    </cfRule>
    <cfRule type="expression" dxfId="862" priority="88">
      <formula>Q10&lt;0</formula>
    </cfRule>
  </conditionalFormatting>
  <conditionalFormatting sqref="Q9">
    <cfRule type="expression" dxfId="861" priority="81">
      <formula>Q9&gt;0</formula>
    </cfRule>
    <cfRule type="expression" dxfId="860" priority="82">
      <formula>Q9&lt;0</formula>
    </cfRule>
  </conditionalFormatting>
  <conditionalFormatting sqref="F201:F248">
    <cfRule type="expression" dxfId="859" priority="41">
      <formula>F201&gt;0</formula>
    </cfRule>
    <cfRule type="expression" dxfId="858" priority="42">
      <formula>F201&lt;0</formula>
    </cfRule>
  </conditionalFormatting>
  <conditionalFormatting sqref="H201:H248">
    <cfRule type="expression" dxfId="857" priority="39">
      <formula>H201&gt;0</formula>
    </cfRule>
    <cfRule type="expression" dxfId="856" priority="40">
      <formula>H201&lt;0</formula>
    </cfRule>
  </conditionalFormatting>
  <conditionalFormatting sqref="J208">
    <cfRule type="expression" dxfId="855" priority="37">
      <formula>J208&gt;0</formula>
    </cfRule>
    <cfRule type="expression" dxfId="854" priority="38">
      <formula>J208&lt;0</formula>
    </cfRule>
  </conditionalFormatting>
  <conditionalFormatting sqref="J214:J215">
    <cfRule type="expression" dxfId="853" priority="35">
      <formula>J214&gt;0</formula>
    </cfRule>
    <cfRule type="expression" dxfId="852" priority="36">
      <formula>J214&lt;0</formula>
    </cfRule>
  </conditionalFormatting>
  <conditionalFormatting sqref="J216">
    <cfRule type="expression" dxfId="851" priority="33">
      <formula>J216&gt;0</formula>
    </cfRule>
    <cfRule type="expression" dxfId="850" priority="34">
      <formula>J216&lt;0</formula>
    </cfRule>
  </conditionalFormatting>
  <conditionalFormatting sqref="J217:J219 J221:J224">
    <cfRule type="expression" dxfId="849" priority="31">
      <formula>J217&gt;0</formula>
    </cfRule>
    <cfRule type="expression" dxfId="848" priority="32">
      <formula>J217&lt;0</formula>
    </cfRule>
  </conditionalFormatting>
  <conditionalFormatting sqref="K208">
    <cfRule type="expression" dxfId="847" priority="29">
      <formula>K208&gt;0</formula>
    </cfRule>
    <cfRule type="expression" dxfId="846" priority="30">
      <formula>K208&lt;0</formula>
    </cfRule>
  </conditionalFormatting>
  <conditionalFormatting sqref="K214:K215">
    <cfRule type="expression" dxfId="845" priority="27">
      <formula>K214&gt;0</formula>
    </cfRule>
    <cfRule type="expression" dxfId="844" priority="28">
      <formula>K214&lt;0</formula>
    </cfRule>
  </conditionalFormatting>
  <conditionalFormatting sqref="K216">
    <cfRule type="expression" dxfId="843" priority="25">
      <formula>K216&gt;0</formula>
    </cfRule>
    <cfRule type="expression" dxfId="842" priority="26">
      <formula>K216&lt;0</formula>
    </cfRule>
  </conditionalFormatting>
  <conditionalFormatting sqref="K217:K224">
    <cfRule type="expression" dxfId="841" priority="23">
      <formula>K217&gt;0</formula>
    </cfRule>
    <cfRule type="expression" dxfId="840" priority="24">
      <formula>K217&lt;0</formula>
    </cfRule>
  </conditionalFormatting>
  <conditionalFormatting sqref="L208">
    <cfRule type="expression" dxfId="839" priority="21">
      <formula>L208&gt;0</formula>
    </cfRule>
    <cfRule type="expression" dxfId="838" priority="22">
      <formula>L208&lt;0</formula>
    </cfRule>
  </conditionalFormatting>
  <conditionalFormatting sqref="L214:L215">
    <cfRule type="expression" dxfId="837" priority="19">
      <formula>L214&gt;0</formula>
    </cfRule>
    <cfRule type="expression" dxfId="836" priority="20">
      <formula>L214&lt;0</formula>
    </cfRule>
  </conditionalFormatting>
  <conditionalFormatting sqref="L216">
    <cfRule type="expression" dxfId="835" priority="17">
      <formula>L216&gt;0</formula>
    </cfRule>
    <cfRule type="expression" dxfId="834" priority="18">
      <formula>L216&lt;0</formula>
    </cfRule>
  </conditionalFormatting>
  <conditionalFormatting sqref="L217:L224">
    <cfRule type="expression" dxfId="833" priority="15">
      <formula>L217&gt;0</formula>
    </cfRule>
    <cfRule type="expression" dxfId="832" priority="16">
      <formula>L217&lt;0</formula>
    </cfRule>
  </conditionalFormatting>
  <conditionalFormatting sqref="K225">
    <cfRule type="expression" dxfId="831" priority="13">
      <formula>K225&gt;0</formula>
    </cfRule>
    <cfRule type="expression" dxfId="830" priority="14">
      <formula>K225&lt;0</formula>
    </cfRule>
  </conditionalFormatting>
  <conditionalFormatting sqref="L225:L232">
    <cfRule type="expression" dxfId="829" priority="11">
      <formula>L225&gt;0</formula>
    </cfRule>
    <cfRule type="expression" dxfId="828" priority="12">
      <formula>L225&lt;0</formula>
    </cfRule>
  </conditionalFormatting>
  <conditionalFormatting sqref="K226">
    <cfRule type="expression" dxfId="827" priority="9">
      <formula>K226&gt;0</formula>
    </cfRule>
    <cfRule type="expression" dxfId="826" priority="10">
      <formula>K226&lt;0</formula>
    </cfRule>
  </conditionalFormatting>
  <conditionalFormatting sqref="K227">
    <cfRule type="expression" dxfId="825" priority="7">
      <formula>K227&gt;0</formula>
    </cfRule>
    <cfRule type="expression" dxfId="824" priority="8">
      <formula>K227&lt;0</formula>
    </cfRule>
  </conditionalFormatting>
  <conditionalFormatting sqref="K228:K248">
    <cfRule type="expression" dxfId="823" priority="5">
      <formula>K228&gt;0</formula>
    </cfRule>
    <cfRule type="expression" dxfId="822" priority="6">
      <formula>K228&lt;0</formula>
    </cfRule>
  </conditionalFormatting>
  <conditionalFormatting sqref="L233:L237">
    <cfRule type="expression" dxfId="821" priority="3">
      <formula>L233&gt;0</formula>
    </cfRule>
    <cfRule type="expression" dxfId="820" priority="4">
      <formula>L233&lt;0</formula>
    </cfRule>
  </conditionalFormatting>
  <conditionalFormatting sqref="L238:L243">
    <cfRule type="expression" dxfId="819" priority="1">
      <formula>L238&gt;0</formula>
    </cfRule>
    <cfRule type="expression" dxfId="818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53.16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53.16</v>
      </c>
      <c r="R4" s="490">
        <v>4.0000000000000001E-3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206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205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205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301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59" t="s">
        <v>78</v>
      </c>
      <c r="P40" s="859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58.475999999999999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57.944400000000002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57.412799999999997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56.8812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56.349600000000002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55.817999999999998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55.2864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54.754799999999996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54.223199999999999</v>
      </c>
      <c r="Q49" s="2"/>
      <c r="T49" s="85" t="s">
        <v>103</v>
      </c>
      <c r="U49" s="87" t="s">
        <v>386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53.691599999999994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53.16</v>
      </c>
      <c r="Q51" s="2"/>
      <c r="T51" s="85" t="s">
        <v>104</v>
      </c>
      <c r="U51" s="86" t="s">
        <v>584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52.628399999999999</v>
      </c>
      <c r="Q52" s="2"/>
      <c r="T52" s="85" t="s">
        <v>105</v>
      </c>
      <c r="U52" s="86" t="s">
        <v>492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52.096799999999995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51.565199999999997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51.033599999999993</v>
      </c>
      <c r="T55" s="85" t="s">
        <v>107</v>
      </c>
      <c r="U55" s="86" t="s">
        <v>585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50.501999999999995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49.970399999999991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49.438800000000001</v>
      </c>
      <c r="T58" s="85" t="s">
        <v>108</v>
      </c>
      <c r="U58" s="86" t="s">
        <v>531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48.907199999999996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48.375599999999999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47.844000000000001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17" priority="11">
      <formula>F27&gt;0</formula>
    </cfRule>
    <cfRule type="expression" dxfId="816" priority="12">
      <formula>F27&lt;0</formula>
    </cfRule>
  </conditionalFormatting>
  <conditionalFormatting sqref="H27:H29">
    <cfRule type="expression" dxfId="815" priority="9">
      <formula>H27&gt;0</formula>
    </cfRule>
    <cfRule type="expression" dxfId="814" priority="10">
      <formula>H27&lt;0</formula>
    </cfRule>
  </conditionalFormatting>
  <conditionalFormatting sqref="F23:F26">
    <cfRule type="expression" dxfId="813" priority="7">
      <formula>F23&gt;0</formula>
    </cfRule>
    <cfRule type="expression" dxfId="812" priority="8">
      <formula>F23&lt;0</formula>
    </cfRule>
  </conditionalFormatting>
  <conditionalFormatting sqref="H23:H26">
    <cfRule type="expression" dxfId="811" priority="5">
      <formula>H23&gt;0</formula>
    </cfRule>
    <cfRule type="expression" dxfId="810" priority="6">
      <formula>H23&lt;0</formula>
    </cfRule>
  </conditionalFormatting>
  <conditionalFormatting sqref="Q8">
    <cfRule type="expression" dxfId="809" priority="1">
      <formula>Q8&gt;0</formula>
    </cfRule>
    <cfRule type="expression" dxfId="808" priority="2">
      <formula>Q8&lt;0</formula>
    </cfRule>
  </conditionalFormatting>
  <conditionalFormatting sqref="Q7">
    <cfRule type="expression" dxfId="807" priority="3">
      <formula>Q7&gt;0</formula>
    </cfRule>
    <cfRule type="expression" dxfId="80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50.14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50.14</v>
      </c>
      <c r="R4" s="490">
        <v>3.5999999999999999E-3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206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205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205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59" t="s">
        <v>78</v>
      </c>
      <c r="P40" s="859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55.154000000000003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54.652600000000007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54.151200000000003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53.649800000000006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53.148400000000002</v>
      </c>
      <c r="Q45" s="2"/>
      <c r="T45" s="85" t="s">
        <v>99</v>
      </c>
      <c r="U45" s="86" t="s">
        <v>586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52.647000000000006</v>
      </c>
      <c r="Q46" s="2"/>
      <c r="T46" s="85" t="s">
        <v>100</v>
      </c>
      <c r="U46" s="86" t="s">
        <v>587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52.145600000000002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51.644200000000005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51.142800000000001</v>
      </c>
      <c r="Q49" s="2"/>
      <c r="T49" s="85" t="s">
        <v>103</v>
      </c>
      <c r="U49" s="87" t="s">
        <v>418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50.641400000000004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50.14</v>
      </c>
      <c r="Q51" s="2"/>
      <c r="T51" s="85" t="s">
        <v>104</v>
      </c>
      <c r="U51" s="86" t="s">
        <v>588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49.638599999999997</v>
      </c>
      <c r="Q52" s="2"/>
      <c r="T52" s="85" t="s">
        <v>105</v>
      </c>
      <c r="U52" s="86" t="s">
        <v>500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49.1372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48.635799999999996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48.134399999999999</v>
      </c>
      <c r="T55" s="85" t="s">
        <v>107</v>
      </c>
      <c r="U55" s="86" t="s">
        <v>589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47.632999999999996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47.131599999999999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46.630200000000002</v>
      </c>
      <c r="T58" s="85" t="s">
        <v>108</v>
      </c>
      <c r="U58" s="86" t="s">
        <v>532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46.128800000000005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45.627400000000002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45.126000000000005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05" priority="7">
      <formula>F21&gt;0</formula>
    </cfRule>
    <cfRule type="expression" dxfId="804" priority="8">
      <formula>F21&lt;0</formula>
    </cfRule>
  </conditionalFormatting>
  <conditionalFormatting sqref="F22">
    <cfRule type="expression" dxfId="803" priority="5">
      <formula>F22&gt;0</formula>
    </cfRule>
    <cfRule type="expression" dxfId="802" priority="6">
      <formula>F22&lt;0</formula>
    </cfRule>
  </conditionalFormatting>
  <conditionalFormatting sqref="Q8">
    <cfRule type="expression" dxfId="801" priority="1">
      <formula>Q8&gt;0</formula>
    </cfRule>
    <cfRule type="expression" dxfId="800" priority="2">
      <formula>Q8&lt;0</formula>
    </cfRule>
  </conditionalFormatting>
  <conditionalFormatting sqref="Q7">
    <cfRule type="expression" dxfId="799" priority="3">
      <formula>Q7&gt;0</formula>
    </cfRule>
    <cfRule type="expression" dxfId="79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64</v>
      </c>
      <c r="R4" s="475">
        <v>-2.93E-2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206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205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59" t="s">
        <v>78</v>
      </c>
      <c r="P44" s="859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70.400000000000006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69.760000000000005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69.12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68.48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67.84</v>
      </c>
      <c r="Q49" s="2"/>
      <c r="R49" s="33"/>
      <c r="T49" s="106" t="s">
        <v>121</v>
      </c>
      <c r="U49" s="104" t="s">
        <v>366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67.2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66.56</v>
      </c>
      <c r="Q51" s="2"/>
      <c r="R51" s="33"/>
      <c r="T51" s="106" t="s">
        <v>104</v>
      </c>
      <c r="U51" s="104" t="s">
        <v>590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65.92</v>
      </c>
      <c r="Q52" s="2"/>
      <c r="R52" s="33"/>
      <c r="T52" s="106" t="s">
        <v>105</v>
      </c>
      <c r="U52" s="104" t="s">
        <v>515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65.28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64.64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64</v>
      </c>
      <c r="Q55" s="2"/>
      <c r="R55" s="33"/>
      <c r="T55" s="106" t="s">
        <v>107</v>
      </c>
      <c r="U55" s="104" t="s">
        <v>591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63.36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62.72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62.08</v>
      </c>
      <c r="Q58" s="2"/>
      <c r="R58" s="33"/>
      <c r="T58" s="106" t="s">
        <v>108</v>
      </c>
      <c r="U58" s="104" t="s">
        <v>533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61.44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60.8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60.16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59.52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58.88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58.24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57.6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205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97" priority="17">
      <formula>F38&gt;0</formula>
    </cfRule>
    <cfRule type="expression" dxfId="796" priority="18">
      <formula>F38&lt;0</formula>
    </cfRule>
  </conditionalFormatting>
  <conditionalFormatting sqref="H38:H72">
    <cfRule type="expression" dxfId="795" priority="9">
      <formula>H38&gt;0</formula>
    </cfRule>
    <cfRule type="expression" dxfId="794" priority="10">
      <formula>H38&lt;0</formula>
    </cfRule>
  </conditionalFormatting>
  <conditionalFormatting sqref="F21:F37">
    <cfRule type="expression" dxfId="793" priority="7">
      <formula>F21&gt;0</formula>
    </cfRule>
    <cfRule type="expression" dxfId="792" priority="8">
      <formula>F21&lt;0</formula>
    </cfRule>
  </conditionalFormatting>
  <conditionalFormatting sqref="H21:H37">
    <cfRule type="expression" dxfId="791" priority="5">
      <formula>H21&gt;0</formula>
    </cfRule>
    <cfRule type="expression" dxfId="790" priority="6">
      <formula>H21&lt;0</formula>
    </cfRule>
  </conditionalFormatting>
  <conditionalFormatting sqref="Q8">
    <cfRule type="expression" dxfId="789" priority="1">
      <formula>Q8&gt;0</formula>
    </cfRule>
    <cfRule type="expression" dxfId="788" priority="2">
      <formula>Q8&lt;0</formula>
    </cfRule>
  </conditionalFormatting>
  <conditionalFormatting sqref="Q7">
    <cfRule type="expression" dxfId="787" priority="3">
      <formula>Q7&gt;0</formula>
    </cfRule>
    <cfRule type="expression" dxfId="78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148.76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148.76</v>
      </c>
      <c r="R4" s="490">
        <v>-8.0999999999999996E-3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205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59" t="s">
        <v>78</v>
      </c>
      <c r="P46" s="859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163.636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162.14840000000001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160.66079999999999</v>
      </c>
      <c r="Q49" s="33"/>
      <c r="R49"/>
      <c r="T49" s="85" t="s">
        <v>103</v>
      </c>
      <c r="U49" s="92" t="s">
        <v>592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159.17320000000001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157.68559999999999</v>
      </c>
      <c r="Q51" s="81"/>
      <c r="R51"/>
      <c r="T51" s="85" t="s">
        <v>104</v>
      </c>
      <c r="U51" s="127" t="s">
        <v>593</v>
      </c>
    </row>
    <row r="52" spans="1:21" x14ac:dyDescent="0.25">
      <c r="O52" s="81">
        <v>1.05</v>
      </c>
      <c r="P52" s="81">
        <f t="shared" si="1"/>
        <v>156.19800000000001</v>
      </c>
      <c r="Q52" s="81"/>
      <c r="R52"/>
      <c r="T52" s="85" t="s">
        <v>105</v>
      </c>
      <c r="U52" s="127" t="s">
        <v>494</v>
      </c>
    </row>
    <row r="53" spans="1:21" x14ac:dyDescent="0.25">
      <c r="O53" s="81">
        <v>1.04</v>
      </c>
      <c r="P53" s="81">
        <f t="shared" si="1"/>
        <v>154.71039999999999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153.22280000000001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151.73519999999999</v>
      </c>
      <c r="Q55" s="81"/>
      <c r="R55"/>
      <c r="T55" s="85" t="s">
        <v>107</v>
      </c>
      <c r="U55" s="127" t="s">
        <v>594</v>
      </c>
    </row>
    <row r="56" spans="1:21" x14ac:dyDescent="0.25">
      <c r="O56" s="81">
        <v>1.01</v>
      </c>
      <c r="P56" s="81">
        <f t="shared" si="1"/>
        <v>150.24760000000001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148.76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147.27239999999998</v>
      </c>
      <c r="Q58" s="81"/>
      <c r="R58"/>
      <c r="T58" s="85" t="s">
        <v>108</v>
      </c>
      <c r="U58" s="127" t="s">
        <v>534</v>
      </c>
    </row>
    <row r="59" spans="1:21" x14ac:dyDescent="0.25">
      <c r="O59" s="81">
        <v>0.98</v>
      </c>
      <c r="P59" s="81">
        <f t="shared" si="1"/>
        <v>145.78479999999999</v>
      </c>
      <c r="Q59" s="81"/>
      <c r="R59"/>
    </row>
    <row r="60" spans="1:21" x14ac:dyDescent="0.25">
      <c r="O60" s="81">
        <v>0.97</v>
      </c>
      <c r="P60" s="81">
        <f t="shared" si="1"/>
        <v>144.29719999999998</v>
      </c>
      <c r="Q60" s="81"/>
      <c r="R60"/>
    </row>
    <row r="61" spans="1:21" x14ac:dyDescent="0.25">
      <c r="O61" s="81">
        <v>0.96</v>
      </c>
      <c r="P61" s="81">
        <f t="shared" si="1"/>
        <v>142.80959999999999</v>
      </c>
      <c r="Q61" s="81"/>
      <c r="R61"/>
    </row>
    <row r="62" spans="1:21" x14ac:dyDescent="0.25">
      <c r="O62" s="81">
        <v>0.95</v>
      </c>
      <c r="P62" s="81">
        <f t="shared" si="1"/>
        <v>141.32199999999997</v>
      </c>
      <c r="Q62" s="81"/>
      <c r="R62"/>
    </row>
    <row r="63" spans="1:21" x14ac:dyDescent="0.25">
      <c r="O63" s="81">
        <v>0.94</v>
      </c>
      <c r="P63" s="81">
        <f t="shared" si="1"/>
        <v>139.83439999999999</v>
      </c>
      <c r="Q63" s="81"/>
      <c r="R63"/>
      <c r="T63" s="84"/>
    </row>
    <row r="64" spans="1:21" x14ac:dyDescent="0.25">
      <c r="O64" s="81">
        <v>0.93</v>
      </c>
      <c r="P64" s="81">
        <f t="shared" si="1"/>
        <v>138.3468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136.85919999999999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135.3716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133.88399999999999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85" priority="11">
      <formula>F24&gt;0</formula>
    </cfRule>
    <cfRule type="expression" dxfId="784" priority="12">
      <formula>F24&lt;0</formula>
    </cfRule>
  </conditionalFormatting>
  <conditionalFormatting sqref="H27:H30">
    <cfRule type="expression" dxfId="783" priority="9">
      <formula>H27&gt;0</formula>
    </cfRule>
    <cfRule type="expression" dxfId="782" priority="10">
      <formula>H27&lt;0</formula>
    </cfRule>
  </conditionalFormatting>
  <conditionalFormatting sqref="F25">
    <cfRule type="expression" dxfId="781" priority="7">
      <formula>F25&gt;0</formula>
    </cfRule>
    <cfRule type="expression" dxfId="780" priority="8">
      <formula>F25&lt;0</formula>
    </cfRule>
  </conditionalFormatting>
  <conditionalFormatting sqref="H24:H26">
    <cfRule type="expression" dxfId="779" priority="5">
      <formula>H24&gt;0</formula>
    </cfRule>
    <cfRule type="expression" dxfId="778" priority="6">
      <formula>H24&lt;0</formula>
    </cfRule>
  </conditionalFormatting>
  <conditionalFormatting sqref="Q7">
    <cfRule type="expression" dxfId="777" priority="3">
      <formula>Q7&gt;0</formula>
    </cfRule>
    <cfRule type="expression" dxfId="776" priority="4">
      <formula>Q7&lt;0</formula>
    </cfRule>
  </conditionalFormatting>
  <conditionalFormatting sqref="Q8">
    <cfRule type="expression" dxfId="775" priority="1">
      <formula>Q8&gt;0</formula>
    </cfRule>
    <cfRule type="expression" dxfId="77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50.95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50.95</v>
      </c>
      <c r="R4" s="491">
        <v>4.1300000000000003E-2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205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205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264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59" t="s">
        <v>78</v>
      </c>
      <c r="Q39" s="859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56.045000000000009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55.535500000000006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55.026000000000003</v>
      </c>
      <c r="R42" s="33"/>
      <c r="T42" s="85" t="s">
        <v>99</v>
      </c>
      <c r="U42" s="127" t="s">
        <v>595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54.516500000000008</v>
      </c>
      <c r="R43" s="81"/>
      <c r="T43" s="85" t="s">
        <v>100</v>
      </c>
      <c r="U43" s="127" t="s">
        <v>596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54.007000000000005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53.497500000000002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52.988000000000007</v>
      </c>
      <c r="R46" s="81"/>
      <c r="T46" s="85" t="s">
        <v>121</v>
      </c>
      <c r="U46" s="223" t="s">
        <v>415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52.478500000000004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51.969000000000001</v>
      </c>
      <c r="R48" s="81"/>
      <c r="T48" s="85" t="s">
        <v>104</v>
      </c>
      <c r="U48" s="127" t="s">
        <v>597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51.459500000000006</v>
      </c>
      <c r="R49" s="81"/>
      <c r="T49" s="85" t="s">
        <v>105</v>
      </c>
      <c r="U49" s="127" t="s">
        <v>535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50.95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50.4405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49.931000000000004</v>
      </c>
      <c r="R52" s="81"/>
      <c r="T52" s="85" t="s">
        <v>107</v>
      </c>
      <c r="U52" s="127" t="s">
        <v>598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49.421500000000002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48.911999999999999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48.402500000000003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47.893000000000001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47.383500000000005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46.874000000000002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46.364500000000007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45.855000000000004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73" priority="17">
      <formula>F28&gt;0</formula>
    </cfRule>
    <cfRule type="expression" dxfId="772" priority="18">
      <formula>F28&lt;0</formula>
    </cfRule>
  </conditionalFormatting>
  <conditionalFormatting sqref="F28 F33:F35">
    <cfRule type="expression" dxfId="771" priority="19">
      <formula>F28&gt;0</formula>
    </cfRule>
    <cfRule type="expression" dxfId="770" priority="20">
      <formula>F28&lt;0</formula>
    </cfRule>
  </conditionalFormatting>
  <conditionalFormatting sqref="H28 H33:H35">
    <cfRule type="expression" dxfId="769" priority="15">
      <formula>H28&gt;0</formula>
    </cfRule>
    <cfRule type="expression" dxfId="768" priority="16">
      <formula>H28&lt;0</formula>
    </cfRule>
  </conditionalFormatting>
  <conditionalFormatting sqref="F21:F27">
    <cfRule type="expression" dxfId="767" priority="13">
      <formula>F21&gt;0</formula>
    </cfRule>
    <cfRule type="expression" dxfId="766" priority="14">
      <formula>F21&lt;0</formula>
    </cfRule>
  </conditionalFormatting>
  <conditionalFormatting sqref="H21:H27">
    <cfRule type="expression" dxfId="765" priority="11">
      <formula>H21&gt;0</formula>
    </cfRule>
    <cfRule type="expression" dxfId="764" priority="12">
      <formula>H21&lt;0</formula>
    </cfRule>
  </conditionalFormatting>
  <conditionalFormatting sqref="Q8">
    <cfRule type="expression" dxfId="763" priority="7">
      <formula>Q8&gt;0</formula>
    </cfRule>
    <cfRule type="expression" dxfId="762" priority="8">
      <formula>Q8&lt;0</formula>
    </cfRule>
  </conditionalFormatting>
  <conditionalFormatting sqref="Q7">
    <cfRule type="expression" dxfId="761" priority="9">
      <formula>Q7&gt;0</formula>
    </cfRule>
    <cfRule type="expression" dxfId="760" priority="10">
      <formula>Q7&lt;0</formula>
    </cfRule>
  </conditionalFormatting>
  <conditionalFormatting sqref="F29:F32">
    <cfRule type="expression" dxfId="759" priority="5">
      <formula>F29&gt;0</formula>
    </cfRule>
    <cfRule type="expression" dxfId="758" priority="6">
      <formula>F29&lt;0</formula>
    </cfRule>
  </conditionalFormatting>
  <conditionalFormatting sqref="H29:H32">
    <cfRule type="expression" dxfId="757" priority="3">
      <formula>H29&gt;0</formula>
    </cfRule>
    <cfRule type="expression" dxfId="756" priority="4">
      <formula>H29&lt;0</formula>
    </cfRule>
  </conditionalFormatting>
  <conditionalFormatting sqref="M37">
    <cfRule type="expression" dxfId="755" priority="1">
      <formula>M37&gt;0</formula>
    </cfRule>
    <cfRule type="expression" dxfId="754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L14" sqref="L14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285.07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285.07</v>
      </c>
      <c r="R4" s="475">
        <v>-1.4E-3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2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1096.8200000000052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935.99000000000524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206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205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952</v>
      </c>
      <c r="Q13" s="2">
        <f>Q4/13</f>
        <v>21.928461538461537</v>
      </c>
      <c r="R13" s="22" t="s">
        <v>957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59" t="s">
        <v>78</v>
      </c>
      <c r="Q17" s="859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313.577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117</v>
      </c>
      <c r="P19" s="81">
        <v>1.0900000000000001</v>
      </c>
      <c r="Q19" s="81">
        <f t="shared" ref="Q19:Q38" si="3">P19*$Q$4</f>
        <v>310.72630000000004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307.87560000000002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305.0249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302.17419999999998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299.32350000000002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296.47280000000001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293.62209999999999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290.77139999999997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287.92070000000001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285.07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282.21929999999998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279.36860000000001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276.5179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273.66719999999998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270.81649999999996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267.9658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265.11509999999998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262.26440000000002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259.41370000000001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256.56299999999999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>
        <v>43312</v>
      </c>
      <c r="C43" s="10">
        <v>0</v>
      </c>
      <c r="D43" s="39"/>
      <c r="E43" s="39"/>
      <c r="F43" s="39">
        <v>935.99</v>
      </c>
      <c r="G43" s="39"/>
      <c r="H43" s="222"/>
      <c r="I43" s="39"/>
      <c r="J43" s="39">
        <v>1096.82</v>
      </c>
      <c r="K43" s="39" t="s">
        <v>185</v>
      </c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205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53" priority="47">
      <formula>F26&gt;0</formula>
    </cfRule>
    <cfRule type="expression" dxfId="752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51" priority="35">
      <formula>F22&gt;0</formula>
    </cfRule>
    <cfRule type="expression" dxfId="750" priority="36">
      <formula>F22&lt;0</formula>
    </cfRule>
  </conditionalFormatting>
  <conditionalFormatting sqref="H22:H25">
    <cfRule type="expression" dxfId="749" priority="33">
      <formula>H22&gt;0</formula>
    </cfRule>
    <cfRule type="expression" dxfId="748" priority="34">
      <formula>H22&lt;0</formula>
    </cfRule>
  </conditionalFormatting>
  <conditionalFormatting sqref="Q8">
    <cfRule type="expression" dxfId="747" priority="29">
      <formula>Q8&gt;0</formula>
    </cfRule>
    <cfRule type="expression" dxfId="746" priority="30">
      <formula>Q8&lt;0</formula>
    </cfRule>
  </conditionalFormatting>
  <conditionalFormatting sqref="Q7">
    <cfRule type="expression" dxfId="745" priority="31">
      <formula>Q7&gt;0</formula>
    </cfRule>
    <cfRule type="expression" dxfId="744" priority="32">
      <formula>Q7&lt;0</formula>
    </cfRule>
  </conditionalFormatting>
  <conditionalFormatting sqref="F72:F74">
    <cfRule type="expression" dxfId="743" priority="27">
      <formula>F72&gt;0</formula>
    </cfRule>
    <cfRule type="expression" dxfId="742" priority="28">
      <formula>F72&lt;0</formula>
    </cfRule>
  </conditionalFormatting>
  <conditionalFormatting sqref="F75:F82">
    <cfRule type="expression" dxfId="741" priority="23">
      <formula>F75&gt;0</formula>
    </cfRule>
    <cfRule type="expression" dxfId="740" priority="24">
      <formula>F75&lt;0</formula>
    </cfRule>
  </conditionalFormatting>
  <conditionalFormatting sqref="F75:F82">
    <cfRule type="expression" dxfId="739" priority="25">
      <formula>F75&gt;0</formula>
    </cfRule>
    <cfRule type="expression" dxfId="738" priority="26">
      <formula>F75&lt;0</formula>
    </cfRule>
  </conditionalFormatting>
  <conditionalFormatting sqref="H72:H82">
    <cfRule type="expression" dxfId="737" priority="21">
      <formula>H72&gt;0</formula>
    </cfRule>
    <cfRule type="expression" dxfId="736" priority="22">
      <formula>H72&lt;0</formula>
    </cfRule>
  </conditionalFormatting>
  <conditionalFormatting sqref="F68:F71">
    <cfRule type="expression" dxfId="735" priority="19">
      <formula>F68&gt;0</formula>
    </cfRule>
    <cfRule type="expression" dxfId="734" priority="20">
      <formula>F68&lt;0</formula>
    </cfRule>
  </conditionalFormatting>
  <conditionalFormatting sqref="H68:H71">
    <cfRule type="expression" dxfId="733" priority="17">
      <formula>H68&gt;0</formula>
    </cfRule>
    <cfRule type="expression" dxfId="732" priority="18">
      <formula>H68&lt;0</formula>
    </cfRule>
  </conditionalFormatting>
  <conditionalFormatting sqref="Q10">
    <cfRule type="expression" dxfId="731" priority="15">
      <formula>Q10&gt;0</formula>
    </cfRule>
    <cfRule type="expression" dxfId="730" priority="16">
      <formula>Q10&lt;0</formula>
    </cfRule>
  </conditionalFormatting>
  <conditionalFormatting sqref="H43 F43">
    <cfRule type="expression" dxfId="729" priority="11">
      <formula>F43&gt;0</formula>
    </cfRule>
    <cfRule type="expression" dxfId="728" priority="12">
      <formula>F43&lt;0</formula>
    </cfRule>
  </conditionalFormatting>
  <conditionalFormatting sqref="H37:H39 F37:F39">
    <cfRule type="expression" dxfId="727" priority="9">
      <formula>F37&gt;0</formula>
    </cfRule>
    <cfRule type="expression" dxfId="726" priority="10">
      <formula>F37&lt;0</formula>
    </cfRule>
  </conditionalFormatting>
  <conditionalFormatting sqref="H35:H36 F35:F36">
    <cfRule type="expression" dxfId="725" priority="7">
      <formula>F35&gt;0</formula>
    </cfRule>
    <cfRule type="expression" dxfId="724" priority="8">
      <formula>F35&lt;0</formula>
    </cfRule>
  </conditionalFormatting>
  <conditionalFormatting sqref="H41:H42 F41:F42 J40:J41">
    <cfRule type="expression" dxfId="723" priority="5">
      <formula>F40&gt;0</formula>
    </cfRule>
    <cfRule type="expression" dxfId="722" priority="6">
      <formula>F40&lt;0</formula>
    </cfRule>
  </conditionalFormatting>
  <conditionalFormatting sqref="H40 F40">
    <cfRule type="expression" dxfId="721" priority="3">
      <formula>F40&gt;0</formula>
    </cfRule>
    <cfRule type="expression" dxfId="720" priority="4">
      <formula>F40&lt;0</formula>
    </cfRule>
  </conditionalFormatting>
  <conditionalFormatting sqref="J42:J45">
    <cfRule type="expression" dxfId="719" priority="1">
      <formula>J42&gt;0</formula>
    </cfRule>
    <cfRule type="expression" dxfId="718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94.33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94.33</v>
      </c>
      <c r="R4" s="475">
        <v>-1.14E-2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205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242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103.76300000000001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247</v>
      </c>
      <c r="O38" s="2"/>
      <c r="P38" s="81">
        <v>1.0900000000000001</v>
      </c>
      <c r="Q38" s="81">
        <f t="shared" ref="Q38:Q57" si="5">P38*$Q$4</f>
        <v>102.81970000000001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101.8764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100.93310000000001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99.989800000000002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99.046500000000009</v>
      </c>
      <c r="R42" s="81"/>
      <c r="T42" s="85" t="s">
        <v>99</v>
      </c>
      <c r="U42" s="127" t="s">
        <v>599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98.103200000000001</v>
      </c>
      <c r="R43" s="81"/>
      <c r="T43" s="85" t="s">
        <v>100</v>
      </c>
      <c r="U43" s="127" t="s">
        <v>600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97.159900000000007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96.2166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95.273300000000006</v>
      </c>
      <c r="R46" s="81"/>
      <c r="T46" s="85" t="s">
        <v>121</v>
      </c>
      <c r="U46" s="92" t="s">
        <v>364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94.33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93.38669999999999</v>
      </c>
      <c r="R48" s="81"/>
      <c r="T48" s="85" t="s">
        <v>104</v>
      </c>
      <c r="U48" s="127" t="s">
        <v>601</v>
      </c>
      <c r="W48" s="92">
        <v>42766</v>
      </c>
      <c r="X48" s="10" t="s">
        <v>307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92.443399999999997</v>
      </c>
      <c r="R49" s="81"/>
      <c r="T49" s="85" t="s">
        <v>105</v>
      </c>
      <c r="U49" s="127" t="s">
        <v>602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91.500099999999989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90.556799999999996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89.613499999999988</v>
      </c>
      <c r="R52" s="81"/>
      <c r="T52" s="85" t="s">
        <v>107</v>
      </c>
      <c r="U52" s="127" t="s">
        <v>603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88.670199999999994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87.726900000000001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86.783600000000007</v>
      </c>
      <c r="R55" s="81"/>
      <c r="T55" s="85" t="s">
        <v>108</v>
      </c>
      <c r="U55" s="127" t="s">
        <v>523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85.840299999999999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84.897000000000006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17" priority="29">
      <formula>F40&gt;0</formula>
    </cfRule>
    <cfRule type="expression" dxfId="716" priority="30">
      <formula>F40&lt;0</formula>
    </cfRule>
  </conditionalFormatting>
  <conditionalFormatting sqref="F40:F45">
    <cfRule type="expression" dxfId="715" priority="31">
      <formula>F40&gt;0</formula>
    </cfRule>
    <cfRule type="expression" dxfId="714" priority="32">
      <formula>F40&lt;0</formula>
    </cfRule>
  </conditionalFormatting>
  <conditionalFormatting sqref="H40:H45">
    <cfRule type="expression" dxfId="713" priority="27">
      <formula>H40&gt;0</formula>
    </cfRule>
    <cfRule type="expression" dxfId="712" priority="28">
      <formula>H40&lt;0</formula>
    </cfRule>
  </conditionalFormatting>
  <conditionalFormatting sqref="F23:F39">
    <cfRule type="expression" dxfId="711" priority="13">
      <formula>F23&gt;0</formula>
    </cfRule>
    <cfRule type="expression" dxfId="710" priority="14">
      <formula>F23&lt;0</formula>
    </cfRule>
  </conditionalFormatting>
  <conditionalFormatting sqref="H23:H39">
    <cfRule type="expression" dxfId="709" priority="11">
      <formula>H23&gt;0</formula>
    </cfRule>
    <cfRule type="expression" dxfId="708" priority="12">
      <formula>H23&lt;0</formula>
    </cfRule>
  </conditionalFormatting>
  <conditionalFormatting sqref="Q7">
    <cfRule type="expression" dxfId="707" priority="9">
      <formula>Q7&gt;0</formula>
    </cfRule>
    <cfRule type="expression" dxfId="706" priority="10">
      <formula>Q7&lt;0</formula>
    </cfRule>
  </conditionalFormatting>
  <conditionalFormatting sqref="Q8">
    <cfRule type="expression" dxfId="705" priority="7">
      <formula>Q8&gt;0</formula>
    </cfRule>
    <cfRule type="expression" dxfId="704" priority="8">
      <formula>Q8&lt;0</formula>
    </cfRule>
  </conditionalFormatting>
  <conditionalFormatting sqref="Q10">
    <cfRule type="expression" dxfId="703" priority="1">
      <formula>Q10&gt;0</formula>
    </cfRule>
    <cfRule type="expression" dxfId="702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89.19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89.19</v>
      </c>
      <c r="R4" s="475">
        <v>-1.8E-3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206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205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205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98.109000000000009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97.217100000000002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96.325200000000009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95.433300000000003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94.541399999999996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93.649500000000003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92.757599999999996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91.865700000000004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90.973799999999997</v>
      </c>
      <c r="Q51" s="2"/>
      <c r="T51" s="106" t="s">
        <v>104</v>
      </c>
      <c r="U51" s="104" t="s">
        <v>604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90.081900000000005</v>
      </c>
      <c r="Q52" s="2"/>
      <c r="T52" s="106" t="s">
        <v>105</v>
      </c>
      <c r="U52" s="104" t="s">
        <v>605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89.19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88.298099999999991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87.406199999999998</v>
      </c>
      <c r="T55" s="106" t="s">
        <v>107</v>
      </c>
      <c r="U55" s="104" t="s">
        <v>606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86.514299999999992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85.622399999999999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84.730499999999992</v>
      </c>
      <c r="T58" s="106" t="s">
        <v>108</v>
      </c>
      <c r="U58" s="104" t="s">
        <v>511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83.8386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82.946700000000007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82.0548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81.162900000000008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80.271000000000001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01" priority="39">
      <formula>Q12&gt;0</formula>
    </cfRule>
    <cfRule type="expression" dxfId="70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99" priority="33">
      <formula>F25&gt;0</formula>
    </cfRule>
    <cfRule type="expression" dxfId="698" priority="34">
      <formula>F25&lt;0</formula>
    </cfRule>
  </conditionalFormatting>
  <conditionalFormatting sqref="F30">
    <cfRule type="expression" dxfId="697" priority="31">
      <formula>F30&gt;0</formula>
    </cfRule>
    <cfRule type="expression" dxfId="696" priority="32">
      <formula>F30&lt;0</formula>
    </cfRule>
  </conditionalFormatting>
  <conditionalFormatting sqref="F31">
    <cfRule type="expression" dxfId="695" priority="29">
      <formula>F31&gt;0</formula>
    </cfRule>
    <cfRule type="expression" dxfId="694" priority="30">
      <formula>F31&lt;0</formula>
    </cfRule>
  </conditionalFormatting>
  <conditionalFormatting sqref="F32:F34">
    <cfRule type="expression" dxfId="693" priority="27">
      <formula>F32&gt;0</formula>
    </cfRule>
    <cfRule type="expression" dxfId="692" priority="28">
      <formula>F32&lt;0</formula>
    </cfRule>
  </conditionalFormatting>
  <conditionalFormatting sqref="H25:H29">
    <cfRule type="expression" dxfId="691" priority="25">
      <formula>H25&gt;0</formula>
    </cfRule>
    <cfRule type="expression" dxfId="690" priority="26">
      <formula>H25&lt;0</formula>
    </cfRule>
  </conditionalFormatting>
  <conditionalFormatting sqref="H30">
    <cfRule type="expression" dxfId="689" priority="23">
      <formula>H30&gt;0</formula>
    </cfRule>
    <cfRule type="expression" dxfId="688" priority="24">
      <formula>H30&lt;0</formula>
    </cfRule>
  </conditionalFormatting>
  <conditionalFormatting sqref="H31">
    <cfRule type="expression" dxfId="687" priority="21">
      <formula>H31&gt;0</formula>
    </cfRule>
    <cfRule type="expression" dxfId="686" priority="22">
      <formula>H31&lt;0</formula>
    </cfRule>
  </conditionalFormatting>
  <conditionalFormatting sqref="H32:H34">
    <cfRule type="expression" dxfId="685" priority="19">
      <formula>H32&gt;0</formula>
    </cfRule>
    <cfRule type="expression" dxfId="684" priority="20">
      <formula>H32&lt;0</formula>
    </cfRule>
  </conditionalFormatting>
  <conditionalFormatting sqref="F35">
    <cfRule type="expression" dxfId="683" priority="17">
      <formula>F35&gt;0</formula>
    </cfRule>
    <cfRule type="expression" dxfId="682" priority="18">
      <formula>F35&lt;0</formula>
    </cfRule>
  </conditionalFormatting>
  <conditionalFormatting sqref="H35">
    <cfRule type="expression" dxfId="681" priority="15">
      <formula>H35&gt;0</formula>
    </cfRule>
    <cfRule type="expression" dxfId="680" priority="16">
      <formula>H35&lt;0</formula>
    </cfRule>
  </conditionalFormatting>
  <conditionalFormatting sqref="F36">
    <cfRule type="expression" dxfId="679" priority="13">
      <formula>F36&gt;0</formula>
    </cfRule>
    <cfRule type="expression" dxfId="678" priority="14">
      <formula>F36&lt;0</formula>
    </cfRule>
  </conditionalFormatting>
  <conditionalFormatting sqref="H36">
    <cfRule type="expression" dxfId="677" priority="11">
      <formula>H36&gt;0</formula>
    </cfRule>
    <cfRule type="expression" dxfId="676" priority="12">
      <formula>H36&lt;0</formula>
    </cfRule>
  </conditionalFormatting>
  <conditionalFormatting sqref="H23:H24">
    <cfRule type="expression" dxfId="675" priority="5">
      <formula>H23&gt;0</formula>
    </cfRule>
    <cfRule type="expression" dxfId="674" priority="6">
      <formula>H23&lt;0</formula>
    </cfRule>
  </conditionalFormatting>
  <conditionalFormatting sqref="F23:F24">
    <cfRule type="expression" dxfId="673" priority="7">
      <formula>F23&gt;0</formula>
    </cfRule>
    <cfRule type="expression" dxfId="672" priority="8">
      <formula>F23&lt;0</formula>
    </cfRule>
  </conditionalFormatting>
  <conditionalFormatting sqref="Q7">
    <cfRule type="expression" dxfId="671" priority="3">
      <formula>Q7&gt;0</formula>
    </cfRule>
    <cfRule type="expression" dxfId="670" priority="4">
      <formula>Q7&lt;0</formula>
    </cfRule>
  </conditionalFormatting>
  <conditionalFormatting sqref="Q8">
    <cfRule type="expression" dxfId="669" priority="1">
      <formula>Q8&gt;0</formula>
    </cfRule>
    <cfRule type="expression" dxfId="66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1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7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230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47.821833333333387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58.049900000000001</v>
      </c>
      <c r="R4" s="475">
        <v>-6.7000000000000002E-3</v>
      </c>
      <c r="T4" s="816">
        <v>43203</v>
      </c>
      <c r="U4" t="s">
        <v>979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4"/>
      <c r="M5" s="4"/>
      <c r="O5" s="11" t="s">
        <v>67</v>
      </c>
      <c r="Q5" s="3">
        <f>Q4*Q2</f>
        <v>6965.9880000000003</v>
      </c>
      <c r="U5" t="s">
        <v>981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5738.6200000000063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2831.9479999999958</v>
      </c>
      <c r="R7">
        <v>120</v>
      </c>
      <c r="T7" s="83">
        <v>43237</v>
      </c>
      <c r="U7" t="s">
        <v>1062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72"/>
      <c r="H8" s="176"/>
      <c r="I8" s="3"/>
      <c r="J8" s="3"/>
      <c r="K8" s="3"/>
      <c r="L8" s="4"/>
      <c r="M8" s="4"/>
      <c r="O8" s="11" t="s">
        <v>180</v>
      </c>
      <c r="Q8" s="2">
        <f>K18+M18-F18+Q2*Q4</f>
        <v>1227.367999999994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206</v>
      </c>
      <c r="P9"/>
      <c r="Q9" s="134">
        <f>IF(Q2=0, 0, Q8/Q6)</f>
        <v>0.21387859799045636</v>
      </c>
      <c r="W9" s="2"/>
      <c r="X9" s="134"/>
      <c r="AD9" s="225"/>
      <c r="AG9" s="225"/>
    </row>
    <row r="10" spans="1:33" x14ac:dyDescent="0.25">
      <c r="B10" s="72">
        <v>43294</v>
      </c>
      <c r="C10" s="4">
        <v>80</v>
      </c>
      <c r="D10" s="3">
        <v>54.4</v>
      </c>
      <c r="E10" s="3">
        <v>0</v>
      </c>
      <c r="F10" s="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205</v>
      </c>
      <c r="Q10" s="2">
        <f>M62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2.9629680671284533E-2</v>
      </c>
      <c r="R11">
        <v>0.43</v>
      </c>
      <c r="T11" s="83">
        <v>43294</v>
      </c>
      <c r="U11" t="s">
        <v>1178</v>
      </c>
      <c r="W11" s="2"/>
      <c r="X11" s="134"/>
      <c r="AD11" s="225"/>
      <c r="AG11" s="225"/>
    </row>
    <row r="12" spans="1:33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925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Q4/4.52</f>
        <v>12.842898230088498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63.854890000000005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570</v>
      </c>
      <c r="D18" s="18"/>
      <c r="E18" s="18"/>
      <c r="F18" s="18">
        <f>SUM(F2:F17)</f>
        <v>30784.400000000001</v>
      </c>
      <c r="G18" s="14"/>
      <c r="H18" s="71">
        <f>SUM(H2:H17)</f>
        <v>450</v>
      </c>
      <c r="I18" s="18"/>
      <c r="J18" s="18"/>
      <c r="K18" s="18">
        <f>SUM(K2:K17)</f>
        <v>24889.779999999995</v>
      </c>
      <c r="L18" s="18"/>
      <c r="M18" s="18">
        <f>SUM(M2:M17)</f>
        <v>156</v>
      </c>
      <c r="P18" s="81">
        <v>1.0900000000000001</v>
      </c>
      <c r="Q18" s="81">
        <f t="shared" ref="Q18:Q37" si="2">P18*$Q$4</f>
        <v>63.274391000000008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450</v>
      </c>
      <c r="D19" s="343"/>
      <c r="E19" s="343"/>
      <c r="F19" s="344">
        <f>SumByColor($A$19,F2:F17)</f>
        <v>24280</v>
      </c>
      <c r="G19" s="343"/>
      <c r="H19" s="343">
        <f>SumByColor($A$19,H2:H17)</f>
        <v>450</v>
      </c>
      <c r="I19" s="343"/>
      <c r="J19" s="343"/>
      <c r="K19" s="344">
        <f>SumByColor($A$19,K2:K17)</f>
        <v>24890</v>
      </c>
      <c r="L19" s="343"/>
      <c r="M19" s="344">
        <f>SumByColor($A$19,M2:M17)</f>
        <v>156</v>
      </c>
      <c r="P19" s="81">
        <v>1.08</v>
      </c>
      <c r="Q19" s="81">
        <f t="shared" si="2"/>
        <v>62.693892000000005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62.113393000000002</v>
      </c>
      <c r="W20" s="2"/>
      <c r="X20" s="134"/>
    </row>
    <row r="21" spans="1:33" x14ac:dyDescent="0.25">
      <c r="P21" s="81">
        <v>1.06</v>
      </c>
      <c r="Q21" s="81">
        <f t="shared" si="2"/>
        <v>61.532894000000006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60.952395000000003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490</v>
      </c>
      <c r="L23" s="220" t="s">
        <v>952</v>
      </c>
      <c r="M23" s="10"/>
      <c r="P23" s="81">
        <v>1.04</v>
      </c>
      <c r="Q23" s="81">
        <f t="shared" si="2"/>
        <v>60.371896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2"/>
        <v>59.791397000000003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2"/>
        <v>59.210898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2"/>
        <v>58.630399000000004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2"/>
        <v>58.049900000000001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749</v>
      </c>
      <c r="J28" s="39">
        <v>2047</v>
      </c>
      <c r="K28" s="39"/>
      <c r="L28" s="10"/>
      <c r="M28" s="10"/>
      <c r="P28" s="81">
        <v>0.99</v>
      </c>
      <c r="Q28" s="81">
        <f t="shared" si="2"/>
        <v>57.469400999999998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834</v>
      </c>
      <c r="J29" s="39">
        <v>2514</v>
      </c>
      <c r="K29" s="39"/>
      <c r="L29" s="10"/>
      <c r="M29" s="10"/>
      <c r="P29" s="81">
        <v>0.98</v>
      </c>
      <c r="Q29" s="81">
        <f t="shared" si="2"/>
        <v>56.888902000000002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2"/>
        <v>56.308402999999998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2"/>
        <v>55.727904000000002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941</v>
      </c>
      <c r="J32" s="39">
        <v>1927</v>
      </c>
      <c r="K32" s="39"/>
      <c r="L32" s="10"/>
      <c r="M32" s="10"/>
      <c r="P32" s="81">
        <v>0.95</v>
      </c>
      <c r="Q32" s="81">
        <f t="shared" si="2"/>
        <v>55.147404999999999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2"/>
        <v>54.566905999999996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2"/>
        <v>53.986407000000007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2"/>
        <v>53.405908000000004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2"/>
        <v>52.825409000000001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2"/>
        <v>52.244910000000004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1060</v>
      </c>
      <c r="J39" s="39">
        <v>1962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v>1924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1073</v>
      </c>
      <c r="J41" s="39">
        <v>2149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1077</v>
      </c>
      <c r="J42" s="39">
        <v>2093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v>1743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v>2256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1125</v>
      </c>
      <c r="J45" s="39">
        <v>2101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v>1969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1127</v>
      </c>
      <c r="J47" s="39">
        <v>2182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v>2369.96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v>2370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 t="shared" ref="F50" si="6">C50*(E50-D50)</f>
        <v>904.5599999999996</v>
      </c>
      <c r="G50" s="39">
        <f t="shared" ref="G50" si="7">D50*C50</f>
        <v>5738.64</v>
      </c>
      <c r="H50" s="222">
        <f t="shared" ref="H50" si="8">(E50-D50)/D50</f>
        <v>0.15762619714775619</v>
      </c>
      <c r="I50" s="832" t="s">
        <v>1261</v>
      </c>
      <c r="J50" s="39">
        <v>2509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84">
        <v>43312</v>
      </c>
      <c r="C51" s="10">
        <v>120</v>
      </c>
      <c r="D51" s="39">
        <v>47.821800000000003</v>
      </c>
      <c r="E51" s="39">
        <v>57.29</v>
      </c>
      <c r="F51" s="39">
        <f t="shared" ref="F51" si="9">C51*(E51-D51)</f>
        <v>1136.1839999999995</v>
      </c>
      <c r="G51" s="39">
        <f t="shared" ref="G51" si="10">D51*C51</f>
        <v>5738.616</v>
      </c>
      <c r="H51" s="222">
        <f t="shared" ref="H51" si="11">(E51-D51)/D51</f>
        <v>0.19798920157752312</v>
      </c>
      <c r="I51" s="39"/>
      <c r="J51" s="39">
        <v>2741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84">
        <v>43316</v>
      </c>
      <c r="C52" s="10">
        <v>120</v>
      </c>
      <c r="D52" s="39">
        <v>47.821800000000003</v>
      </c>
      <c r="E52" s="39">
        <v>58.83</v>
      </c>
      <c r="F52" s="39">
        <f t="shared" ref="F52" si="12">C52*(E52-D52)</f>
        <v>1320.9839999999995</v>
      </c>
      <c r="G52" s="39">
        <f t="shared" ref="G52" si="13">D52*C52</f>
        <v>5738.616</v>
      </c>
      <c r="H52" s="222">
        <f t="shared" ref="H52" si="14">(E52-D52)/D52</f>
        <v>0.23019208812717201</v>
      </c>
      <c r="I52" s="39"/>
      <c r="J52" s="39">
        <v>2926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84">
        <v>43324</v>
      </c>
      <c r="C53" s="10">
        <v>120</v>
      </c>
      <c r="D53" s="39">
        <v>47.821800000000003</v>
      </c>
      <c r="E53" s="39">
        <v>58.05</v>
      </c>
      <c r="F53" s="39">
        <f t="shared" ref="F53" si="15">C53*(E53-D53)</f>
        <v>1227.3839999999993</v>
      </c>
      <c r="G53" s="39">
        <f t="shared" ref="G53" si="16">D53*C53</f>
        <v>5738.616</v>
      </c>
      <c r="H53" s="222">
        <f t="shared" ref="H53" si="17">(E53-D53)/D53</f>
        <v>0.21388153519942774</v>
      </c>
      <c r="I53" s="39"/>
      <c r="J53" s="39"/>
      <c r="K53" s="39"/>
      <c r="L53" s="10"/>
      <c r="M53" s="10"/>
      <c r="R53" s="81"/>
      <c r="X53" s="134"/>
    </row>
    <row r="54" spans="1:24" x14ac:dyDescent="0.25">
      <c r="A54" s="10"/>
      <c r="B54" s="10"/>
      <c r="C54" s="10"/>
      <c r="D54" s="39"/>
      <c r="E54" s="39"/>
      <c r="F54" s="39"/>
      <c r="G54" s="10"/>
      <c r="H54" s="10"/>
      <c r="I54" s="39"/>
      <c r="J54" s="39"/>
      <c r="K54" s="39"/>
      <c r="L54" s="10"/>
      <c r="M54" s="10"/>
      <c r="R54" s="81"/>
      <c r="X54" s="134"/>
    </row>
    <row r="55" spans="1:24" x14ac:dyDescent="0.25">
      <c r="A55" s="10"/>
      <c r="B55" s="10"/>
      <c r="C55" s="10"/>
      <c r="D55" s="39"/>
      <c r="E55" s="39"/>
      <c r="F55" s="39"/>
      <c r="G55" s="10"/>
      <c r="H55" s="10"/>
      <c r="I55" s="39"/>
      <c r="J55" s="39"/>
      <c r="K55" s="39"/>
      <c r="L55" s="10"/>
      <c r="M55" s="10"/>
      <c r="R55" s="81"/>
      <c r="X55" s="134"/>
    </row>
    <row r="56" spans="1:24" x14ac:dyDescent="0.25">
      <c r="A56" s="10"/>
      <c r="B56" s="10"/>
      <c r="C56" s="10"/>
      <c r="D56" s="39"/>
      <c r="E56" s="39"/>
      <c r="F56" s="39"/>
      <c r="G56" s="10"/>
      <c r="H56" s="10"/>
      <c r="I56" s="39"/>
      <c r="J56" s="39"/>
      <c r="K56" s="39"/>
      <c r="L56" s="10"/>
      <c r="M56" s="10"/>
      <c r="O56" s="2"/>
      <c r="R56" s="81"/>
      <c r="X56" s="134"/>
    </row>
    <row r="57" spans="1:24" x14ac:dyDescent="0.25">
      <c r="A57" s="10"/>
      <c r="B57" s="10"/>
      <c r="C57" s="10"/>
      <c r="D57" s="39"/>
      <c r="E57" s="39"/>
      <c r="F57" s="39"/>
      <c r="G57" s="10"/>
      <c r="H57" s="10"/>
      <c r="I57" s="39"/>
      <c r="J57" s="39"/>
      <c r="K57" s="39"/>
      <c r="L57" s="10"/>
      <c r="M57" s="10"/>
      <c r="O57" s="2"/>
      <c r="R57" s="81"/>
      <c r="X57" s="134"/>
    </row>
    <row r="58" spans="1:24" x14ac:dyDescent="0.25">
      <c r="A58" s="10"/>
      <c r="B58" s="10"/>
      <c r="C58" s="10"/>
      <c r="D58" s="39"/>
      <c r="E58" s="39"/>
      <c r="F58" s="39"/>
      <c r="G58" s="10"/>
      <c r="H58" s="10"/>
      <c r="I58" s="39"/>
      <c r="J58" s="39"/>
      <c r="K58" s="39"/>
      <c r="L58" s="10"/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O60" s="2"/>
      <c r="R60" s="81"/>
      <c r="X60" s="134"/>
    </row>
    <row r="61" spans="1:24" x14ac:dyDescent="0.25">
      <c r="O61" s="2"/>
      <c r="X61" s="134"/>
    </row>
    <row r="62" spans="1:24" x14ac:dyDescent="0.25">
      <c r="L62" t="s">
        <v>65</v>
      </c>
      <c r="M62" s="39">
        <f>M103+K103-F103</f>
        <v>1604.5800000000017</v>
      </c>
      <c r="O62" s="2"/>
      <c r="X62" s="134"/>
    </row>
    <row r="63" spans="1:24" x14ac:dyDescent="0.25">
      <c r="A63" s="252" t="s">
        <v>1</v>
      </c>
      <c r="B63" s="252" t="s">
        <v>2</v>
      </c>
      <c r="C63" s="252" t="s">
        <v>4</v>
      </c>
      <c r="D63" s="253" t="s">
        <v>5</v>
      </c>
      <c r="E63" s="253" t="s">
        <v>90</v>
      </c>
      <c r="F63" s="253" t="s">
        <v>60</v>
      </c>
      <c r="G63" s="252" t="s">
        <v>3</v>
      </c>
      <c r="H63" s="252" t="s">
        <v>6</v>
      </c>
      <c r="I63" s="253" t="s">
        <v>7</v>
      </c>
      <c r="J63" s="253" t="s">
        <v>89</v>
      </c>
      <c r="K63" s="253" t="s">
        <v>61</v>
      </c>
      <c r="L63" s="252" t="s">
        <v>77</v>
      </c>
      <c r="M63" s="252" t="s">
        <v>38</v>
      </c>
      <c r="O63" s="2"/>
      <c r="X63" s="134"/>
    </row>
    <row r="64" spans="1:24" x14ac:dyDescent="0.25">
      <c r="A64" s="254" t="s">
        <v>173</v>
      </c>
      <c r="B64" s="255">
        <v>42376</v>
      </c>
      <c r="C64" s="250">
        <v>40</v>
      </c>
      <c r="D64" s="251">
        <v>50.5</v>
      </c>
      <c r="E64" s="251">
        <v>0</v>
      </c>
      <c r="F64" s="251">
        <f t="shared" ref="F64:F72" si="18">C64*D64+E64</f>
        <v>2020</v>
      </c>
      <c r="G64" s="250"/>
      <c r="H64" s="250"/>
      <c r="I64" s="251"/>
      <c r="J64" s="251"/>
      <c r="K64" s="251"/>
      <c r="L64" s="255">
        <v>42430</v>
      </c>
      <c r="M64" s="251">
        <v>15</v>
      </c>
      <c r="O64" s="2"/>
      <c r="X64" s="134"/>
    </row>
    <row r="65" spans="1:24" x14ac:dyDescent="0.25">
      <c r="A65" s="257" t="s">
        <v>71</v>
      </c>
      <c r="B65" s="255">
        <v>42466</v>
      </c>
      <c r="C65" s="250">
        <v>40</v>
      </c>
      <c r="D65" s="251">
        <v>47.38</v>
      </c>
      <c r="E65" s="251">
        <v>0</v>
      </c>
      <c r="F65" s="251">
        <f t="shared" si="18"/>
        <v>1895.2</v>
      </c>
      <c r="G65" s="255">
        <v>42473</v>
      </c>
      <c r="H65" s="256">
        <v>40</v>
      </c>
      <c r="I65" s="251">
        <v>48.91</v>
      </c>
      <c r="J65" s="251">
        <v>0.04</v>
      </c>
      <c r="K65" s="251">
        <f t="shared" ref="K65:K71" si="19">I65*H65-J65</f>
        <v>1956.36</v>
      </c>
      <c r="L65" s="255">
        <v>42522</v>
      </c>
      <c r="M65" s="251">
        <v>30.4</v>
      </c>
      <c r="O65" s="2"/>
      <c r="X65" s="134"/>
    </row>
    <row r="66" spans="1:24" x14ac:dyDescent="0.25">
      <c r="A66" s="250"/>
      <c r="B66" s="255">
        <v>42474</v>
      </c>
      <c r="C66" s="250">
        <v>40</v>
      </c>
      <c r="D66" s="251">
        <v>48.55</v>
      </c>
      <c r="E66" s="251">
        <v>0</v>
      </c>
      <c r="F66" s="251">
        <f t="shared" si="18"/>
        <v>1942</v>
      </c>
      <c r="G66" s="255">
        <v>42487</v>
      </c>
      <c r="H66" s="256">
        <v>40</v>
      </c>
      <c r="I66" s="251">
        <v>50.97</v>
      </c>
      <c r="J66" s="251">
        <v>0.04</v>
      </c>
      <c r="K66" s="251">
        <f t="shared" si="19"/>
        <v>2038.76</v>
      </c>
      <c r="L66" s="255">
        <v>42614</v>
      </c>
      <c r="M66" s="251">
        <v>41.8</v>
      </c>
      <c r="O66" s="2"/>
      <c r="X66" s="134"/>
    </row>
    <row r="67" spans="1:24" x14ac:dyDescent="0.25">
      <c r="A67" s="250"/>
      <c r="B67" s="255">
        <v>42489</v>
      </c>
      <c r="C67" s="250">
        <v>40</v>
      </c>
      <c r="D67" s="251">
        <v>50.01</v>
      </c>
      <c r="E67" s="251">
        <v>0</v>
      </c>
      <c r="F67" s="251">
        <f t="shared" si="18"/>
        <v>2000.3999999999999</v>
      </c>
      <c r="G67" s="255">
        <v>42514</v>
      </c>
      <c r="H67" s="392">
        <v>40</v>
      </c>
      <c r="I67" s="354">
        <v>49.29</v>
      </c>
      <c r="J67" s="354">
        <v>0.04</v>
      </c>
      <c r="K67" s="354">
        <f t="shared" si="19"/>
        <v>1971.56</v>
      </c>
      <c r="L67" s="250"/>
      <c r="M67" s="250"/>
      <c r="O67" s="2"/>
      <c r="X67" s="134"/>
    </row>
    <row r="68" spans="1:24" x14ac:dyDescent="0.25">
      <c r="A68" s="250"/>
      <c r="B68" s="255">
        <v>42503</v>
      </c>
      <c r="C68" s="250">
        <v>10</v>
      </c>
      <c r="D68" s="251">
        <v>48.2</v>
      </c>
      <c r="E68" s="251">
        <v>0</v>
      </c>
      <c r="F68" s="251">
        <f t="shared" si="18"/>
        <v>482</v>
      </c>
      <c r="G68" s="255">
        <v>42517</v>
      </c>
      <c r="H68" s="256">
        <v>20</v>
      </c>
      <c r="I68" s="251">
        <v>50.72</v>
      </c>
      <c r="J68" s="251">
        <v>0.02</v>
      </c>
      <c r="K68" s="354">
        <f t="shared" si="19"/>
        <v>1014.38</v>
      </c>
      <c r="L68" s="250"/>
      <c r="M68" s="250"/>
      <c r="X68" s="134"/>
    </row>
    <row r="69" spans="1:24" x14ac:dyDescent="0.25">
      <c r="A69" s="250"/>
      <c r="B69" s="255">
        <v>42503</v>
      </c>
      <c r="C69" s="250">
        <v>20</v>
      </c>
      <c r="D69" s="251">
        <v>48.2</v>
      </c>
      <c r="E69" s="251">
        <v>0</v>
      </c>
      <c r="F69" s="251">
        <f t="shared" si="18"/>
        <v>964</v>
      </c>
      <c r="G69" s="255">
        <v>42527</v>
      </c>
      <c r="H69" s="256">
        <v>30</v>
      </c>
      <c r="I69" s="251">
        <v>50.59</v>
      </c>
      <c r="J69" s="251">
        <v>0.03</v>
      </c>
      <c r="K69" s="354">
        <f t="shared" si="19"/>
        <v>1517.67</v>
      </c>
      <c r="L69" s="250"/>
      <c r="M69" s="250"/>
      <c r="X69" s="134"/>
    </row>
    <row r="70" spans="1:24" x14ac:dyDescent="0.25">
      <c r="A70" s="250"/>
      <c r="B70" s="255">
        <v>42524</v>
      </c>
      <c r="C70" s="250">
        <v>30</v>
      </c>
      <c r="D70" s="251">
        <v>50.01</v>
      </c>
      <c r="E70" s="251">
        <v>0</v>
      </c>
      <c r="F70" s="251">
        <f t="shared" si="18"/>
        <v>1500.3</v>
      </c>
      <c r="G70" s="255">
        <v>42587</v>
      </c>
      <c r="H70" s="256">
        <v>30</v>
      </c>
      <c r="I70" s="251">
        <v>48.68</v>
      </c>
      <c r="J70" s="251">
        <v>0.03</v>
      </c>
      <c r="K70" s="251">
        <f t="shared" si="19"/>
        <v>1460.3700000000001</v>
      </c>
      <c r="L70" s="250"/>
      <c r="M70" s="250"/>
    </row>
    <row r="71" spans="1:24" x14ac:dyDescent="0.25">
      <c r="A71" s="250"/>
      <c r="B71" s="255">
        <v>42531</v>
      </c>
      <c r="C71" s="250">
        <v>30</v>
      </c>
      <c r="D71" s="251">
        <v>48.51</v>
      </c>
      <c r="E71" s="251">
        <v>0</v>
      </c>
      <c r="F71" s="251">
        <f t="shared" si="18"/>
        <v>1455.3</v>
      </c>
      <c r="G71" s="255">
        <v>42611</v>
      </c>
      <c r="H71" s="256">
        <v>80</v>
      </c>
      <c r="I71" s="251">
        <v>49.71</v>
      </c>
      <c r="J71" s="251">
        <v>0.09</v>
      </c>
      <c r="K71" s="251">
        <f t="shared" si="19"/>
        <v>3976.71</v>
      </c>
      <c r="L71" s="250"/>
      <c r="M71" s="250"/>
    </row>
    <row r="72" spans="1:24" x14ac:dyDescent="0.25">
      <c r="A72" s="250"/>
      <c r="B72" s="255">
        <v>42566</v>
      </c>
      <c r="C72" s="250">
        <v>30</v>
      </c>
      <c r="D72" s="251">
        <v>47.58</v>
      </c>
      <c r="E72" s="251">
        <v>0</v>
      </c>
      <c r="F72" s="251">
        <f t="shared" si="18"/>
        <v>1427.3999999999999</v>
      </c>
      <c r="G72" s="250"/>
      <c r="H72" s="250"/>
      <c r="I72" s="251"/>
      <c r="J72" s="251"/>
      <c r="K72" s="251"/>
      <c r="L72" s="250"/>
      <c r="M72" s="250"/>
    </row>
    <row r="73" spans="1:24" x14ac:dyDescent="0.25">
      <c r="A73" s="250"/>
      <c r="B73" s="255">
        <v>42627</v>
      </c>
      <c r="C73" s="250">
        <v>40</v>
      </c>
      <c r="D73" s="251">
        <v>46.47</v>
      </c>
      <c r="E73" s="251">
        <v>0</v>
      </c>
      <c r="F73" s="251">
        <f>D73*C73+E73</f>
        <v>1858.8</v>
      </c>
      <c r="G73" s="255">
        <v>42670</v>
      </c>
      <c r="H73" s="256">
        <v>40</v>
      </c>
      <c r="I73" s="251">
        <v>46.48</v>
      </c>
      <c r="J73" s="251">
        <v>0.04</v>
      </c>
      <c r="K73" s="251">
        <f>I73*H73-J73</f>
        <v>1859.1599999999999</v>
      </c>
      <c r="L73" s="255">
        <v>42705</v>
      </c>
      <c r="M73" s="251">
        <v>15.2</v>
      </c>
    </row>
    <row r="74" spans="1:24" x14ac:dyDescent="0.25">
      <c r="A74" s="250"/>
      <c r="B74" s="255">
        <v>42639</v>
      </c>
      <c r="C74" s="250">
        <v>40</v>
      </c>
      <c r="D74" s="251">
        <v>44.8</v>
      </c>
      <c r="E74" s="251">
        <v>0</v>
      </c>
      <c r="F74" s="251">
        <f>D74*C74+E74</f>
        <v>1792</v>
      </c>
      <c r="G74" s="255">
        <v>42683</v>
      </c>
      <c r="H74" s="256">
        <v>40</v>
      </c>
      <c r="I74" s="251">
        <v>46.58</v>
      </c>
      <c r="J74" s="251">
        <v>0.04</v>
      </c>
      <c r="K74" s="251">
        <f>I74*H74-J74</f>
        <v>1863.1599999999999</v>
      </c>
      <c r="L74" s="255"/>
      <c r="M74" s="251"/>
    </row>
    <row r="75" spans="1:24" x14ac:dyDescent="0.25">
      <c r="A75" s="250"/>
      <c r="B75" s="255">
        <v>42678</v>
      </c>
      <c r="C75" s="250">
        <v>40</v>
      </c>
      <c r="D75" s="251">
        <v>44.95</v>
      </c>
      <c r="E75" s="251">
        <v>0</v>
      </c>
      <c r="F75" s="251">
        <f>D75*C75+E75</f>
        <v>1798</v>
      </c>
      <c r="G75" s="255">
        <v>42710</v>
      </c>
      <c r="H75" s="256">
        <v>40</v>
      </c>
      <c r="I75" s="251">
        <v>55.08</v>
      </c>
      <c r="J75" s="251">
        <v>0.05</v>
      </c>
      <c r="K75" s="251">
        <f>I75*H75-J75</f>
        <v>2203.1499999999996</v>
      </c>
      <c r="L75" s="255"/>
      <c r="M75" s="250"/>
    </row>
    <row r="76" spans="1:24" x14ac:dyDescent="0.25">
      <c r="A76" s="250"/>
      <c r="B76" s="255"/>
      <c r="C76" s="250"/>
      <c r="D76" s="251"/>
      <c r="E76" s="251"/>
      <c r="F76" s="251"/>
      <c r="G76" s="255"/>
      <c r="H76" s="392"/>
      <c r="I76" s="354"/>
      <c r="J76" s="354"/>
      <c r="K76" s="354"/>
      <c r="L76" s="250"/>
      <c r="M76" s="250"/>
    </row>
    <row r="77" spans="1:24" x14ac:dyDescent="0.25">
      <c r="A77" s="250"/>
      <c r="B77" s="434">
        <v>42718</v>
      </c>
      <c r="C77" s="7">
        <v>40</v>
      </c>
      <c r="D77" s="43">
        <v>54.28</v>
      </c>
      <c r="E77" s="43">
        <v>0</v>
      </c>
      <c r="F77" s="43">
        <f>C77*D77+E77</f>
        <v>2171.1999999999998</v>
      </c>
      <c r="G77" s="434">
        <v>42759</v>
      </c>
      <c r="H77" s="80">
        <v>40</v>
      </c>
      <c r="I77" s="43">
        <v>54.92</v>
      </c>
      <c r="J77" s="43">
        <v>0.05</v>
      </c>
      <c r="K77" s="43">
        <f>H77*I77-J77</f>
        <v>2196.75</v>
      </c>
      <c r="L77" s="250"/>
      <c r="M77" s="250"/>
    </row>
    <row r="78" spans="1:24" x14ac:dyDescent="0.25">
      <c r="A78" s="250"/>
      <c r="B78" s="434">
        <v>42733</v>
      </c>
      <c r="C78" s="7">
        <v>40</v>
      </c>
      <c r="D78" s="43">
        <v>54.58</v>
      </c>
      <c r="E78" s="43">
        <v>0</v>
      </c>
      <c r="F78" s="43">
        <f>C78*D78+E78</f>
        <v>2183.1999999999998</v>
      </c>
      <c r="G78" s="571">
        <v>42767</v>
      </c>
      <c r="H78" s="80">
        <v>40</v>
      </c>
      <c r="I78" s="43">
        <v>57.05</v>
      </c>
      <c r="J78" s="43">
        <v>0.05</v>
      </c>
      <c r="K78" s="43">
        <f>H78*I78-J78</f>
        <v>2281.9499999999998</v>
      </c>
      <c r="L78" s="250"/>
      <c r="M78" s="250"/>
    </row>
    <row r="79" spans="1:24" x14ac:dyDescent="0.25">
      <c r="A79" s="250"/>
      <c r="B79" s="434">
        <v>42740</v>
      </c>
      <c r="C79" s="7">
        <v>40</v>
      </c>
      <c r="D79" s="43">
        <v>54.9</v>
      </c>
      <c r="E79" s="43">
        <v>0</v>
      </c>
      <c r="F79" s="43">
        <f>C79*D79+E79</f>
        <v>2196</v>
      </c>
      <c r="G79" s="434">
        <v>42781</v>
      </c>
      <c r="H79" s="80">
        <v>40</v>
      </c>
      <c r="I79" s="43">
        <v>58.48</v>
      </c>
      <c r="J79" s="43">
        <v>0.05</v>
      </c>
      <c r="K79" s="43">
        <f>H79*I79-J79</f>
        <v>2339.1499999999996</v>
      </c>
      <c r="L79" s="250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256"/>
      <c r="I80" s="251"/>
      <c r="J80" s="251"/>
      <c r="K80" s="354"/>
      <c r="L80" s="250"/>
      <c r="M80" s="250"/>
    </row>
    <row r="81" spans="1:13" x14ac:dyDescent="0.25">
      <c r="A81" s="250"/>
      <c r="B81" s="434">
        <v>42767</v>
      </c>
      <c r="C81" s="7">
        <v>40</v>
      </c>
      <c r="D81" s="43">
        <v>56.68</v>
      </c>
      <c r="E81" s="43">
        <v>0</v>
      </c>
      <c r="F81" s="43">
        <f>C81*D81+E81</f>
        <v>2267.1999999999998</v>
      </c>
      <c r="G81" s="434">
        <v>42803</v>
      </c>
      <c r="H81" s="7">
        <v>40</v>
      </c>
      <c r="I81" s="43">
        <v>58.65</v>
      </c>
      <c r="J81" s="43">
        <v>0.05</v>
      </c>
      <c r="K81" s="43">
        <f>H81*I81-J81</f>
        <v>2345.9499999999998</v>
      </c>
      <c r="L81" s="72">
        <v>42795</v>
      </c>
      <c r="M81" s="43">
        <v>30.4</v>
      </c>
    </row>
    <row r="82" spans="1:13" x14ac:dyDescent="0.25">
      <c r="A82" s="250"/>
      <c r="B82" s="255"/>
      <c r="C82" s="250"/>
      <c r="D82" s="251"/>
      <c r="E82" s="251"/>
      <c r="F82" s="251"/>
      <c r="G82" s="255"/>
      <c r="H82" s="256"/>
      <c r="I82" s="251"/>
      <c r="J82" s="251"/>
      <c r="K82" s="354"/>
      <c r="L82" s="250"/>
      <c r="M82" s="250"/>
    </row>
    <row r="83" spans="1:13" x14ac:dyDescent="0.25">
      <c r="A83" s="250"/>
      <c r="B83" s="434">
        <v>42782</v>
      </c>
      <c r="C83" s="7">
        <v>40</v>
      </c>
      <c r="D83" s="43">
        <v>57.85</v>
      </c>
      <c r="E83" s="43">
        <v>0</v>
      </c>
      <c r="F83" s="43">
        <f t="shared" ref="F83:F88" si="20">C83*D83+E83</f>
        <v>2314</v>
      </c>
      <c r="G83" s="434">
        <v>42915</v>
      </c>
      <c r="H83" s="7">
        <v>80</v>
      </c>
      <c r="I83" s="43">
        <v>55.8</v>
      </c>
      <c r="J83" s="43">
        <v>0.1</v>
      </c>
      <c r="K83" s="43">
        <f>H83*I83-J83</f>
        <v>4463.8999999999996</v>
      </c>
      <c r="L83" s="72">
        <v>42888</v>
      </c>
      <c r="M83" s="43">
        <v>45.6</v>
      </c>
    </row>
    <row r="84" spans="1:13" x14ac:dyDescent="0.25">
      <c r="A84" s="250"/>
      <c r="B84" s="434">
        <v>42815</v>
      </c>
      <c r="C84" s="7">
        <v>40</v>
      </c>
      <c r="D84" s="43">
        <v>57.28</v>
      </c>
      <c r="E84" s="43">
        <v>0</v>
      </c>
      <c r="F84" s="43">
        <f t="shared" si="20"/>
        <v>2291.1999999999998</v>
      </c>
      <c r="G84" s="434">
        <v>42997</v>
      </c>
      <c r="H84" s="80">
        <v>80</v>
      </c>
      <c r="I84" s="43">
        <v>53.18</v>
      </c>
      <c r="J84" s="43">
        <v>0.1</v>
      </c>
      <c r="K84" s="43">
        <f>H84*I84-J84</f>
        <v>4254.2999999999993</v>
      </c>
      <c r="L84" s="1">
        <v>42979</v>
      </c>
      <c r="M84" s="43">
        <v>62.4</v>
      </c>
    </row>
    <row r="85" spans="1:13" x14ac:dyDescent="0.25">
      <c r="A85" s="250"/>
      <c r="B85" s="434">
        <v>42836</v>
      </c>
      <c r="C85" s="7">
        <v>40</v>
      </c>
      <c r="D85" s="43">
        <v>53.6</v>
      </c>
      <c r="E85" s="43">
        <v>0</v>
      </c>
      <c r="F85" s="43">
        <f t="shared" si="20"/>
        <v>2144</v>
      </c>
      <c r="G85" s="434">
        <v>43005</v>
      </c>
      <c r="H85" s="80">
        <v>40</v>
      </c>
      <c r="I85" s="43">
        <v>54.42</v>
      </c>
      <c r="J85" s="43">
        <v>0.05</v>
      </c>
      <c r="K85" s="43">
        <f>H85*I85-J85</f>
        <v>2176.75</v>
      </c>
      <c r="L85" s="72"/>
      <c r="M85" s="4"/>
    </row>
    <row r="86" spans="1:13" x14ac:dyDescent="0.25">
      <c r="A86" s="250"/>
      <c r="B86" s="434">
        <v>42886</v>
      </c>
      <c r="C86" s="7">
        <v>80</v>
      </c>
      <c r="D86" s="43">
        <v>50.88</v>
      </c>
      <c r="E86" s="43">
        <v>0</v>
      </c>
      <c r="F86" s="43">
        <f t="shared" si="20"/>
        <v>4070.4</v>
      </c>
      <c r="G86" s="434">
        <v>43006</v>
      </c>
      <c r="H86" s="726">
        <v>40</v>
      </c>
      <c r="I86" s="45">
        <v>54.3</v>
      </c>
      <c r="J86" s="45">
        <v>0.05</v>
      </c>
      <c r="K86" s="43">
        <f>H86*I86-J86</f>
        <v>2171.9499999999998</v>
      </c>
      <c r="L86" s="4"/>
      <c r="M86" s="4"/>
    </row>
    <row r="87" spans="1:13" x14ac:dyDescent="0.25">
      <c r="A87" s="250"/>
      <c r="B87" s="434">
        <v>42944</v>
      </c>
      <c r="C87" s="7">
        <v>40</v>
      </c>
      <c r="D87" s="43">
        <v>53.37</v>
      </c>
      <c r="E87" s="43">
        <v>-0.1</v>
      </c>
      <c r="F87" s="43">
        <f t="shared" si="20"/>
        <v>2134.6999999999998</v>
      </c>
      <c r="G87" s="434">
        <v>43007</v>
      </c>
      <c r="H87" s="80">
        <v>80</v>
      </c>
      <c r="I87" s="43">
        <v>54.85</v>
      </c>
      <c r="J87" s="43">
        <v>0.1</v>
      </c>
      <c r="K87" s="45">
        <f>H87*I87-J87</f>
        <v>4387.8999999999996</v>
      </c>
      <c r="L87" s="4"/>
      <c r="M87" s="4"/>
    </row>
    <row r="88" spans="1:13" x14ac:dyDescent="0.25">
      <c r="A88" s="250"/>
      <c r="B88" s="434">
        <v>42951</v>
      </c>
      <c r="C88" s="7">
        <v>80</v>
      </c>
      <c r="D88" s="43">
        <v>52.61</v>
      </c>
      <c r="E88" s="43">
        <v>0</v>
      </c>
      <c r="F88" s="43">
        <f t="shared" si="20"/>
        <v>4208.8</v>
      </c>
      <c r="G88" s="72"/>
      <c r="H88" s="176"/>
      <c r="I88" s="3"/>
      <c r="J88" s="3"/>
      <c r="K88" s="73"/>
      <c r="L88" s="4"/>
      <c r="M88" s="4"/>
    </row>
    <row r="89" spans="1:13" x14ac:dyDescent="0.25">
      <c r="A89" s="250"/>
      <c r="B89" s="255"/>
      <c r="C89" s="250"/>
      <c r="D89" s="251"/>
      <c r="E89" s="251"/>
      <c r="F89" s="251"/>
      <c r="G89" s="255"/>
      <c r="H89" s="256"/>
      <c r="I89" s="251"/>
      <c r="J89" s="251"/>
      <c r="K89" s="354"/>
      <c r="L89" s="250"/>
      <c r="M89" s="250"/>
    </row>
    <row r="90" spans="1:13" x14ac:dyDescent="0.25">
      <c r="A90" s="250"/>
      <c r="B90" s="255"/>
      <c r="C90" s="250"/>
      <c r="D90" s="251"/>
      <c r="E90" s="251"/>
      <c r="F90" s="251"/>
      <c r="G90" s="255"/>
      <c r="H90" s="256"/>
      <c r="I90" s="251"/>
      <c r="J90" s="251"/>
      <c r="K90" s="354"/>
      <c r="L90" s="250"/>
      <c r="M90" s="250"/>
    </row>
    <row r="91" spans="1:13" x14ac:dyDescent="0.25">
      <c r="A91" s="250"/>
      <c r="B91" s="255"/>
      <c r="C91" s="250"/>
      <c r="D91" s="251"/>
      <c r="E91" s="251"/>
      <c r="F91" s="251"/>
      <c r="G91" s="255"/>
      <c r="H91" s="256"/>
      <c r="I91" s="251"/>
      <c r="J91" s="251"/>
      <c r="K91" s="354"/>
      <c r="L91" s="250"/>
      <c r="M91" s="250"/>
    </row>
    <row r="92" spans="1:13" x14ac:dyDescent="0.25">
      <c r="A92" s="250"/>
      <c r="B92" s="255"/>
      <c r="C92" s="250"/>
      <c r="D92" s="251"/>
      <c r="E92" s="251"/>
      <c r="F92" s="251"/>
      <c r="G92" s="255"/>
      <c r="H92" s="256"/>
      <c r="I92" s="251"/>
      <c r="J92" s="251"/>
      <c r="K92" s="354"/>
      <c r="L92" s="250"/>
      <c r="M92" s="250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5"/>
      <c r="C97" s="250"/>
      <c r="D97" s="251"/>
      <c r="E97" s="251"/>
      <c r="F97" s="251"/>
      <c r="G97" s="255"/>
      <c r="H97" s="256"/>
      <c r="I97" s="251"/>
      <c r="J97" s="251"/>
      <c r="K97" s="354"/>
      <c r="L97" s="250"/>
      <c r="M97" s="250"/>
    </row>
    <row r="98" spans="1:13" x14ac:dyDescent="0.25">
      <c r="A98" s="250"/>
      <c r="B98" s="255"/>
      <c r="C98" s="250"/>
      <c r="D98" s="251"/>
      <c r="E98" s="251"/>
      <c r="F98" s="251"/>
      <c r="G98" s="255"/>
      <c r="H98" s="256"/>
      <c r="I98" s="251"/>
      <c r="J98" s="251"/>
      <c r="K98" s="354"/>
      <c r="L98" s="250"/>
      <c r="M98" s="250"/>
    </row>
    <row r="99" spans="1:13" x14ac:dyDescent="0.25">
      <c r="A99" s="250"/>
      <c r="B99" s="255"/>
      <c r="C99" s="250"/>
      <c r="D99" s="251"/>
      <c r="E99" s="251"/>
      <c r="F99" s="251"/>
      <c r="G99" s="255"/>
      <c r="H99" s="256"/>
      <c r="I99" s="251"/>
      <c r="J99" s="251"/>
      <c r="K99" s="354"/>
      <c r="L99" s="250"/>
      <c r="M99" s="250"/>
    </row>
    <row r="100" spans="1:13" x14ac:dyDescent="0.25">
      <c r="A100" s="250"/>
      <c r="B100" s="255"/>
      <c r="C100" s="250"/>
      <c r="D100" s="251"/>
      <c r="E100" s="251"/>
      <c r="F100" s="251"/>
      <c r="G100" s="255"/>
      <c r="H100" s="256"/>
      <c r="I100" s="251"/>
      <c r="J100" s="251"/>
      <c r="K100" s="354"/>
      <c r="L100" s="250"/>
      <c r="M100" s="250"/>
    </row>
    <row r="101" spans="1:13" x14ac:dyDescent="0.25">
      <c r="A101" s="250"/>
      <c r="B101" s="255"/>
      <c r="C101" s="250"/>
      <c r="D101" s="251"/>
      <c r="E101" s="251"/>
      <c r="F101" s="251"/>
      <c r="G101" s="255"/>
      <c r="H101" s="256"/>
      <c r="I101" s="251"/>
      <c r="J101" s="251"/>
      <c r="K101" s="354"/>
      <c r="L101" s="250"/>
      <c r="M101" s="250"/>
    </row>
    <row r="102" spans="1:13" x14ac:dyDescent="0.25">
      <c r="A102" s="250"/>
      <c r="B102" s="250"/>
      <c r="C102" s="250"/>
      <c r="D102" s="251"/>
      <c r="E102" s="251"/>
      <c r="F102" s="251"/>
      <c r="G102" s="250"/>
      <c r="H102" s="256"/>
      <c r="I102" s="251"/>
      <c r="J102" s="251"/>
      <c r="K102" s="251"/>
      <c r="L102" s="250"/>
      <c r="M102" s="250"/>
    </row>
    <row r="103" spans="1:13" x14ac:dyDescent="0.25">
      <c r="A103" s="31" t="s">
        <v>81</v>
      </c>
      <c r="B103" s="14"/>
      <c r="C103" s="14">
        <f>SUM(C64:C102)</f>
        <v>880</v>
      </c>
      <c r="D103" s="18"/>
      <c r="E103" s="18"/>
      <c r="F103" s="18">
        <f>SUM(F64:F102)</f>
        <v>45116.1</v>
      </c>
      <c r="G103" s="14"/>
      <c r="H103" s="71">
        <f>SUM(H65:H102)</f>
        <v>880</v>
      </c>
      <c r="I103" s="18"/>
      <c r="J103" s="18"/>
      <c r="K103" s="18">
        <f>SUM(K65:K102)</f>
        <v>46479.88</v>
      </c>
      <c r="L103" s="18"/>
      <c r="M103" s="18">
        <f>SUM(M64:M102)</f>
        <v>240.79999999999998</v>
      </c>
    </row>
    <row r="104" spans="1:13" ht="15.75" thickBot="1" x14ac:dyDescent="0.3">
      <c r="A104" s="439" t="s">
        <v>193</v>
      </c>
      <c r="B104" s="440"/>
      <c r="C104" s="441">
        <f>SumByColor($A$19,C64:C102)</f>
        <v>480</v>
      </c>
      <c r="D104" s="441"/>
      <c r="E104" s="441"/>
      <c r="F104" s="442">
        <f>SumByColor($A$19,F64:F102)</f>
        <v>25980</v>
      </c>
      <c r="G104" s="441"/>
      <c r="H104" s="441">
        <f>SumByColor($A$19,H64:H102)</f>
        <v>480</v>
      </c>
      <c r="I104" s="441"/>
      <c r="J104" s="441"/>
      <c r="K104" s="442">
        <f>SumByColor($A$19,K64:K102)</f>
        <v>26619</v>
      </c>
      <c r="L104" s="441"/>
      <c r="M104" s="442">
        <f>SumByColor($A$19,M64:M102)</f>
        <v>138</v>
      </c>
    </row>
  </sheetData>
  <conditionalFormatting sqref="P17:P37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95">
      <iconSet iconSet="3Arrows">
        <cfvo type="percent" val="0"/>
        <cfvo type="num" val="0"/>
        <cfvo type="num" val="0"/>
      </iconSet>
    </cfRule>
  </conditionalFormatting>
  <conditionalFormatting sqref="Q8 J40:J50 J57:J59">
    <cfRule type="expression" dxfId="667" priority="69">
      <formula>J8&gt;0</formula>
    </cfRule>
    <cfRule type="expression" dxfId="666" priority="70">
      <formula>J8&lt;0</formula>
    </cfRule>
  </conditionalFormatting>
  <conditionalFormatting sqref="Q7">
    <cfRule type="expression" dxfId="665" priority="71">
      <formula>Q7&gt;0</formula>
    </cfRule>
    <cfRule type="expression" dxfId="664" priority="72">
      <formula>Q7&lt;0</formula>
    </cfRule>
  </conditionalFormatting>
  <conditionalFormatting sqref="M62">
    <cfRule type="expression" dxfId="663" priority="59">
      <formula>M62&gt;0</formula>
    </cfRule>
    <cfRule type="expression" dxfId="662" priority="60">
      <formula>M62&lt;0</formula>
    </cfRule>
  </conditionalFormatting>
  <conditionalFormatting sqref="M62">
    <cfRule type="expression" dxfId="661" priority="61">
      <formula>M62&gt;0</formula>
    </cfRule>
    <cfRule type="expression" dxfId="660" priority="62">
      <formula>M62&lt;0</formula>
    </cfRule>
  </conditionalFormatting>
  <conditionalFormatting sqref="F24:F53">
    <cfRule type="expression" dxfId="659" priority="47">
      <formula>F24&gt;0</formula>
    </cfRule>
    <cfRule type="expression" dxfId="658" priority="48">
      <formula>F24&lt;0</formula>
    </cfRule>
  </conditionalFormatting>
  <conditionalFormatting sqref="F24:F53">
    <cfRule type="expression" dxfId="657" priority="49">
      <formula>F24&gt;0</formula>
    </cfRule>
    <cfRule type="expression" dxfId="656" priority="50">
      <formula>F24&lt;0</formula>
    </cfRule>
  </conditionalFormatting>
  <conditionalFormatting sqref="H24:H53">
    <cfRule type="expression" dxfId="655" priority="45">
      <formula>H24&gt;0</formula>
    </cfRule>
    <cfRule type="expression" dxfId="654" priority="46">
      <formula>H24&lt;0</formula>
    </cfRule>
  </conditionalFormatting>
  <conditionalFormatting sqref="J27:J38">
    <cfRule type="expression" dxfId="653" priority="15">
      <formula>J27&gt;0</formula>
    </cfRule>
    <cfRule type="expression" dxfId="652" priority="16">
      <formula>J27&lt;0</formula>
    </cfRule>
  </conditionalFormatting>
  <conditionalFormatting sqref="J27:J38">
    <cfRule type="expression" dxfId="651" priority="17">
      <formula>J27&gt;0</formula>
    </cfRule>
    <cfRule type="expression" dxfId="650" priority="18">
      <formula>J27&lt;0</formula>
    </cfRule>
  </conditionalFormatting>
  <conditionalFormatting sqref="W1:W46">
    <cfRule type="dataBar" priority="8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39">
    <cfRule type="expression" dxfId="649" priority="11">
      <formula>J39&gt;0</formula>
    </cfRule>
    <cfRule type="expression" dxfId="648" priority="12">
      <formula>J39&lt;0</formula>
    </cfRule>
  </conditionalFormatting>
  <conditionalFormatting sqref="J39">
    <cfRule type="expression" dxfId="647" priority="13">
      <formula>J39&gt;0</formula>
    </cfRule>
    <cfRule type="expression" dxfId="646" priority="14">
      <formula>J39&lt;0</formula>
    </cfRule>
  </conditionalFormatting>
  <conditionalFormatting sqref="J51:J56">
    <cfRule type="expression" dxfId="645" priority="1">
      <formula>J51&gt;0</formula>
    </cfRule>
    <cfRule type="expression" dxfId="644" priority="2">
      <formula>J51&lt;0</formula>
    </cfRule>
  </conditionalFormatting>
  <hyperlinks>
    <hyperlink ref="A3" location="ACTIVE!A1" display="Back"/>
    <hyperlink ref="A6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228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42.99</v>
      </c>
      <c r="T3" s="118">
        <v>42568</v>
      </c>
      <c r="U3" t="s">
        <v>233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42.99</v>
      </c>
      <c r="R4" s="475">
        <v>-1.6199999999999999E-2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205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59" t="s">
        <v>78</v>
      </c>
      <c r="Q39" s="859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47.289000000000009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46.859100000000005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46.429200000000009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45.999300000000005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45.569400000000002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45.139500000000005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44.709600000000002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44.279700000000005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43.849800000000002</v>
      </c>
      <c r="R48" s="81"/>
      <c r="T48" s="85" t="s">
        <v>104</v>
      </c>
      <c r="U48" s="86" t="s">
        <v>607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43.419900000000005</v>
      </c>
      <c r="R49" s="81"/>
      <c r="T49" s="85" t="s">
        <v>105</v>
      </c>
      <c r="U49" s="86" t="s">
        <v>419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42.99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42.560099999999998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42.130200000000002</v>
      </c>
      <c r="R52" s="81"/>
      <c r="T52" s="85" t="s">
        <v>107</v>
      </c>
      <c r="U52" s="86" t="s">
        <v>608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41.700299999999999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41.270400000000002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40.840499999999999</v>
      </c>
      <c r="R55" s="81"/>
      <c r="T55" s="85" t="s">
        <v>108</v>
      </c>
      <c r="U55" s="86" t="s">
        <v>501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40.410600000000002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39.980700000000006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39.550800000000002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39.120900000000006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38.691000000000003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227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43" priority="66">
      <formula>F22&gt;0</formula>
    </cfRule>
    <cfRule type="expression" dxfId="642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41" priority="53">
      <formula>F41&gt;0</formula>
    </cfRule>
    <cfRule type="expression" dxfId="640" priority="54">
      <formula>F41&lt;0</formula>
    </cfRule>
  </conditionalFormatting>
  <conditionalFormatting sqref="F41">
    <cfRule type="expression" dxfId="639" priority="57">
      <formula>F41&gt;0</formula>
    </cfRule>
    <cfRule type="expression" dxfId="638" priority="58">
      <formula>F41&lt;0</formula>
    </cfRule>
  </conditionalFormatting>
  <conditionalFormatting sqref="H41">
    <cfRule type="expression" dxfId="637" priority="35">
      <formula>H41&gt;0</formula>
    </cfRule>
    <cfRule type="expression" dxfId="636" priority="36">
      <formula>H41&lt;0</formula>
    </cfRule>
  </conditionalFormatting>
  <conditionalFormatting sqref="F89:F95">
    <cfRule type="expression" dxfId="635" priority="29">
      <formula>F89&gt;0</formula>
    </cfRule>
    <cfRule type="expression" dxfId="634" priority="30">
      <formula>F89&lt;0</formula>
    </cfRule>
  </conditionalFormatting>
  <conditionalFormatting sqref="F96:F110">
    <cfRule type="expression" dxfId="633" priority="25">
      <formula>F96&gt;0</formula>
    </cfRule>
    <cfRule type="expression" dxfId="632" priority="26">
      <formula>F96&lt;0</formula>
    </cfRule>
  </conditionalFormatting>
  <conditionalFormatting sqref="F96:F110">
    <cfRule type="expression" dxfId="631" priority="27">
      <formula>F96&gt;0</formula>
    </cfRule>
    <cfRule type="expression" dxfId="630" priority="28">
      <formula>F96&lt;0</formula>
    </cfRule>
  </conditionalFormatting>
  <conditionalFormatting sqref="H89:H100">
    <cfRule type="expression" dxfId="629" priority="23">
      <formula>H89&gt;0</formula>
    </cfRule>
    <cfRule type="expression" dxfId="628" priority="24">
      <formula>H89&lt;0</formula>
    </cfRule>
  </conditionalFormatting>
  <conditionalFormatting sqref="H101">
    <cfRule type="expression" dxfId="627" priority="21">
      <formula>H101&gt;0</formula>
    </cfRule>
    <cfRule type="expression" dxfId="626" priority="22">
      <formula>H101&lt;0</formula>
    </cfRule>
  </conditionalFormatting>
  <conditionalFormatting sqref="F111:F116">
    <cfRule type="expression" dxfId="625" priority="19">
      <formula>F111&gt;0</formula>
    </cfRule>
    <cfRule type="expression" dxfId="624" priority="20">
      <formula>F111&lt;0</formula>
    </cfRule>
  </conditionalFormatting>
  <conditionalFormatting sqref="H103:H116">
    <cfRule type="expression" dxfId="623" priority="17">
      <formula>H103&gt;0</formula>
    </cfRule>
    <cfRule type="expression" dxfId="622" priority="18">
      <formula>H103&lt;0</formula>
    </cfRule>
  </conditionalFormatting>
  <conditionalFormatting sqref="H102">
    <cfRule type="expression" dxfId="621" priority="15">
      <formula>H102&gt;0</formula>
    </cfRule>
    <cfRule type="expression" dxfId="620" priority="16">
      <formula>H102&lt;0</formula>
    </cfRule>
  </conditionalFormatting>
  <conditionalFormatting sqref="M42">
    <cfRule type="expression" dxfId="619" priority="13">
      <formula>M42&gt;0</formula>
    </cfRule>
    <cfRule type="expression" dxfId="618" priority="14">
      <formula>M42&lt;0</formula>
    </cfRule>
  </conditionalFormatting>
  <conditionalFormatting sqref="Q7">
    <cfRule type="expression" dxfId="617" priority="9">
      <formula>Q7&gt;0</formula>
    </cfRule>
    <cfRule type="expression" dxfId="616" priority="10">
      <formula>Q7&lt;0</formula>
    </cfRule>
  </conditionalFormatting>
  <conditionalFormatting sqref="Q8">
    <cfRule type="expression" dxfId="615" priority="7">
      <formula>Q8&gt;0</formula>
    </cfRule>
    <cfRule type="expression" dxfId="614" priority="8">
      <formula>Q8&lt;0</formula>
    </cfRule>
  </conditionalFormatting>
  <conditionalFormatting sqref="F117:F130 H117:H130">
    <cfRule type="expression" dxfId="613" priority="1">
      <formula>F117&gt;0</formula>
    </cfRule>
    <cfRule type="expression" dxfId="612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220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234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49.75</v>
      </c>
      <c r="T3" s="1" t="s">
        <v>235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49.75</v>
      </c>
      <c r="R4" s="493">
        <v>2.4299999999999999E-2</v>
      </c>
      <c r="T4" s="156">
        <v>42633</v>
      </c>
      <c r="U4" s="1" t="s">
        <v>267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320</v>
      </c>
      <c r="U6" t="s">
        <v>449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448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450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974</v>
      </c>
      <c r="Q12" s="1" t="s">
        <v>1182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496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54.725000000000001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54.227500000000006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53.730000000000004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53.232500000000002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52.734999999999999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52.237500000000004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51.74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51.2425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50.744999999999997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50.247500000000002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49.75</v>
      </c>
      <c r="W39" s="134"/>
    </row>
    <row r="40" spans="1:23" x14ac:dyDescent="0.25">
      <c r="O40" s="81">
        <v>0.99</v>
      </c>
      <c r="P40" s="81">
        <f t="shared" si="0"/>
        <v>49.252499999999998</v>
      </c>
      <c r="W40" s="134"/>
    </row>
    <row r="41" spans="1:23" x14ac:dyDescent="0.25">
      <c r="O41" s="81">
        <v>0.98</v>
      </c>
      <c r="P41" s="81">
        <f t="shared" si="0"/>
        <v>48.755000000000003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48.2575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47.76</v>
      </c>
      <c r="W43" s="134"/>
    </row>
    <row r="44" spans="1:23" x14ac:dyDescent="0.25">
      <c r="A44" s="687" t="s">
        <v>220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47.262499999999996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46.765000000000001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46.267500000000005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45.77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45.272500000000001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44.774999999999999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416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609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464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610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536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223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496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279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280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280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304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496</v>
      </c>
    </row>
    <row r="167" spans="1:10" x14ac:dyDescent="0.25">
      <c r="A167" t="s">
        <v>333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333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421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435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440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353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653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654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658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687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11" priority="84">
      <formula>F7&gt;0</formula>
    </cfRule>
    <cfRule type="expression" dxfId="610" priority="85">
      <formula>F7&lt;0</formula>
    </cfRule>
  </conditionalFormatting>
  <conditionalFormatting sqref="Q8">
    <cfRule type="expression" dxfId="609" priority="82">
      <formula>Q8&gt;0</formula>
    </cfRule>
    <cfRule type="expression" dxfId="608" priority="83">
      <formula>Q8&lt;0</formula>
    </cfRule>
  </conditionalFormatting>
  <conditionalFormatting sqref="F29:F36">
    <cfRule type="expression" dxfId="607" priority="62">
      <formula>F29&gt;0</formula>
    </cfRule>
    <cfRule type="expression" dxfId="606" priority="63">
      <formula>F29&lt;0</formula>
    </cfRule>
  </conditionalFormatting>
  <conditionalFormatting sqref="J32:J38">
    <cfRule type="expression" dxfId="605" priority="57">
      <formula>J32&gt;0</formula>
    </cfRule>
    <cfRule type="expression" dxfId="604" priority="58">
      <formula>J32&lt;0</formula>
    </cfRule>
  </conditionalFormatting>
  <conditionalFormatting sqref="M42">
    <cfRule type="expression" dxfId="603" priority="55">
      <formula>M42&gt;0</formula>
    </cfRule>
    <cfRule type="expression" dxfId="602" priority="56">
      <formula>M42&lt;0</formula>
    </cfRule>
  </conditionalFormatting>
  <conditionalFormatting sqref="F98:F134 H98:H134 H137:H142 F137:F142 F144:F153 H144:H153">
    <cfRule type="expression" dxfId="601" priority="53">
      <formula>F98&gt;0</formula>
    </cfRule>
    <cfRule type="expression" dxfId="600" priority="54">
      <formula>F98&lt;0</formula>
    </cfRule>
  </conditionalFormatting>
  <conditionalFormatting sqref="F90:F97">
    <cfRule type="expression" dxfId="599" priority="51">
      <formula>F90&gt;0</formula>
    </cfRule>
    <cfRule type="expression" dxfId="598" priority="52">
      <formula>F90&lt;0</formula>
    </cfRule>
  </conditionalFormatting>
  <conditionalFormatting sqref="H90:H97">
    <cfRule type="expression" dxfId="597" priority="49">
      <formula>H90&gt;0</formula>
    </cfRule>
    <cfRule type="expression" dxfId="596" priority="50">
      <formula>H90&lt;0</formula>
    </cfRule>
  </conditionalFormatting>
  <conditionalFormatting sqref="F135:F136 H135:H136">
    <cfRule type="expression" dxfId="595" priority="47">
      <formula>F135&gt;0</formula>
    </cfRule>
    <cfRule type="expression" dxfId="594" priority="48">
      <formula>F135&lt;0</formula>
    </cfRule>
  </conditionalFormatting>
  <conditionalFormatting sqref="H143 F143">
    <cfRule type="expression" dxfId="593" priority="45">
      <formula>F143&gt;0</formula>
    </cfRule>
    <cfRule type="expression" dxfId="592" priority="46">
      <formula>F143&lt;0</formula>
    </cfRule>
  </conditionalFormatting>
  <conditionalFormatting sqref="F154:F161">
    <cfRule type="expression" dxfId="591" priority="31">
      <formula>F154&gt;0</formula>
    </cfRule>
    <cfRule type="expression" dxfId="590" priority="32">
      <formula>F154&lt;0</formula>
    </cfRule>
  </conditionalFormatting>
  <conditionalFormatting sqref="H154:H161">
    <cfRule type="expression" dxfId="589" priority="29">
      <formula>H154&gt;0</formula>
    </cfRule>
    <cfRule type="expression" dxfId="588" priority="30">
      <formula>H154&lt;0</formula>
    </cfRule>
  </conditionalFormatting>
  <conditionalFormatting sqref="Q10">
    <cfRule type="expression" dxfId="587" priority="27">
      <formula>Q10&gt;0</formula>
    </cfRule>
    <cfRule type="expression" dxfId="586" priority="28">
      <formula>Q10&lt;0</formula>
    </cfRule>
  </conditionalFormatting>
  <conditionalFormatting sqref="F37:F38">
    <cfRule type="expression" dxfId="585" priority="25">
      <formula>F37&gt;0</formula>
    </cfRule>
    <cfRule type="expression" dxfId="584" priority="26">
      <formula>F37&lt;0</formula>
    </cfRule>
  </conditionalFormatting>
  <conditionalFormatting sqref="H37:H38">
    <cfRule type="expression" dxfId="583" priority="23">
      <formula>H37&gt;0</formula>
    </cfRule>
    <cfRule type="expression" dxfId="582" priority="24">
      <formula>H37&lt;0</formula>
    </cfRule>
  </conditionalFormatting>
  <conditionalFormatting sqref="F167">
    <cfRule type="expression" dxfId="581" priority="21">
      <formula>F167&gt;0</formula>
    </cfRule>
    <cfRule type="expression" dxfId="580" priority="22">
      <formula>F167&lt;0</formula>
    </cfRule>
  </conditionalFormatting>
  <conditionalFormatting sqref="F168:F179">
    <cfRule type="expression" dxfId="579" priority="19">
      <formula>F168&gt;0</formula>
    </cfRule>
    <cfRule type="expression" dxfId="578" priority="20">
      <formula>F168&lt;0</formula>
    </cfRule>
  </conditionalFormatting>
  <conditionalFormatting sqref="H167:H179">
    <cfRule type="expression" dxfId="577" priority="17">
      <formula>H167&gt;0</formula>
    </cfRule>
    <cfRule type="expression" dxfId="576" priority="18">
      <formula>H167&lt;0</formula>
    </cfRule>
  </conditionalFormatting>
  <conditionalFormatting sqref="J175:J197 J201">
    <cfRule type="expression" dxfId="575" priority="15">
      <formula>J175&gt;0</formula>
    </cfRule>
    <cfRule type="expression" dxfId="574" priority="16">
      <formula>J175&lt;0</formula>
    </cfRule>
  </conditionalFormatting>
  <conditionalFormatting sqref="F180:F197 F201">
    <cfRule type="expression" dxfId="573" priority="13">
      <formula>F180&gt;0</formula>
    </cfRule>
    <cfRule type="expression" dxfId="572" priority="14">
      <formula>F180&lt;0</formula>
    </cfRule>
  </conditionalFormatting>
  <conditionalFormatting sqref="H180:H197 H201">
    <cfRule type="expression" dxfId="571" priority="11">
      <formula>H180&gt;0</formula>
    </cfRule>
    <cfRule type="expression" dxfId="570" priority="12">
      <formula>H180&lt;0</formula>
    </cfRule>
  </conditionalFormatting>
  <conditionalFormatting sqref="I32:J35">
    <cfRule type="expression" dxfId="569" priority="9">
      <formula>I32&gt;0</formula>
    </cfRule>
    <cfRule type="expression" dxfId="568" priority="10">
      <formula>I32&lt;0</formula>
    </cfRule>
  </conditionalFormatting>
  <conditionalFormatting sqref="F198:F200">
    <cfRule type="expression" dxfId="567" priority="7">
      <formula>F198&gt;0</formula>
    </cfRule>
    <cfRule type="expression" dxfId="566" priority="8">
      <formula>F198&lt;0</formula>
    </cfRule>
  </conditionalFormatting>
  <conditionalFormatting sqref="H198:H200">
    <cfRule type="expression" dxfId="565" priority="5">
      <formula>H198&gt;0</formula>
    </cfRule>
    <cfRule type="expression" dxfId="564" priority="6">
      <formula>H198&lt;0</formula>
    </cfRule>
  </conditionalFormatting>
  <conditionalFormatting sqref="J198:J200">
    <cfRule type="expression" dxfId="563" priority="3">
      <formula>J198&gt;0</formula>
    </cfRule>
    <cfRule type="expression" dxfId="562" priority="4">
      <formula>J198&lt;0</formula>
    </cfRule>
  </conditionalFormatting>
  <conditionalFormatting sqref="F202:F211 H202:H211 J202:J211">
    <cfRule type="expression" dxfId="561" priority="1">
      <formula>F202&gt;0</formula>
    </cfRule>
    <cfRule type="expression" dxfId="560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335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82.62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82.62</v>
      </c>
      <c r="R4" s="493">
        <v>2.8E-3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925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952</v>
      </c>
      <c r="Q13">
        <f>Q4/5.25</f>
        <v>15.737142857142858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668</v>
      </c>
      <c r="Q15" s="679" t="s">
        <v>669</v>
      </c>
      <c r="R15" s="677" t="s">
        <v>662</v>
      </c>
      <c r="S15" s="677" t="s">
        <v>663</v>
      </c>
      <c r="T15" s="679" t="s">
        <v>665</v>
      </c>
      <c r="U15" s="679" t="s">
        <v>666</v>
      </c>
      <c r="V15" s="677" t="s">
        <v>664</v>
      </c>
      <c r="W15" s="678" t="s">
        <v>667</v>
      </c>
    </row>
    <row r="16" spans="1:23" x14ac:dyDescent="0.25">
      <c r="G16" s="29"/>
      <c r="H16" s="70"/>
      <c r="O16" s="680">
        <v>42963</v>
      </c>
      <c r="P16" s="676" t="s">
        <v>670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672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59" t="s">
        <v>78</v>
      </c>
      <c r="P40" s="859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90.882000000000019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90.055800000000005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89.229600000000005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88.403400000000005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87.577200000000005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86.751000000000005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85.924800000000005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85.098600000000005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84.272400000000005</v>
      </c>
      <c r="Q49" s="2"/>
      <c r="T49" s="91" t="s">
        <v>103</v>
      </c>
      <c r="U49" s="127" t="s">
        <v>472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83.446200000000005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82.62</v>
      </c>
      <c r="Q51" s="2"/>
      <c r="T51" s="91" t="s">
        <v>104</v>
      </c>
      <c r="U51" s="127" t="s">
        <v>611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81.793800000000005</v>
      </c>
      <c r="Q52" s="2"/>
      <c r="T52" s="91" t="s">
        <v>105</v>
      </c>
      <c r="U52" s="127" t="s">
        <v>612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80.967600000000004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80.141400000000004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79.315200000000004</v>
      </c>
      <c r="T55" s="91" t="s">
        <v>107</v>
      </c>
      <c r="U55" s="127" t="s">
        <v>613</v>
      </c>
    </row>
    <row r="56" spans="1:21" x14ac:dyDescent="0.25">
      <c r="O56" s="81">
        <v>0.95</v>
      </c>
      <c r="P56" s="81">
        <f t="shared" si="0"/>
        <v>78.489000000000004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77.662800000000004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76.836600000000004</v>
      </c>
      <c r="T58" s="91" t="s">
        <v>108</v>
      </c>
      <c r="U58" s="127" t="s">
        <v>537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76.010400000000004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75.184200000000004</v>
      </c>
    </row>
    <row r="61" spans="1:21" x14ac:dyDescent="0.25">
      <c r="A61" s="371" t="s">
        <v>335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74.358000000000004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443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443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466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59" priority="80">
      <formula>Q7&gt;0</formula>
    </cfRule>
    <cfRule type="expression" dxfId="558" priority="81">
      <formula>Q7&lt;0</formula>
    </cfRule>
  </conditionalFormatting>
  <conditionalFormatting sqref="Q8">
    <cfRule type="expression" dxfId="557" priority="78">
      <formula>Q8&gt;0</formula>
    </cfRule>
    <cfRule type="expression" dxfId="556" priority="79">
      <formula>Q8&lt;0</formula>
    </cfRule>
  </conditionalFormatting>
  <conditionalFormatting sqref="F29:F43">
    <cfRule type="expression" dxfId="555" priority="62">
      <formula>F29&gt;0</formula>
    </cfRule>
    <cfRule type="expression" dxfId="554" priority="63">
      <formula>F29&lt;0</formula>
    </cfRule>
  </conditionalFormatting>
  <conditionalFormatting sqref="H45 H47:H48 H50:H51 H53 H29:H43">
    <cfRule type="expression" dxfId="553" priority="60">
      <formula>H29&gt;0</formula>
    </cfRule>
    <cfRule type="expression" dxfId="552" priority="61">
      <formula>H29&lt;0</formula>
    </cfRule>
  </conditionalFormatting>
  <conditionalFormatting sqref="J35">
    <cfRule type="expression" dxfId="551" priority="56">
      <formula>J35&gt;0</formula>
    </cfRule>
    <cfRule type="expression" dxfId="550" priority="57">
      <formula>J35&lt;0</formula>
    </cfRule>
  </conditionalFormatting>
  <conditionalFormatting sqref="J36:J37">
    <cfRule type="expression" dxfId="549" priority="54">
      <formula>J36&gt;0</formula>
    </cfRule>
    <cfRule type="expression" dxfId="548" priority="55">
      <formula>J36&lt;0</formula>
    </cfRule>
  </conditionalFormatting>
  <conditionalFormatting sqref="J38:J45 J48 J51">
    <cfRule type="expression" dxfId="547" priority="52">
      <formula>J38&gt;0</formula>
    </cfRule>
    <cfRule type="expression" dxfId="546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45" priority="49">
      <formula>M59&gt;0</formula>
    </cfRule>
    <cfRule type="expression" dxfId="544" priority="50">
      <formula>M59&lt;0</formula>
    </cfRule>
  </conditionalFormatting>
  <conditionalFormatting sqref="Q10">
    <cfRule type="expression" dxfId="543" priority="47">
      <formula>Q10&gt;0</formula>
    </cfRule>
    <cfRule type="expression" dxfId="542" priority="48">
      <formula>Q10&lt;0</formula>
    </cfRule>
  </conditionalFormatting>
  <conditionalFormatting sqref="F84:F103">
    <cfRule type="expression" dxfId="541" priority="45">
      <formula>F84&gt;0</formula>
    </cfRule>
    <cfRule type="expression" dxfId="540" priority="46">
      <formula>F84&lt;0</formula>
    </cfRule>
  </conditionalFormatting>
  <conditionalFormatting sqref="H107 H84:H103">
    <cfRule type="expression" dxfId="539" priority="43">
      <formula>H84&gt;0</formula>
    </cfRule>
    <cfRule type="expression" dxfId="538" priority="44">
      <formula>H84&lt;0</formula>
    </cfRule>
  </conditionalFormatting>
  <conditionalFormatting sqref="J89">
    <cfRule type="expression" dxfId="537" priority="41">
      <formula>J89&gt;0</formula>
    </cfRule>
    <cfRule type="expression" dxfId="536" priority="42">
      <formula>J89&lt;0</formula>
    </cfRule>
  </conditionalFormatting>
  <conditionalFormatting sqref="J90:J95">
    <cfRule type="expression" dxfId="535" priority="39">
      <formula>J90&gt;0</formula>
    </cfRule>
    <cfRule type="expression" dxfId="534" priority="40">
      <formula>J90&lt;0</formula>
    </cfRule>
  </conditionalFormatting>
  <conditionalFormatting sqref="J96:J97">
    <cfRule type="expression" dxfId="533" priority="37">
      <formula>J96&gt;0</formula>
    </cfRule>
    <cfRule type="expression" dxfId="532" priority="38">
      <formula>J96&lt;0</formula>
    </cfRule>
  </conditionalFormatting>
  <conditionalFormatting sqref="J98:J104">
    <cfRule type="expression" dxfId="531" priority="35">
      <formula>J98&gt;0</formula>
    </cfRule>
    <cfRule type="expression" dxfId="530" priority="36">
      <formula>J98&lt;0</formula>
    </cfRule>
  </conditionalFormatting>
  <conditionalFormatting sqref="J25">
    <cfRule type="expression" dxfId="529" priority="31">
      <formula>J25&gt;0</formula>
    </cfRule>
    <cfRule type="expression" dxfId="528" priority="32">
      <formula>J25&lt;0</formula>
    </cfRule>
  </conditionalFormatting>
  <conditionalFormatting sqref="F105:F106">
    <cfRule type="expression" dxfId="527" priority="29">
      <formula>F105&gt;0</formula>
    </cfRule>
    <cfRule type="expression" dxfId="526" priority="30">
      <formula>F105&lt;0</formula>
    </cfRule>
  </conditionalFormatting>
  <conditionalFormatting sqref="H105:H106">
    <cfRule type="expression" dxfId="525" priority="27">
      <formula>H105&gt;0</formula>
    </cfRule>
    <cfRule type="expression" dxfId="524" priority="28">
      <formula>H105&lt;0</formula>
    </cfRule>
  </conditionalFormatting>
  <conditionalFormatting sqref="J105">
    <cfRule type="expression" dxfId="523" priority="25">
      <formula>J105&gt;0</formula>
    </cfRule>
    <cfRule type="expression" dxfId="522" priority="26">
      <formula>J105&lt;0</formula>
    </cfRule>
  </conditionalFormatting>
  <conditionalFormatting sqref="J106">
    <cfRule type="expression" dxfId="521" priority="23">
      <formula>J106&gt;0</formula>
    </cfRule>
    <cfRule type="expression" dxfId="520" priority="24">
      <formula>J106&lt;0</formula>
    </cfRule>
  </conditionalFormatting>
  <conditionalFormatting sqref="F24 F27:F28">
    <cfRule type="expression" dxfId="519" priority="21">
      <formula>F24&gt;0</formula>
    </cfRule>
    <cfRule type="expression" dxfId="518" priority="22">
      <formula>F24&lt;0</formula>
    </cfRule>
  </conditionalFormatting>
  <conditionalFormatting sqref="H24:H28">
    <cfRule type="expression" dxfId="517" priority="19">
      <formula>H24&gt;0</formula>
    </cfRule>
    <cfRule type="expression" dxfId="516" priority="20">
      <formula>H24&lt;0</formula>
    </cfRule>
  </conditionalFormatting>
  <conditionalFormatting sqref="J26:J34">
    <cfRule type="expression" dxfId="515" priority="17">
      <formula>J26&gt;0</formula>
    </cfRule>
    <cfRule type="expression" dxfId="514" priority="18">
      <formula>J26&lt;0</formula>
    </cfRule>
  </conditionalFormatting>
  <conditionalFormatting sqref="F113">
    <cfRule type="expression" dxfId="513" priority="15">
      <formula>F113&gt;0</formula>
    </cfRule>
    <cfRule type="expression" dxfId="512" priority="16">
      <formula>F113&lt;0</formula>
    </cfRule>
  </conditionalFormatting>
  <conditionalFormatting sqref="H113">
    <cfRule type="expression" dxfId="511" priority="13">
      <formula>H113&gt;0</formula>
    </cfRule>
    <cfRule type="expression" dxfId="510" priority="14">
      <formula>H113&lt;0</formula>
    </cfRule>
  </conditionalFormatting>
  <conditionalFormatting sqref="J109">
    <cfRule type="expression" dxfId="509" priority="11">
      <formula>J109&gt;0</formula>
    </cfRule>
    <cfRule type="expression" dxfId="508" priority="12">
      <formula>J109&lt;0</formula>
    </cfRule>
  </conditionalFormatting>
  <conditionalFormatting sqref="F108:F112">
    <cfRule type="expression" dxfId="507" priority="9">
      <formula>F108&gt;0</formula>
    </cfRule>
    <cfRule type="expression" dxfId="506" priority="10">
      <formula>F108&lt;0</formula>
    </cfRule>
  </conditionalFormatting>
  <conditionalFormatting sqref="H108:H112">
    <cfRule type="expression" dxfId="505" priority="7">
      <formula>H108&gt;0</formula>
    </cfRule>
    <cfRule type="expression" dxfId="504" priority="8">
      <formula>H108&lt;0</formula>
    </cfRule>
  </conditionalFormatting>
  <conditionalFormatting sqref="J110:J113">
    <cfRule type="expression" dxfId="503" priority="5">
      <formula>J110&gt;0</formula>
    </cfRule>
    <cfRule type="expression" dxfId="502" priority="6">
      <formula>J110&lt;0</formula>
    </cfRule>
  </conditionalFormatting>
  <conditionalFormatting sqref="F25:F26">
    <cfRule type="expression" dxfId="501" priority="3">
      <formula>F25&gt;0</formula>
    </cfRule>
    <cfRule type="expression" dxfId="500" priority="4">
      <formula>F25&lt;0</formula>
    </cfRule>
  </conditionalFormatting>
  <conditionalFormatting sqref="Q9">
    <cfRule type="expression" dxfId="499" priority="1">
      <formula>Q9&gt;0</formula>
    </cfRule>
    <cfRule type="expression" dxfId="498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4" si="0">H2*I2-J2</f>
        <v>3757.1099999999997</v>
      </c>
      <c r="L2" s="72">
        <v>43087</v>
      </c>
      <c r="M2" s="43">
        <v>115</v>
      </c>
      <c r="O2" s="11" t="s">
        <v>57</v>
      </c>
      <c r="Q2" s="70">
        <f>C31-H31</f>
        <v>1000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(F31-K31-M31)/Q2)</f>
        <v>26.401439999999994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20.82</v>
      </c>
      <c r="R4" s="223">
        <v>-2.8999999999999998E-3</v>
      </c>
      <c r="T4" s="1">
        <v>43096</v>
      </c>
      <c r="U4" t="s">
        <v>764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4"/>
      <c r="M5" s="4"/>
      <c r="O5" s="11" t="s">
        <v>67</v>
      </c>
      <c r="Q5" s="3">
        <f>Q4*Q2</f>
        <v>20820</v>
      </c>
      <c r="U5" t="s">
        <v>765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/>
      <c r="M6" s="4"/>
      <c r="O6" s="11" t="s">
        <v>64</v>
      </c>
      <c r="Q6" s="2">
        <f>Q3*Q2</f>
        <v>26401.439999999995</v>
      </c>
      <c r="U6" t="s">
        <v>766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-5506.4199999999946</v>
      </c>
      <c r="R7">
        <v>160</v>
      </c>
      <c r="U7" t="s">
        <v>767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K31+M31-F31+Q2*Q4</f>
        <v>-5581.4399999999951</v>
      </c>
      <c r="U8" t="s">
        <v>768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206</v>
      </c>
      <c r="Q9" s="134">
        <f>IF(Q2=0, 0, Q8/Q6)</f>
        <v>-0.2114066505463337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205</v>
      </c>
      <c r="P10" s="33"/>
      <c r="Q10" s="2">
        <f>M92</f>
        <v>75.019999999999982</v>
      </c>
      <c r="T10" s="1">
        <v>43103</v>
      </c>
      <c r="U10" t="s">
        <v>815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4.4188280499519693E-2</v>
      </c>
      <c r="R11">
        <f>0.23</f>
        <v>0.23</v>
      </c>
      <c r="U11" t="s">
        <v>816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28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925</v>
      </c>
      <c r="Q12" s="1" t="s">
        <v>1198</v>
      </c>
      <c r="T12" s="1">
        <v>43110</v>
      </c>
      <c r="U12" t="s">
        <v>844</v>
      </c>
    </row>
    <row r="13" spans="1:29" x14ac:dyDescent="0.25">
      <c r="B13" s="72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952</v>
      </c>
      <c r="Q13">
        <f>Q4/2.55</f>
        <v>8.1647058823529424</v>
      </c>
      <c r="T13" s="1">
        <v>43112</v>
      </c>
      <c r="U13" t="s">
        <v>840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434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1039</v>
      </c>
      <c r="Q14" s="1">
        <v>43319</v>
      </c>
      <c r="U14" t="s">
        <v>841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H15" s="176"/>
      <c r="I15" s="3"/>
      <c r="J15" s="3"/>
      <c r="K15" s="3"/>
      <c r="U15" s="475" t="s">
        <v>843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T17" s="1">
        <v>43120</v>
      </c>
      <c r="U17" t="s">
        <v>879</v>
      </c>
    </row>
    <row r="18" spans="1:21" ht="20.25" thickBot="1" x14ac:dyDescent="0.35">
      <c r="B18" s="72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O18" s="236" t="s">
        <v>78</v>
      </c>
      <c r="P18" s="236"/>
    </row>
    <row r="19" spans="1:21" ht="15.75" thickTop="1" x14ac:dyDescent="0.25">
      <c r="B19" s="434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O19" s="81">
        <v>1.1000000000000001</v>
      </c>
      <c r="P19" s="81">
        <f>O19*$Q$4</f>
        <v>22.902000000000001</v>
      </c>
      <c r="T19" s="1">
        <v>43125</v>
      </c>
      <c r="U19" t="s">
        <v>893</v>
      </c>
    </row>
    <row r="20" spans="1:21" x14ac:dyDescent="0.25">
      <c r="B20" s="474">
        <v>43301</v>
      </c>
      <c r="C20" s="4">
        <v>100</v>
      </c>
      <c r="D20" s="3">
        <v>26.28</v>
      </c>
      <c r="E20" s="3">
        <v>0</v>
      </c>
      <c r="F20" s="3">
        <f t="shared" si="2"/>
        <v>2628</v>
      </c>
      <c r="O20" s="81">
        <v>1.0900000000000001</v>
      </c>
      <c r="P20" s="81">
        <f t="shared" ref="P20:P39" si="3">O20*$Q$4</f>
        <v>22.693800000000003</v>
      </c>
      <c r="T20" s="1">
        <v>43126</v>
      </c>
      <c r="U20" t="s">
        <v>891</v>
      </c>
    </row>
    <row r="21" spans="1:21" x14ac:dyDescent="0.25">
      <c r="B21" s="474">
        <v>43306</v>
      </c>
      <c r="C21" s="7">
        <v>120</v>
      </c>
      <c r="D21" s="43">
        <v>25.67</v>
      </c>
      <c r="E21" s="43">
        <v>0</v>
      </c>
      <c r="F21" s="43">
        <f t="shared" si="2"/>
        <v>3080.4</v>
      </c>
      <c r="O21" s="81">
        <v>1.08</v>
      </c>
      <c r="P21" s="81">
        <f t="shared" si="3"/>
        <v>22.485600000000002</v>
      </c>
      <c r="U21" t="s">
        <v>892</v>
      </c>
    </row>
    <row r="22" spans="1:21" x14ac:dyDescent="0.25">
      <c r="A22" s="860" t="s">
        <v>1241</v>
      </c>
      <c r="B22" s="474">
        <v>43318</v>
      </c>
      <c r="C22" s="4">
        <v>120</v>
      </c>
      <c r="D22" s="3">
        <v>25.2</v>
      </c>
      <c r="E22" s="3">
        <v>0</v>
      </c>
      <c r="F22" s="3">
        <f t="shared" si="2"/>
        <v>3024</v>
      </c>
      <c r="O22" s="81">
        <v>1.07</v>
      </c>
      <c r="P22" s="81">
        <f t="shared" si="3"/>
        <v>22.2774</v>
      </c>
    </row>
    <row r="23" spans="1:21" x14ac:dyDescent="0.25">
      <c r="A23" s="860"/>
      <c r="B23" s="474">
        <v>43318</v>
      </c>
      <c r="C23" s="854">
        <v>120</v>
      </c>
      <c r="D23" s="3">
        <v>23.52</v>
      </c>
      <c r="E23" s="3">
        <v>0</v>
      </c>
      <c r="F23" s="3">
        <f t="shared" si="2"/>
        <v>2822.4</v>
      </c>
      <c r="O23" s="81">
        <v>1.06</v>
      </c>
      <c r="P23" s="81">
        <f t="shared" si="3"/>
        <v>22.069200000000002</v>
      </c>
      <c r="T23" s="1">
        <v>43128</v>
      </c>
      <c r="U23" t="s">
        <v>894</v>
      </c>
    </row>
    <row r="24" spans="1:21" x14ac:dyDescent="0.25">
      <c r="A24" s="860"/>
      <c r="B24" s="474">
        <v>43318</v>
      </c>
      <c r="C24" s="4">
        <v>80</v>
      </c>
      <c r="D24" s="2">
        <v>23.08</v>
      </c>
      <c r="E24" s="2">
        <v>0</v>
      </c>
      <c r="F24" s="2">
        <f t="shared" si="2"/>
        <v>1846.3999999999999</v>
      </c>
      <c r="O24" s="81">
        <v>1.05</v>
      </c>
      <c r="P24" s="81">
        <f t="shared" si="3"/>
        <v>21.861000000000001</v>
      </c>
    </row>
    <row r="25" spans="1:21" x14ac:dyDescent="0.25">
      <c r="A25" s="860"/>
      <c r="B25" s="474">
        <v>43319</v>
      </c>
      <c r="C25" s="4">
        <v>100</v>
      </c>
      <c r="D25" s="3">
        <v>21.72</v>
      </c>
      <c r="E25" s="3">
        <v>0</v>
      </c>
      <c r="F25" s="3">
        <f t="shared" si="2"/>
        <v>2172</v>
      </c>
      <c r="O25" s="81">
        <v>1.04</v>
      </c>
      <c r="P25" s="81">
        <f t="shared" si="3"/>
        <v>21.652800000000003</v>
      </c>
    </row>
    <row r="26" spans="1:21" x14ac:dyDescent="0.25">
      <c r="A26" s="860"/>
      <c r="B26" s="474">
        <v>43320</v>
      </c>
      <c r="C26" s="4">
        <v>200</v>
      </c>
      <c r="D26" s="2">
        <v>20.399999999999999</v>
      </c>
      <c r="E26" s="2">
        <v>0</v>
      </c>
      <c r="F26" s="2">
        <f t="shared" si="2"/>
        <v>4079.9999999999995</v>
      </c>
      <c r="O26" s="81">
        <v>1.03</v>
      </c>
      <c r="P26" s="81">
        <f t="shared" si="3"/>
        <v>21.444600000000001</v>
      </c>
    </row>
    <row r="27" spans="1:21" x14ac:dyDescent="0.25">
      <c r="C27" s="4"/>
      <c r="D27" s="3"/>
      <c r="E27" s="3"/>
      <c r="F27" s="3"/>
      <c r="O27" s="81">
        <v>1.02</v>
      </c>
      <c r="P27" s="81">
        <f t="shared" si="3"/>
        <v>21.2364</v>
      </c>
    </row>
    <row r="28" spans="1:21" x14ac:dyDescent="0.25">
      <c r="C28" s="4"/>
      <c r="O28" s="81">
        <v>1.01</v>
      </c>
      <c r="P28" s="81">
        <f t="shared" si="3"/>
        <v>21.028200000000002</v>
      </c>
      <c r="T28" s="770">
        <v>43136</v>
      </c>
      <c r="U28" t="s">
        <v>842</v>
      </c>
    </row>
    <row r="29" spans="1:21" x14ac:dyDescent="0.25">
      <c r="C29" s="4"/>
      <c r="D29" s="3"/>
      <c r="E29" s="3"/>
      <c r="F29" s="3"/>
      <c r="O29" s="81">
        <v>1</v>
      </c>
      <c r="P29" s="81">
        <f t="shared" si="3"/>
        <v>20.82</v>
      </c>
    </row>
    <row r="30" spans="1:21" x14ac:dyDescent="0.25">
      <c r="O30" s="81">
        <v>0.99</v>
      </c>
      <c r="P30" s="81">
        <f t="shared" si="3"/>
        <v>20.611799999999999</v>
      </c>
      <c r="T30" s="1">
        <v>43175</v>
      </c>
      <c r="U30" t="s">
        <v>1095</v>
      </c>
    </row>
    <row r="31" spans="1:21" x14ac:dyDescent="0.25">
      <c r="A31" s="35" t="s">
        <v>81</v>
      </c>
      <c r="B31" s="36"/>
      <c r="C31" s="36">
        <f>SUM(C2:C30)</f>
        <v>2340</v>
      </c>
      <c r="D31" s="37"/>
      <c r="E31" s="37"/>
      <c r="F31" s="37">
        <f>SUM(F2:F30)</f>
        <v>64011.899999999994</v>
      </c>
      <c r="G31" s="36"/>
      <c r="H31" s="175">
        <f>SUM(H2:H30)</f>
        <v>1340</v>
      </c>
      <c r="I31" s="37"/>
      <c r="J31" s="37"/>
      <c r="K31" s="37">
        <f>SUM(K2:K30)</f>
        <v>37316.06</v>
      </c>
      <c r="L31" s="37"/>
      <c r="M31" s="37">
        <f>SUM(M2:M30)</f>
        <v>294.39999999999998</v>
      </c>
      <c r="O31" s="81">
        <v>0.98</v>
      </c>
      <c r="P31" s="81">
        <f t="shared" si="3"/>
        <v>20.403600000000001</v>
      </c>
      <c r="T31" s="1">
        <v>43178</v>
      </c>
      <c r="U31" t="s">
        <v>940</v>
      </c>
    </row>
    <row r="32" spans="1:21" ht="15.75" thickBot="1" x14ac:dyDescent="0.3">
      <c r="A32" s="341" t="s">
        <v>193</v>
      </c>
      <c r="B32" s="342"/>
      <c r="C32" s="343">
        <f>SumByColor($A$32,C2:C30)</f>
        <v>1340</v>
      </c>
      <c r="D32" s="343"/>
      <c r="E32" s="343"/>
      <c r="F32" s="344">
        <f>SumByColor($A$32,F2:F31)</f>
        <v>36637</v>
      </c>
      <c r="G32" s="343"/>
      <c r="H32" s="343">
        <f>SumByColor($A$32,H2:H30)</f>
        <v>1340</v>
      </c>
      <c r="I32" s="343"/>
      <c r="J32" s="343"/>
      <c r="K32" s="344">
        <f>SumByColor($A$32,K2:K30)</f>
        <v>37317</v>
      </c>
      <c r="L32" s="343"/>
      <c r="M32" s="344">
        <f>SumByColor($A$32,M2:M30)</f>
        <v>294</v>
      </c>
      <c r="O32" s="81">
        <v>0.97</v>
      </c>
      <c r="P32" s="81">
        <f t="shared" si="3"/>
        <v>20.195399999999999</v>
      </c>
    </row>
    <row r="33" spans="1:21" x14ac:dyDescent="0.25">
      <c r="O33" s="81">
        <v>0.96</v>
      </c>
      <c r="P33" s="81">
        <f t="shared" si="3"/>
        <v>19.987199999999998</v>
      </c>
      <c r="T33" s="1">
        <v>43217</v>
      </c>
      <c r="U33" t="s">
        <v>1012</v>
      </c>
    </row>
    <row r="34" spans="1:21" x14ac:dyDescent="0.25">
      <c r="B34" s="182" t="s">
        <v>113</v>
      </c>
      <c r="C34" s="182" t="s">
        <v>146</v>
      </c>
      <c r="D34" s="183" t="s">
        <v>145</v>
      </c>
      <c r="E34" s="185" t="s">
        <v>147</v>
      </c>
      <c r="F34" s="186" t="s">
        <v>65</v>
      </c>
      <c r="G34" s="220" t="s">
        <v>151</v>
      </c>
      <c r="H34" s="186" t="s">
        <v>88</v>
      </c>
      <c r="I34" s="186" t="s">
        <v>154</v>
      </c>
      <c r="J34" s="186" t="s">
        <v>490</v>
      </c>
      <c r="K34" s="186" t="s">
        <v>150</v>
      </c>
      <c r="L34" s="186" t="s">
        <v>952</v>
      </c>
      <c r="O34" s="81">
        <v>0.95</v>
      </c>
      <c r="P34" s="81">
        <f t="shared" si="3"/>
        <v>19.779</v>
      </c>
    </row>
    <row r="35" spans="1:21" x14ac:dyDescent="0.25">
      <c r="B35" s="184">
        <v>42985</v>
      </c>
      <c r="C35" s="10">
        <v>50</v>
      </c>
      <c r="D35" s="39">
        <v>44.98</v>
      </c>
      <c r="E35" s="39">
        <v>44.76</v>
      </c>
      <c r="F35" s="39">
        <f t="shared" ref="F35:F49" si="4">C35*(E35-D35)</f>
        <v>-10.999999999999943</v>
      </c>
      <c r="G35" s="39">
        <f t="shared" ref="G35:G49" si="5">D35*C35</f>
        <v>2249</v>
      </c>
      <c r="H35" s="222">
        <f t="shared" ref="H35:H49" si="6">(E35-D35)/D35</f>
        <v>-4.891062694530878E-3</v>
      </c>
      <c r="I35" s="222"/>
      <c r="J35" s="222"/>
      <c r="K35" s="222"/>
      <c r="L35" s="222"/>
      <c r="O35" s="81">
        <v>0.94</v>
      </c>
      <c r="P35" s="81">
        <f t="shared" si="3"/>
        <v>19.570799999999998</v>
      </c>
      <c r="T35" s="1">
        <v>43224</v>
      </c>
      <c r="U35" t="s">
        <v>82</v>
      </c>
    </row>
    <row r="36" spans="1:21" x14ac:dyDescent="0.25">
      <c r="B36" s="184">
        <v>42994</v>
      </c>
      <c r="C36" s="10">
        <v>110</v>
      </c>
      <c r="D36" s="39">
        <v>43.796399999999998</v>
      </c>
      <c r="E36" s="39">
        <v>43.2</v>
      </c>
      <c r="F36" s="39">
        <f t="shared" si="4"/>
        <v>-65.603999999999516</v>
      </c>
      <c r="G36" s="39">
        <f t="shared" si="5"/>
        <v>4817.6040000000003</v>
      </c>
      <c r="H36" s="222">
        <f t="shared" si="6"/>
        <v>-1.3617557607474486E-2</v>
      </c>
      <c r="I36" s="222"/>
      <c r="J36" s="222"/>
      <c r="K36" s="222"/>
      <c r="L36" s="222"/>
      <c r="O36" s="81">
        <v>0.93</v>
      </c>
      <c r="P36" s="81">
        <f t="shared" si="3"/>
        <v>19.3626</v>
      </c>
    </row>
    <row r="37" spans="1:21" x14ac:dyDescent="0.25">
      <c r="B37" s="184">
        <v>42999</v>
      </c>
      <c r="C37" s="10">
        <v>110</v>
      </c>
      <c r="D37" s="39">
        <v>43.796399999999998</v>
      </c>
      <c r="E37" s="39">
        <v>41.48</v>
      </c>
      <c r="F37" s="39">
        <f t="shared" si="4"/>
        <v>-254.80400000000017</v>
      </c>
      <c r="G37" s="39">
        <f t="shared" si="5"/>
        <v>4817.6040000000003</v>
      </c>
      <c r="H37" s="222">
        <f t="shared" si="6"/>
        <v>-5.2890191887917763E-2</v>
      </c>
      <c r="I37" s="222"/>
      <c r="J37" s="222"/>
      <c r="K37" s="222"/>
      <c r="L37" s="222"/>
      <c r="O37" s="81">
        <v>0.92</v>
      </c>
      <c r="P37" s="81">
        <f t="shared" si="3"/>
        <v>19.154400000000003</v>
      </c>
    </row>
    <row r="38" spans="1:21" x14ac:dyDescent="0.25">
      <c r="B38" s="184">
        <v>43028</v>
      </c>
      <c r="C38" s="10">
        <v>180</v>
      </c>
      <c r="D38" s="39">
        <v>42.494999999999997</v>
      </c>
      <c r="E38" s="39">
        <v>40.369999999999997</v>
      </c>
      <c r="F38" s="39">
        <f t="shared" si="4"/>
        <v>-382.5</v>
      </c>
      <c r="G38" s="39">
        <f t="shared" si="5"/>
        <v>7649.0999999999995</v>
      </c>
      <c r="H38" s="222">
        <f t="shared" si="6"/>
        <v>-5.0005883045064127E-2</v>
      </c>
      <c r="I38" s="222"/>
      <c r="J38" s="222"/>
      <c r="K38" s="222"/>
      <c r="L38" s="222"/>
      <c r="O38" s="81">
        <v>0.91</v>
      </c>
      <c r="P38" s="81">
        <f t="shared" si="3"/>
        <v>18.946200000000001</v>
      </c>
      <c r="T38" s="770">
        <v>43318</v>
      </c>
      <c r="U38" t="s">
        <v>82</v>
      </c>
    </row>
    <row r="39" spans="1:21" x14ac:dyDescent="0.25">
      <c r="B39" s="184">
        <v>43042</v>
      </c>
      <c r="C39" s="7">
        <v>280</v>
      </c>
      <c r="D39" s="43">
        <v>39.311100000000003</v>
      </c>
      <c r="E39" s="39">
        <v>30.77</v>
      </c>
      <c r="F39" s="39">
        <f t="shared" si="4"/>
        <v>-2391.5080000000012</v>
      </c>
      <c r="G39" s="39">
        <f t="shared" si="5"/>
        <v>11007.108</v>
      </c>
      <c r="H39" s="223">
        <f t="shared" si="6"/>
        <v>-0.21726942263126708</v>
      </c>
      <c r="I39" s="223"/>
      <c r="J39" s="223"/>
      <c r="K39" s="223"/>
      <c r="L39" s="223"/>
      <c r="O39" s="81">
        <v>0.9</v>
      </c>
      <c r="P39" s="81">
        <f t="shared" si="3"/>
        <v>18.738</v>
      </c>
      <c r="U39" t="s">
        <v>1227</v>
      </c>
    </row>
    <row r="40" spans="1:21" x14ac:dyDescent="0.25">
      <c r="B40" s="184">
        <v>43045</v>
      </c>
      <c r="C40" s="10">
        <v>500</v>
      </c>
      <c r="D40" s="39">
        <v>35.243400000000001</v>
      </c>
      <c r="E40" s="39">
        <v>30.82</v>
      </c>
      <c r="F40" s="39">
        <f t="shared" si="4"/>
        <v>-2211.7000000000003</v>
      </c>
      <c r="G40" s="39">
        <f t="shared" si="5"/>
        <v>17621.7</v>
      </c>
      <c r="H40" s="223">
        <f t="shared" si="6"/>
        <v>-0.12551002457197663</v>
      </c>
      <c r="I40" s="223"/>
      <c r="J40" s="223"/>
      <c r="K40" s="223"/>
      <c r="L40" s="223"/>
      <c r="U40" t="s">
        <v>1238</v>
      </c>
    </row>
    <row r="41" spans="1:21" x14ac:dyDescent="0.25">
      <c r="B41" s="184">
        <v>43047</v>
      </c>
      <c r="C41" s="10">
        <v>380</v>
      </c>
      <c r="D41" s="39">
        <v>36.485799999999998</v>
      </c>
      <c r="E41" s="39">
        <v>31.31</v>
      </c>
      <c r="F41" s="39">
        <f t="shared" si="4"/>
        <v>-1966.8039999999996</v>
      </c>
      <c r="G41" s="39">
        <f t="shared" si="5"/>
        <v>13864.603999999999</v>
      </c>
      <c r="H41" s="223">
        <f t="shared" si="6"/>
        <v>-0.14185792828991003</v>
      </c>
      <c r="I41" s="223"/>
      <c r="J41" s="223"/>
      <c r="K41" s="223"/>
      <c r="L41" s="223"/>
      <c r="O41" s="33"/>
      <c r="R41" s="33"/>
    </row>
    <row r="42" spans="1:21" x14ac:dyDescent="0.25">
      <c r="B42" s="184">
        <v>43048</v>
      </c>
      <c r="C42" s="10">
        <v>500</v>
      </c>
      <c r="D42" s="39">
        <v>35.020400000000002</v>
      </c>
      <c r="E42" s="39">
        <v>30.1</v>
      </c>
      <c r="F42" s="39">
        <f t="shared" si="4"/>
        <v>-2460.2000000000003</v>
      </c>
      <c r="G42" s="39">
        <f t="shared" si="5"/>
        <v>17510.2</v>
      </c>
      <c r="H42" s="223">
        <f t="shared" si="6"/>
        <v>-0.14050096515174015</v>
      </c>
      <c r="I42" s="39">
        <v>34.5</v>
      </c>
      <c r="J42" s="39"/>
      <c r="K42" s="39"/>
      <c r="L42" s="39"/>
      <c r="Q42" s="33"/>
      <c r="R42" s="33"/>
      <c r="T42" s="1">
        <v>43319</v>
      </c>
      <c r="U42" t="s">
        <v>1237</v>
      </c>
    </row>
    <row r="43" spans="1:21" x14ac:dyDescent="0.25">
      <c r="B43" s="184">
        <v>43052</v>
      </c>
      <c r="C43" s="10">
        <v>600</v>
      </c>
      <c r="D43" s="39">
        <v>33.913699999999999</v>
      </c>
      <c r="E43" s="39">
        <v>28.45</v>
      </c>
      <c r="F43" s="39">
        <f t="shared" si="4"/>
        <v>-3278.22</v>
      </c>
      <c r="G43" s="39">
        <f t="shared" si="5"/>
        <v>20348.219999999998</v>
      </c>
      <c r="H43" s="223">
        <f t="shared" si="6"/>
        <v>-0.16110598371749468</v>
      </c>
      <c r="I43" s="39">
        <v>33.5</v>
      </c>
      <c r="J43" s="39"/>
      <c r="K43" s="39"/>
      <c r="L43" s="39"/>
      <c r="Q43" s="33"/>
      <c r="R43" s="33"/>
    </row>
    <row r="44" spans="1:21" x14ac:dyDescent="0.25">
      <c r="A44">
        <v>0</v>
      </c>
      <c r="B44" s="184">
        <v>43066</v>
      </c>
      <c r="C44" s="10">
        <v>500</v>
      </c>
      <c r="D44" s="39">
        <v>34.780500000000004</v>
      </c>
      <c r="E44" s="39">
        <v>29.79</v>
      </c>
      <c r="F44" s="39">
        <f t="shared" si="4"/>
        <v>-2495.2500000000023</v>
      </c>
      <c r="G44" s="39">
        <f t="shared" si="5"/>
        <v>17390.25</v>
      </c>
      <c r="H44" s="223">
        <f t="shared" si="6"/>
        <v>-0.14348557381291252</v>
      </c>
      <c r="I44" s="39">
        <v>34.5</v>
      </c>
      <c r="J44" s="39"/>
      <c r="K44" s="39"/>
      <c r="L44" s="39"/>
      <c r="Q44" s="33"/>
      <c r="R44" s="33"/>
      <c r="T44" s="1">
        <v>43320</v>
      </c>
      <c r="U44" t="s">
        <v>1242</v>
      </c>
    </row>
    <row r="45" spans="1:21" x14ac:dyDescent="0.25">
      <c r="B45" s="184">
        <v>43074</v>
      </c>
      <c r="C45" s="10">
        <v>440</v>
      </c>
      <c r="D45" s="39">
        <v>35.309699999999999</v>
      </c>
      <c r="E45" s="39">
        <v>31.78</v>
      </c>
      <c r="F45" s="39">
        <f t="shared" si="4"/>
        <v>-1553.0679999999993</v>
      </c>
      <c r="G45" s="39">
        <f t="shared" si="5"/>
        <v>15536.268</v>
      </c>
      <c r="H45" s="223">
        <f t="shared" si="6"/>
        <v>-9.9964032546297432E-2</v>
      </c>
      <c r="I45" s="39"/>
      <c r="J45" s="39"/>
      <c r="K45" s="39"/>
      <c r="L45" s="39"/>
      <c r="Q45" s="33"/>
      <c r="R45" s="33"/>
      <c r="U45" t="s">
        <v>1243</v>
      </c>
    </row>
    <row r="46" spans="1:21" x14ac:dyDescent="0.25">
      <c r="A46">
        <v>440</v>
      </c>
      <c r="B46" s="184">
        <v>43087</v>
      </c>
      <c r="C46" s="10">
        <v>440</v>
      </c>
      <c r="D46" s="39">
        <v>35.049999999999997</v>
      </c>
      <c r="E46" s="39">
        <v>30.7</v>
      </c>
      <c r="F46" s="39">
        <f t="shared" si="4"/>
        <v>-1913.9999999999991</v>
      </c>
      <c r="G46" s="39">
        <f t="shared" si="5"/>
        <v>15421.999999999998</v>
      </c>
      <c r="H46" s="223">
        <f t="shared" si="6"/>
        <v>-0.12410841654778883</v>
      </c>
      <c r="I46" s="39"/>
      <c r="J46" s="39"/>
      <c r="K46" s="39"/>
      <c r="L46" s="39"/>
      <c r="Q46" s="81"/>
      <c r="R46" s="33"/>
    </row>
    <row r="47" spans="1:21" x14ac:dyDescent="0.25">
      <c r="A47">
        <v>440</v>
      </c>
      <c r="B47" s="184">
        <v>43089</v>
      </c>
      <c r="C47" s="10">
        <v>500</v>
      </c>
      <c r="D47" s="39">
        <v>34.463999999999999</v>
      </c>
      <c r="E47" s="39">
        <v>30.21</v>
      </c>
      <c r="F47" s="39">
        <f t="shared" si="4"/>
        <v>-2126.9999999999991</v>
      </c>
      <c r="G47" s="39">
        <f t="shared" si="5"/>
        <v>17232</v>
      </c>
      <c r="H47" s="223">
        <f t="shared" si="6"/>
        <v>-0.12343314763231192</v>
      </c>
      <c r="I47" s="39" t="s">
        <v>758</v>
      </c>
      <c r="J47" s="39"/>
      <c r="K47" s="39"/>
      <c r="L47" s="39"/>
      <c r="Q47" s="81"/>
      <c r="R47" s="33"/>
      <c r="T47" s="1">
        <v>43322</v>
      </c>
      <c r="U47" t="s">
        <v>1249</v>
      </c>
    </row>
    <row r="48" spans="1:21" x14ac:dyDescent="0.25">
      <c r="A48">
        <v>320</v>
      </c>
      <c r="B48" s="184">
        <v>43090</v>
      </c>
      <c r="C48" s="425">
        <v>380</v>
      </c>
      <c r="D48" s="426">
        <v>35.658999999999999</v>
      </c>
      <c r="E48" s="39">
        <v>30.68</v>
      </c>
      <c r="F48" s="39">
        <f t="shared" si="4"/>
        <v>-1892.0199999999998</v>
      </c>
      <c r="G48" s="39">
        <f t="shared" si="5"/>
        <v>13550.42</v>
      </c>
      <c r="H48" s="223">
        <f t="shared" si="6"/>
        <v>-0.13962814436748083</v>
      </c>
      <c r="I48" s="39"/>
      <c r="J48" s="39"/>
      <c r="K48" s="39"/>
      <c r="L48" s="39"/>
      <c r="Q48" s="81"/>
      <c r="R48" s="33"/>
    </row>
    <row r="49" spans="1:18" x14ac:dyDescent="0.25">
      <c r="A49">
        <v>260</v>
      </c>
      <c r="B49" s="184">
        <v>43097</v>
      </c>
      <c r="C49" s="10">
        <v>320</v>
      </c>
      <c r="D49" s="39">
        <v>36.552</v>
      </c>
      <c r="E49" s="39">
        <v>30.9</v>
      </c>
      <c r="F49" s="39">
        <f t="shared" si="4"/>
        <v>-1808.6400000000003</v>
      </c>
      <c r="G49" s="39">
        <f t="shared" si="5"/>
        <v>11696.64</v>
      </c>
      <c r="H49" s="223">
        <f t="shared" si="6"/>
        <v>-0.15462902166776102</v>
      </c>
      <c r="I49" s="39"/>
      <c r="J49" s="39"/>
      <c r="K49" s="39"/>
      <c r="L49" s="39"/>
      <c r="Q49" s="81"/>
      <c r="R49" s="33"/>
    </row>
    <row r="50" spans="1:18" x14ac:dyDescent="0.25">
      <c r="A50">
        <v>260</v>
      </c>
      <c r="B50" s="184">
        <v>43103</v>
      </c>
      <c r="C50" s="10">
        <v>320</v>
      </c>
      <c r="D50" s="39">
        <v>36.552</v>
      </c>
      <c r="E50" s="39">
        <v>31.83</v>
      </c>
      <c r="F50" s="39">
        <f t="shared" ref="F50:F80" si="7">C50*(E50-D50)</f>
        <v>-1511.0400000000004</v>
      </c>
      <c r="G50" s="39">
        <f t="shared" ref="G50:G80" si="8">D50*C50</f>
        <v>11696.64</v>
      </c>
      <c r="H50" s="223">
        <f t="shared" ref="H50:H80" si="9">(E50-D50)/D50</f>
        <v>-0.1291858174655286</v>
      </c>
      <c r="I50" s="39"/>
      <c r="J50" s="39">
        <v>55.37</v>
      </c>
      <c r="K50" s="39"/>
      <c r="L50" s="39"/>
      <c r="Q50" s="81"/>
      <c r="R50" s="33"/>
    </row>
    <row r="51" spans="1:18" x14ac:dyDescent="0.25">
      <c r="A51">
        <v>260</v>
      </c>
      <c r="B51" s="184">
        <v>43110</v>
      </c>
      <c r="C51" s="10">
        <v>320</v>
      </c>
      <c r="D51" s="39">
        <v>36.552</v>
      </c>
      <c r="E51" s="39">
        <v>31.15</v>
      </c>
      <c r="F51" s="39">
        <f t="shared" si="7"/>
        <v>-1728.6400000000003</v>
      </c>
      <c r="G51" s="39">
        <f t="shared" si="8"/>
        <v>11696.64</v>
      </c>
      <c r="H51" s="223">
        <f t="shared" si="9"/>
        <v>-0.14778945064565555</v>
      </c>
      <c r="I51" s="39"/>
      <c r="J51" s="39">
        <v>57.27</v>
      </c>
      <c r="K51" s="39"/>
      <c r="L51" s="39"/>
      <c r="Q51" s="81"/>
      <c r="R51" s="33"/>
    </row>
    <row r="52" spans="1:18" x14ac:dyDescent="0.25">
      <c r="A52">
        <v>320</v>
      </c>
      <c r="B52" s="184">
        <v>43125</v>
      </c>
      <c r="C52" s="10">
        <v>500</v>
      </c>
      <c r="D52" s="39">
        <v>32.3932</v>
      </c>
      <c r="E52" s="39">
        <v>24.81</v>
      </c>
      <c r="F52" s="39">
        <f t="shared" si="7"/>
        <v>-3791.6000000000008</v>
      </c>
      <c r="G52" s="39">
        <f t="shared" si="8"/>
        <v>16196.6</v>
      </c>
      <c r="H52" s="223">
        <f t="shared" si="9"/>
        <v>-0.23409851450304389</v>
      </c>
      <c r="I52" s="39"/>
      <c r="J52" s="39"/>
      <c r="K52" s="39"/>
      <c r="L52" s="39"/>
      <c r="Q52" s="81"/>
      <c r="R52" s="33"/>
    </row>
    <row r="53" spans="1:18" x14ac:dyDescent="0.25">
      <c r="A53">
        <v>140</v>
      </c>
      <c r="B53" s="184">
        <v>43126</v>
      </c>
      <c r="C53" s="10">
        <v>320</v>
      </c>
      <c r="D53" s="39">
        <v>36.340000000000003</v>
      </c>
      <c r="E53" s="39">
        <v>25.38</v>
      </c>
      <c r="F53" s="39">
        <f t="shared" si="7"/>
        <v>-3507.2000000000016</v>
      </c>
      <c r="G53" s="39">
        <f t="shared" si="8"/>
        <v>11628.800000000001</v>
      </c>
      <c r="H53" s="223">
        <f t="shared" si="9"/>
        <v>-0.30159603742432589</v>
      </c>
      <c r="I53" s="39"/>
      <c r="J53" s="39"/>
      <c r="K53" s="39"/>
      <c r="L53" s="39"/>
      <c r="Q53" s="81"/>
      <c r="R53" s="33"/>
    </row>
    <row r="54" spans="1:18" x14ac:dyDescent="0.25">
      <c r="A54">
        <v>100</v>
      </c>
      <c r="B54" s="184">
        <v>43126</v>
      </c>
      <c r="C54" s="7">
        <v>280</v>
      </c>
      <c r="D54" s="43">
        <v>37.770000000000003</v>
      </c>
      <c r="E54" s="39">
        <v>26.358000000000001</v>
      </c>
      <c r="F54" s="39">
        <f t="shared" si="7"/>
        <v>-3195.3600000000006</v>
      </c>
      <c r="G54" s="39">
        <f t="shared" si="8"/>
        <v>10575.6</v>
      </c>
      <c r="H54" s="223">
        <f t="shared" si="9"/>
        <v>-0.30214455917394761</v>
      </c>
      <c r="I54" s="39">
        <v>37</v>
      </c>
      <c r="J54" s="39"/>
      <c r="K54" s="39"/>
      <c r="L54" s="39"/>
      <c r="Q54" s="81"/>
      <c r="R54" s="33"/>
    </row>
    <row r="55" spans="1:18" x14ac:dyDescent="0.25">
      <c r="A55">
        <v>100</v>
      </c>
      <c r="B55" s="184">
        <v>43142</v>
      </c>
      <c r="C55" s="10">
        <v>280</v>
      </c>
      <c r="D55" s="39">
        <v>37.770000000000003</v>
      </c>
      <c r="E55" s="39">
        <v>27.61</v>
      </c>
      <c r="F55" s="39">
        <f t="shared" si="7"/>
        <v>-2844.8000000000011</v>
      </c>
      <c r="G55" s="39">
        <f t="shared" si="8"/>
        <v>10575.6</v>
      </c>
      <c r="H55" s="223">
        <f t="shared" si="9"/>
        <v>-0.26899655811490608</v>
      </c>
      <c r="I55" s="39"/>
      <c r="J55" s="39"/>
      <c r="K55" s="39"/>
      <c r="L55" s="39"/>
      <c r="Q55" s="81"/>
    </row>
    <row r="56" spans="1:18" x14ac:dyDescent="0.25">
      <c r="A56">
        <v>280</v>
      </c>
      <c r="B56" s="184">
        <v>43143</v>
      </c>
      <c r="C56" s="10">
        <v>280</v>
      </c>
      <c r="D56" s="39">
        <v>37.770000000000003</v>
      </c>
      <c r="E56" s="39">
        <v>26.96</v>
      </c>
      <c r="F56" s="39">
        <f t="shared" si="7"/>
        <v>-3026.8000000000006</v>
      </c>
      <c r="G56" s="39">
        <f t="shared" si="8"/>
        <v>10575.6</v>
      </c>
      <c r="H56" s="223">
        <f t="shared" si="9"/>
        <v>-0.28620598358485572</v>
      </c>
      <c r="I56" s="39"/>
      <c r="J56" s="39"/>
      <c r="K56" s="39"/>
      <c r="L56" s="39"/>
      <c r="Q56" s="81"/>
    </row>
    <row r="57" spans="1:18" x14ac:dyDescent="0.25">
      <c r="B57" s="184">
        <v>43172</v>
      </c>
      <c r="C57" s="10">
        <v>280</v>
      </c>
      <c r="D57" s="39">
        <v>37.770000000000003</v>
      </c>
      <c r="E57" s="39">
        <v>28.6</v>
      </c>
      <c r="F57" s="39">
        <f t="shared" si="7"/>
        <v>-2567.6000000000004</v>
      </c>
      <c r="G57" s="39">
        <f t="shared" si="8"/>
        <v>10575.6</v>
      </c>
      <c r="H57" s="223">
        <f t="shared" si="9"/>
        <v>-0.24278527932221342</v>
      </c>
      <c r="I57" s="39"/>
      <c r="J57" s="39"/>
      <c r="K57" s="39">
        <v>-2491</v>
      </c>
      <c r="L57" s="39"/>
      <c r="Q57" s="81"/>
    </row>
    <row r="58" spans="1:18" x14ac:dyDescent="0.25">
      <c r="B58" s="184">
        <v>43178</v>
      </c>
      <c r="C58" s="10">
        <v>380</v>
      </c>
      <c r="D58" s="39">
        <v>34.729999999999997</v>
      </c>
      <c r="E58" s="39">
        <v>26.79</v>
      </c>
      <c r="F58" s="39">
        <f t="shared" si="7"/>
        <v>-3017.1999999999989</v>
      </c>
      <c r="G58" s="39">
        <f t="shared" si="8"/>
        <v>13197.4</v>
      </c>
      <c r="H58" s="223">
        <f t="shared" si="9"/>
        <v>-0.22862078894327667</v>
      </c>
      <c r="I58" s="39"/>
      <c r="J58" s="39"/>
      <c r="K58" s="39"/>
      <c r="L58" s="39"/>
      <c r="Q58" s="81"/>
    </row>
    <row r="59" spans="1:18" x14ac:dyDescent="0.25">
      <c r="B59" s="184">
        <v>43185</v>
      </c>
      <c r="C59" s="425">
        <v>380</v>
      </c>
      <c r="D59" s="426">
        <v>34.729999999999997</v>
      </c>
      <c r="E59" s="39">
        <v>26.06</v>
      </c>
      <c r="F59" s="39">
        <f t="shared" si="7"/>
        <v>-3294.5999999999995</v>
      </c>
      <c r="G59" s="39">
        <f t="shared" si="8"/>
        <v>13197.4</v>
      </c>
      <c r="H59" s="223">
        <f t="shared" si="9"/>
        <v>-0.24964008062194065</v>
      </c>
      <c r="I59" s="39"/>
      <c r="J59" s="39"/>
      <c r="K59" s="39">
        <v>-3220</v>
      </c>
      <c r="L59" s="39"/>
      <c r="Q59" s="81"/>
    </row>
    <row r="60" spans="1:18" x14ac:dyDescent="0.25">
      <c r="A60">
        <v>280</v>
      </c>
      <c r="B60" s="184">
        <v>43186</v>
      </c>
      <c r="C60" s="10">
        <v>500</v>
      </c>
      <c r="D60" s="39">
        <v>32.32</v>
      </c>
      <c r="E60" s="39">
        <v>25.19</v>
      </c>
      <c r="F60" s="39">
        <f t="shared" si="7"/>
        <v>-3564.9999999999995</v>
      </c>
      <c r="G60" s="39">
        <f t="shared" si="8"/>
        <v>16160</v>
      </c>
      <c r="H60" s="223">
        <f t="shared" si="9"/>
        <v>-0.22060643564356433</v>
      </c>
      <c r="I60" s="39"/>
      <c r="J60" s="39"/>
      <c r="K60" s="39">
        <v>-3490</v>
      </c>
      <c r="L60" s="39"/>
      <c r="Q60" s="81"/>
    </row>
    <row r="61" spans="1:18" x14ac:dyDescent="0.25">
      <c r="A61">
        <v>160</v>
      </c>
      <c r="B61" s="184">
        <v>43194</v>
      </c>
      <c r="C61" s="10">
        <v>380</v>
      </c>
      <c r="D61" s="39">
        <v>34.42</v>
      </c>
      <c r="E61" s="39">
        <v>25.67</v>
      </c>
      <c r="F61" s="39">
        <f t="shared" si="7"/>
        <v>-3325</v>
      </c>
      <c r="G61" s="39">
        <f t="shared" si="8"/>
        <v>13079.6</v>
      </c>
      <c r="H61" s="223">
        <f t="shared" si="9"/>
        <v>-0.25421266705403833</v>
      </c>
      <c r="I61" s="39"/>
      <c r="J61" s="39"/>
      <c r="K61" s="39">
        <v>-3248</v>
      </c>
      <c r="L61" s="39"/>
      <c r="Q61" s="81"/>
    </row>
    <row r="62" spans="1:18" x14ac:dyDescent="0.25">
      <c r="A62">
        <v>260</v>
      </c>
      <c r="B62" s="184">
        <v>43216</v>
      </c>
      <c r="C62" s="10">
        <v>380</v>
      </c>
      <c r="D62" s="39">
        <v>34.42</v>
      </c>
      <c r="E62" s="39">
        <v>26.96</v>
      </c>
      <c r="F62" s="39">
        <f t="shared" si="7"/>
        <v>-2834.8</v>
      </c>
      <c r="G62" s="39">
        <f t="shared" si="8"/>
        <v>13079.6</v>
      </c>
      <c r="H62" s="223">
        <f t="shared" si="9"/>
        <v>-0.21673445671121441</v>
      </c>
      <c r="I62" s="39"/>
      <c r="J62" s="39"/>
      <c r="K62" s="39">
        <v>-2758</v>
      </c>
      <c r="L62" s="39"/>
      <c r="Q62" s="81"/>
    </row>
    <row r="63" spans="1:18" x14ac:dyDescent="0.25">
      <c r="A63">
        <v>280</v>
      </c>
      <c r="B63" s="184">
        <v>43217</v>
      </c>
      <c r="C63" s="7">
        <v>280</v>
      </c>
      <c r="D63" s="43">
        <v>36.86</v>
      </c>
      <c r="E63" s="39">
        <v>27.58</v>
      </c>
      <c r="F63" s="39">
        <f t="shared" si="7"/>
        <v>-2598.4000000000005</v>
      </c>
      <c r="G63" s="39">
        <f t="shared" si="8"/>
        <v>10320.799999999999</v>
      </c>
      <c r="H63" s="223">
        <f t="shared" si="9"/>
        <v>-0.25176342919153555</v>
      </c>
      <c r="I63" s="193" t="s">
        <v>1023</v>
      </c>
      <c r="J63" s="39"/>
      <c r="K63" s="39">
        <v>-2523</v>
      </c>
      <c r="L63" s="39"/>
      <c r="Q63" s="81"/>
    </row>
    <row r="64" spans="1:18" x14ac:dyDescent="0.25">
      <c r="A64">
        <v>280</v>
      </c>
      <c r="B64" s="184">
        <v>43221</v>
      </c>
      <c r="C64" s="425">
        <v>380</v>
      </c>
      <c r="D64" s="426">
        <v>34.158099999999997</v>
      </c>
      <c r="E64" s="39">
        <v>27.05</v>
      </c>
      <c r="F64" s="39">
        <f t="shared" si="7"/>
        <v>-2701.0779999999986</v>
      </c>
      <c r="G64" s="39">
        <f t="shared" si="8"/>
        <v>12980.078</v>
      </c>
      <c r="H64" s="223">
        <f t="shared" si="9"/>
        <v>-0.20809412701526131</v>
      </c>
      <c r="I64" s="193">
        <v>34</v>
      </c>
      <c r="J64" s="39"/>
      <c r="K64" s="39">
        <v>-2626</v>
      </c>
      <c r="L64" s="193"/>
      <c r="O64" s="33"/>
    </row>
    <row r="65" spans="1:15" x14ac:dyDescent="0.25">
      <c r="A65">
        <v>180</v>
      </c>
      <c r="B65" s="184">
        <v>43222</v>
      </c>
      <c r="C65" s="7">
        <v>280</v>
      </c>
      <c r="D65" s="43">
        <v>36.472000000000001</v>
      </c>
      <c r="E65" s="39">
        <v>26.85</v>
      </c>
      <c r="F65" s="39">
        <f t="shared" si="7"/>
        <v>-2694.16</v>
      </c>
      <c r="G65" s="39">
        <f t="shared" si="8"/>
        <v>10212.16</v>
      </c>
      <c r="H65" s="223">
        <f t="shared" si="9"/>
        <v>-0.26381881991664835</v>
      </c>
      <c r="I65" s="193">
        <v>36</v>
      </c>
      <c r="J65" s="39"/>
      <c r="K65" s="39">
        <v>-2619</v>
      </c>
      <c r="L65" s="193"/>
    </row>
    <row r="66" spans="1:15" x14ac:dyDescent="0.25">
      <c r="A66">
        <v>180</v>
      </c>
      <c r="B66" s="184">
        <v>43223</v>
      </c>
      <c r="C66" s="425">
        <v>380</v>
      </c>
      <c r="D66" s="426">
        <v>33.9133</v>
      </c>
      <c r="E66" s="39">
        <v>26.69</v>
      </c>
      <c r="F66" s="39">
        <f t="shared" si="7"/>
        <v>-2744.8539999999994</v>
      </c>
      <c r="G66" s="39">
        <f t="shared" si="8"/>
        <v>12887.054</v>
      </c>
      <c r="H66" s="223">
        <f t="shared" si="9"/>
        <v>-0.21299313248784396</v>
      </c>
      <c r="I66" s="39"/>
      <c r="J66" s="39"/>
      <c r="K66" s="39">
        <v>-2670</v>
      </c>
      <c r="L66" s="193"/>
    </row>
    <row r="67" spans="1:15" x14ac:dyDescent="0.25">
      <c r="A67">
        <v>180</v>
      </c>
      <c r="B67" s="184">
        <v>43241</v>
      </c>
      <c r="C67" s="425">
        <v>380</v>
      </c>
      <c r="D67" s="426">
        <v>33.9133</v>
      </c>
      <c r="E67" s="39">
        <v>26.39</v>
      </c>
      <c r="F67" s="39">
        <f t="shared" si="7"/>
        <v>-2858.8539999999998</v>
      </c>
      <c r="G67" s="39">
        <f t="shared" si="8"/>
        <v>12887.054</v>
      </c>
      <c r="H67" s="223">
        <f t="shared" si="9"/>
        <v>-0.22183921942128895</v>
      </c>
      <c r="I67" s="39"/>
      <c r="J67" s="39"/>
      <c r="K67" s="39">
        <v>-2669</v>
      </c>
      <c r="L67" s="193">
        <v>9.8800000000000008</v>
      </c>
    </row>
    <row r="68" spans="1:15" x14ac:dyDescent="0.25">
      <c r="A68">
        <v>180</v>
      </c>
      <c r="B68" s="184">
        <v>43249</v>
      </c>
      <c r="C68" s="10">
        <v>500</v>
      </c>
      <c r="D68" s="39">
        <v>31.690200000000001</v>
      </c>
      <c r="E68" s="39">
        <v>24.83</v>
      </c>
      <c r="F68" s="39">
        <f t="shared" si="7"/>
        <v>-3430.1000000000013</v>
      </c>
      <c r="G68" s="39">
        <f t="shared" si="8"/>
        <v>15845.1</v>
      </c>
      <c r="H68" s="223">
        <f t="shared" si="9"/>
        <v>-0.21647701813178846</v>
      </c>
      <c r="I68" s="39"/>
      <c r="J68" s="39"/>
      <c r="K68" s="39">
        <v>-3355</v>
      </c>
      <c r="L68" s="193">
        <v>9.3000000000000007</v>
      </c>
    </row>
    <row r="69" spans="1:15" x14ac:dyDescent="0.25">
      <c r="A69">
        <v>380</v>
      </c>
      <c r="B69" s="184">
        <v>43254</v>
      </c>
      <c r="C69" s="10">
        <v>500</v>
      </c>
      <c r="D69" s="39">
        <v>31.690200000000001</v>
      </c>
      <c r="E69" s="39">
        <v>23.12</v>
      </c>
      <c r="F69" s="39">
        <f t="shared" si="7"/>
        <v>-4285.1000000000004</v>
      </c>
      <c r="G69" s="39">
        <f t="shared" si="8"/>
        <v>15845.1</v>
      </c>
      <c r="H69" s="223">
        <f t="shared" si="9"/>
        <v>-0.27043691740664305</v>
      </c>
      <c r="I69" s="39"/>
      <c r="J69" s="39"/>
      <c r="K69" s="39">
        <v>-4210</v>
      </c>
      <c r="L69" s="193">
        <v>8.66</v>
      </c>
      <c r="O69" s="33"/>
    </row>
    <row r="70" spans="1:15" x14ac:dyDescent="0.25">
      <c r="A70">
        <v>260</v>
      </c>
      <c r="B70" s="184">
        <v>43262</v>
      </c>
      <c r="C70" s="425">
        <v>380</v>
      </c>
      <c r="D70" s="426">
        <v>33.588299999999997</v>
      </c>
      <c r="E70" s="39">
        <v>25.59</v>
      </c>
      <c r="F70" s="39">
        <f t="shared" si="7"/>
        <v>-3039.3539999999989</v>
      </c>
      <c r="G70" s="39">
        <f t="shared" si="8"/>
        <v>12763.553999999998</v>
      </c>
      <c r="H70" s="223">
        <f t="shared" si="9"/>
        <v>-0.23812756227614967</v>
      </c>
      <c r="I70" s="39"/>
      <c r="J70" s="39"/>
      <c r="K70" s="39">
        <v>-2964</v>
      </c>
      <c r="L70" s="193">
        <v>9.58</v>
      </c>
    </row>
    <row r="71" spans="1:15" x14ac:dyDescent="0.25">
      <c r="A71">
        <v>260</v>
      </c>
      <c r="B71" s="184">
        <v>43266</v>
      </c>
      <c r="C71" s="425">
        <v>380</v>
      </c>
      <c r="D71" s="426">
        <v>33.285699999999999</v>
      </c>
      <c r="E71" s="39">
        <v>26.05</v>
      </c>
      <c r="F71" s="39">
        <f t="shared" si="7"/>
        <v>-2749.5659999999993</v>
      </c>
      <c r="G71" s="39">
        <f t="shared" si="8"/>
        <v>12648.565999999999</v>
      </c>
      <c r="H71" s="223">
        <f t="shared" si="9"/>
        <v>-0.21738163836121813</v>
      </c>
      <c r="I71" s="39"/>
      <c r="J71" s="39"/>
      <c r="K71" s="39">
        <v>-2675</v>
      </c>
      <c r="L71" s="193"/>
    </row>
    <row r="72" spans="1:15" x14ac:dyDescent="0.25">
      <c r="A72">
        <v>280</v>
      </c>
      <c r="B72" s="184">
        <v>43286</v>
      </c>
      <c r="C72" s="7">
        <v>280</v>
      </c>
      <c r="D72" s="43">
        <v>35.47</v>
      </c>
      <c r="E72" s="39">
        <v>27.15</v>
      </c>
      <c r="F72" s="39">
        <f t="shared" si="7"/>
        <v>-2329.6</v>
      </c>
      <c r="G72" s="39">
        <f t="shared" si="8"/>
        <v>9931.6</v>
      </c>
      <c r="H72" s="223">
        <f t="shared" si="9"/>
        <v>-0.23456442063715818</v>
      </c>
      <c r="I72" s="39" t="s">
        <v>1151</v>
      </c>
      <c r="J72" s="39"/>
      <c r="K72" s="39">
        <v>-2254</v>
      </c>
      <c r="L72" s="193">
        <v>10.17</v>
      </c>
    </row>
    <row r="73" spans="1:15" x14ac:dyDescent="0.25">
      <c r="A73">
        <v>280</v>
      </c>
      <c r="B73" s="184">
        <v>43288</v>
      </c>
      <c r="C73" s="10">
        <v>280</v>
      </c>
      <c r="D73" s="39">
        <v>35.47</v>
      </c>
      <c r="E73" s="39">
        <v>27.42</v>
      </c>
      <c r="F73" s="39">
        <f t="shared" si="7"/>
        <v>-2253.9999999999991</v>
      </c>
      <c r="G73" s="39">
        <f t="shared" si="8"/>
        <v>9931.6</v>
      </c>
      <c r="H73" s="223">
        <f t="shared" si="9"/>
        <v>-0.226952354102058</v>
      </c>
      <c r="I73" s="39"/>
      <c r="J73" s="39"/>
      <c r="K73" s="39">
        <v>-2254</v>
      </c>
      <c r="L73" s="193">
        <v>10.27</v>
      </c>
    </row>
    <row r="74" spans="1:15" x14ac:dyDescent="0.25">
      <c r="A74">
        <v>280</v>
      </c>
      <c r="B74" s="184">
        <v>43301</v>
      </c>
      <c r="C74" s="425">
        <v>380</v>
      </c>
      <c r="D74" s="426">
        <v>33.048900000000003</v>
      </c>
      <c r="E74" s="39">
        <v>26.28</v>
      </c>
      <c r="F74" s="39">
        <f t="shared" si="7"/>
        <v>-2572.1820000000007</v>
      </c>
      <c r="G74" s="39">
        <f t="shared" si="8"/>
        <v>12558.582000000002</v>
      </c>
      <c r="H74" s="223">
        <f t="shared" si="9"/>
        <v>-0.20481468369597783</v>
      </c>
      <c r="I74" s="193"/>
      <c r="J74" s="39"/>
      <c r="K74" s="39">
        <v>-2497</v>
      </c>
      <c r="L74" s="193">
        <v>9.84</v>
      </c>
    </row>
    <row r="75" spans="1:15" x14ac:dyDescent="0.25">
      <c r="A75">
        <v>280</v>
      </c>
      <c r="B75" s="184">
        <v>43306</v>
      </c>
      <c r="C75" s="10">
        <v>500</v>
      </c>
      <c r="D75" s="39">
        <v>31.277999999999999</v>
      </c>
      <c r="E75" s="39">
        <v>25.67</v>
      </c>
      <c r="F75" s="39">
        <f t="shared" si="7"/>
        <v>-2803.9999999999986</v>
      </c>
      <c r="G75" s="39">
        <f t="shared" si="8"/>
        <v>15639</v>
      </c>
      <c r="H75" s="223">
        <f t="shared" si="9"/>
        <v>-0.17929535136517671</v>
      </c>
      <c r="I75" s="193">
        <v>30.5</v>
      </c>
      <c r="J75" s="39"/>
      <c r="K75" s="39">
        <v>-2729</v>
      </c>
      <c r="L75" s="193"/>
    </row>
    <row r="76" spans="1:15" x14ac:dyDescent="0.25">
      <c r="A76">
        <v>160</v>
      </c>
      <c r="B76" s="184">
        <v>43307</v>
      </c>
      <c r="C76" s="425">
        <v>380</v>
      </c>
      <c r="D76" s="426">
        <v>32.78</v>
      </c>
      <c r="E76" s="39">
        <v>26.52</v>
      </c>
      <c r="F76" s="39">
        <f t="shared" si="7"/>
        <v>-2378.8000000000006</v>
      </c>
      <c r="G76" s="39">
        <f t="shared" si="8"/>
        <v>12456.4</v>
      </c>
      <c r="H76" s="223">
        <f t="shared" si="9"/>
        <v>-0.19097010372178161</v>
      </c>
      <c r="I76" s="193"/>
      <c r="J76" s="39"/>
      <c r="K76" s="39">
        <v>-2304</v>
      </c>
      <c r="L76" s="193">
        <v>9.93</v>
      </c>
    </row>
    <row r="77" spans="1:15" x14ac:dyDescent="0.25">
      <c r="A77">
        <v>160</v>
      </c>
      <c r="B77" s="184">
        <v>43318</v>
      </c>
      <c r="C77" s="10">
        <v>500</v>
      </c>
      <c r="D77" s="39">
        <v>30.961300000000001</v>
      </c>
      <c r="E77" s="39">
        <v>25.2</v>
      </c>
      <c r="F77" s="39">
        <f t="shared" si="7"/>
        <v>-2880.650000000001</v>
      </c>
      <c r="G77" s="39">
        <f t="shared" si="8"/>
        <v>15480.650000000001</v>
      </c>
      <c r="H77" s="223">
        <f t="shared" si="9"/>
        <v>-0.18608068782641562</v>
      </c>
      <c r="I77" s="193"/>
      <c r="J77" s="39"/>
      <c r="K77" s="39">
        <v>-2806</v>
      </c>
      <c r="L77" s="193"/>
    </row>
    <row r="78" spans="1:15" x14ac:dyDescent="0.25">
      <c r="A78">
        <v>160</v>
      </c>
      <c r="B78" s="184">
        <v>43318</v>
      </c>
      <c r="C78" s="10">
        <v>700</v>
      </c>
      <c r="D78" s="39">
        <v>28.7849</v>
      </c>
      <c r="E78" s="39">
        <v>22.76</v>
      </c>
      <c r="F78" s="39">
        <f t="shared" si="7"/>
        <v>-4217.4299999999994</v>
      </c>
      <c r="G78" s="39">
        <f t="shared" si="8"/>
        <v>20149.43</v>
      </c>
      <c r="H78" s="223">
        <f t="shared" si="9"/>
        <v>-0.20930765783448957</v>
      </c>
      <c r="I78" s="193"/>
      <c r="J78" s="39"/>
      <c r="K78" s="39">
        <v>-4142</v>
      </c>
      <c r="L78" s="193"/>
    </row>
    <row r="79" spans="1:15" x14ac:dyDescent="0.25">
      <c r="A79">
        <v>160</v>
      </c>
      <c r="B79" s="184">
        <v>43319</v>
      </c>
      <c r="C79" s="10">
        <v>800</v>
      </c>
      <c r="D79" s="39">
        <v>27.901800000000001</v>
      </c>
      <c r="E79" s="39">
        <v>21.68</v>
      </c>
      <c r="F79" s="39">
        <f t="shared" si="7"/>
        <v>-4977.4400000000014</v>
      </c>
      <c r="G79" s="39">
        <f t="shared" si="8"/>
        <v>22321.440000000002</v>
      </c>
      <c r="H79" s="223">
        <f t="shared" si="9"/>
        <v>-0.22298919782953075</v>
      </c>
      <c r="I79" s="193">
        <v>27</v>
      </c>
      <c r="J79" s="39"/>
      <c r="K79" s="39">
        <v>-4902</v>
      </c>
      <c r="L79" s="193">
        <v>8.1199999999999992</v>
      </c>
    </row>
    <row r="80" spans="1:15" x14ac:dyDescent="0.25">
      <c r="A80">
        <v>160</v>
      </c>
      <c r="B80" s="184">
        <v>43320</v>
      </c>
      <c r="C80" s="10">
        <v>1000</v>
      </c>
      <c r="D80" s="39">
        <v>26.401399999999999</v>
      </c>
      <c r="E80" s="39">
        <v>20.79</v>
      </c>
      <c r="F80" s="39">
        <f t="shared" si="7"/>
        <v>-5611.4</v>
      </c>
      <c r="G80" s="39">
        <f t="shared" si="8"/>
        <v>26401.399999999998</v>
      </c>
      <c r="H80" s="223">
        <f t="shared" si="9"/>
        <v>-0.21254175914913603</v>
      </c>
      <c r="I80" s="39"/>
      <c r="J80" s="39"/>
      <c r="K80" s="39">
        <v>-4646</v>
      </c>
      <c r="L80" s="193">
        <v>8.5</v>
      </c>
    </row>
    <row r="81" spans="1:13" x14ac:dyDescent="0.25">
      <c r="B81" s="184"/>
      <c r="C81" s="10"/>
      <c r="D81" s="39"/>
      <c r="E81" s="39"/>
      <c r="F81" s="39"/>
      <c r="G81" s="39"/>
      <c r="H81" s="223"/>
      <c r="I81" s="39"/>
      <c r="J81" s="39"/>
      <c r="K81" s="39"/>
      <c r="L81" s="193"/>
    </row>
    <row r="82" spans="1:13" x14ac:dyDescent="0.25">
      <c r="B82" s="184"/>
      <c r="C82" s="10"/>
      <c r="D82" s="39"/>
      <c r="E82" s="39"/>
      <c r="F82" s="39"/>
      <c r="G82" s="39"/>
      <c r="H82" s="223"/>
      <c r="I82" s="39"/>
      <c r="J82" s="39"/>
      <c r="K82" s="39"/>
      <c r="L82" s="193"/>
    </row>
    <row r="83" spans="1:13" x14ac:dyDescent="0.25">
      <c r="B83" s="184"/>
      <c r="C83" s="10"/>
      <c r="D83" s="39"/>
      <c r="E83" s="39"/>
      <c r="F83" s="39"/>
      <c r="G83" s="39"/>
      <c r="H83" s="223"/>
      <c r="I83" s="39"/>
      <c r="J83" s="39"/>
      <c r="K83" s="39"/>
      <c r="L83" s="193"/>
    </row>
    <row r="84" spans="1:13" x14ac:dyDescent="0.25">
      <c r="B84" s="184"/>
      <c r="C84" s="10"/>
      <c r="D84" s="39"/>
      <c r="E84" s="39"/>
      <c r="F84" s="39"/>
      <c r="G84" s="39"/>
      <c r="H84" s="223"/>
      <c r="I84" s="39"/>
      <c r="J84" s="39"/>
      <c r="K84" s="39"/>
      <c r="L84" s="193"/>
    </row>
    <row r="85" spans="1:13" x14ac:dyDescent="0.25">
      <c r="B85" s="184"/>
      <c r="C85" s="10"/>
      <c r="D85" s="39"/>
      <c r="E85" s="39"/>
      <c r="F85" s="39"/>
      <c r="G85" s="39"/>
      <c r="H85" s="223"/>
      <c r="I85" s="39"/>
      <c r="J85" s="39"/>
      <c r="K85" s="39"/>
      <c r="L85" s="193"/>
    </row>
    <row r="86" spans="1:13" x14ac:dyDescent="0.25">
      <c r="B86" s="184"/>
      <c r="C86" s="10"/>
      <c r="D86" s="39"/>
      <c r="E86" s="39"/>
      <c r="F86" s="39"/>
      <c r="G86" s="39"/>
      <c r="H86" s="223"/>
      <c r="I86" s="39"/>
      <c r="J86" s="39"/>
      <c r="K86" s="39"/>
      <c r="L86" s="193"/>
    </row>
    <row r="87" spans="1:13" x14ac:dyDescent="0.25">
      <c r="B87" s="184"/>
      <c r="C87" s="10"/>
      <c r="D87" s="39"/>
      <c r="E87" s="39"/>
      <c r="F87" s="39"/>
      <c r="G87" s="39"/>
      <c r="H87" s="223"/>
      <c r="I87" s="39"/>
      <c r="J87" s="39"/>
      <c r="K87" s="39"/>
      <c r="L87" s="193"/>
    </row>
    <row r="88" spans="1:13" x14ac:dyDescent="0.25">
      <c r="B88" s="184"/>
      <c r="C88" s="10"/>
      <c r="D88" s="39"/>
      <c r="E88" s="39"/>
      <c r="F88" s="39"/>
      <c r="G88" s="39"/>
      <c r="H88" s="223"/>
      <c r="I88" s="39"/>
      <c r="J88" s="39"/>
      <c r="K88" s="39"/>
      <c r="L88" s="193"/>
    </row>
    <row r="89" spans="1:13" x14ac:dyDescent="0.25">
      <c r="B89" s="184"/>
      <c r="C89" s="10"/>
      <c r="D89" s="39"/>
      <c r="E89" s="39"/>
      <c r="F89" s="39"/>
      <c r="G89" s="39"/>
      <c r="H89" s="223"/>
      <c r="I89" s="39"/>
      <c r="J89" s="39"/>
      <c r="K89" s="39"/>
      <c r="L89" s="193"/>
    </row>
    <row r="90" spans="1:13" x14ac:dyDescent="0.25">
      <c r="B90" s="184"/>
      <c r="C90" s="10"/>
      <c r="D90" s="39"/>
      <c r="E90" s="39"/>
      <c r="F90" s="39"/>
      <c r="G90" s="39"/>
      <c r="H90" s="223"/>
      <c r="I90" s="39"/>
      <c r="J90" s="39"/>
      <c r="K90" s="39"/>
      <c r="L90" s="193"/>
    </row>
    <row r="91" spans="1:13" x14ac:dyDescent="0.25">
      <c r="B91" s="4"/>
      <c r="C91" s="4"/>
      <c r="D91" s="3"/>
      <c r="E91" s="3"/>
      <c r="F91" s="3"/>
      <c r="G91" s="3"/>
      <c r="H91" s="224"/>
      <c r="I91" s="3"/>
      <c r="J91" s="3"/>
      <c r="K91" s="3"/>
    </row>
    <row r="92" spans="1:13" x14ac:dyDescent="0.25">
      <c r="L92" t="s">
        <v>207</v>
      </c>
      <c r="M92" s="2">
        <f>M106+K106-F106</f>
        <v>75.019999999999982</v>
      </c>
    </row>
    <row r="93" spans="1:13" x14ac:dyDescent="0.25">
      <c r="A93" s="368" t="s">
        <v>1</v>
      </c>
      <c r="B93" s="368" t="s">
        <v>2</v>
      </c>
      <c r="C93" s="368" t="s">
        <v>4</v>
      </c>
      <c r="D93" s="370" t="s">
        <v>5</v>
      </c>
      <c r="E93" s="370" t="s">
        <v>94</v>
      </c>
      <c r="F93" s="370" t="s">
        <v>60</v>
      </c>
      <c r="G93" s="368" t="s">
        <v>3</v>
      </c>
      <c r="H93" s="368" t="s">
        <v>6</v>
      </c>
      <c r="I93" s="370" t="s">
        <v>7</v>
      </c>
      <c r="J93" s="370" t="s">
        <v>95</v>
      </c>
      <c r="K93" s="370" t="s">
        <v>61</v>
      </c>
      <c r="L93" s="368" t="s">
        <v>77</v>
      </c>
      <c r="M93" s="368" t="s">
        <v>38</v>
      </c>
    </row>
    <row r="94" spans="1:13" x14ac:dyDescent="0.25">
      <c r="A94" s="371" t="s">
        <v>174</v>
      </c>
      <c r="B94" s="361">
        <v>42376</v>
      </c>
      <c r="C94" s="362">
        <v>60</v>
      </c>
      <c r="D94" s="363">
        <v>41.01</v>
      </c>
      <c r="E94" s="363">
        <v>0</v>
      </c>
      <c r="F94" s="363">
        <f>C94*D94</f>
        <v>2460.6</v>
      </c>
      <c r="G94" s="361">
        <v>42426</v>
      </c>
      <c r="H94" s="366">
        <v>20</v>
      </c>
      <c r="I94" s="363">
        <v>38.450000000000003</v>
      </c>
      <c r="J94" s="363">
        <v>0.02</v>
      </c>
      <c r="K94" s="363">
        <f>H94*I94-J94</f>
        <v>768.98</v>
      </c>
      <c r="L94" s="361">
        <v>42444</v>
      </c>
      <c r="M94" s="363">
        <v>15.2</v>
      </c>
    </row>
    <row r="95" spans="1:13" x14ac:dyDescent="0.25">
      <c r="A95" s="372" t="s">
        <v>71</v>
      </c>
      <c r="B95" s="361">
        <v>42403</v>
      </c>
      <c r="C95" s="362">
        <v>20</v>
      </c>
      <c r="D95" s="363">
        <v>35.5</v>
      </c>
      <c r="E95" s="363">
        <v>0</v>
      </c>
      <c r="F95" s="363">
        <f>C95*D95</f>
        <v>710</v>
      </c>
      <c r="G95" s="361">
        <v>42426</v>
      </c>
      <c r="H95" s="366">
        <v>30</v>
      </c>
      <c r="I95" s="363">
        <v>38.75</v>
      </c>
      <c r="J95" s="363">
        <v>0.03</v>
      </c>
      <c r="K95" s="363">
        <f>H95*I95-J95</f>
        <v>1162.47</v>
      </c>
      <c r="L95" s="362"/>
      <c r="M95" s="362"/>
    </row>
    <row r="96" spans="1:13" x14ac:dyDescent="0.25">
      <c r="A96" s="362"/>
      <c r="B96" s="362"/>
      <c r="C96" s="362"/>
      <c r="D96" s="363"/>
      <c r="E96" s="363"/>
      <c r="F96" s="363"/>
      <c r="G96" s="361">
        <v>42447</v>
      </c>
      <c r="H96" s="366">
        <v>30</v>
      </c>
      <c r="I96" s="363">
        <v>43.3</v>
      </c>
      <c r="J96" s="363">
        <v>0.03</v>
      </c>
      <c r="K96" s="363">
        <f>H96*I96-J96</f>
        <v>1298.97</v>
      </c>
      <c r="L96" s="362"/>
      <c r="M96" s="362"/>
    </row>
    <row r="97" spans="1:13" x14ac:dyDescent="0.25">
      <c r="A97" s="362"/>
      <c r="B97" s="362"/>
      <c r="C97" s="362"/>
      <c r="D97" s="363"/>
      <c r="E97" s="363"/>
      <c r="F97" s="363"/>
      <c r="G97" s="362"/>
      <c r="H97" s="362"/>
      <c r="I97" s="363"/>
      <c r="J97" s="363"/>
      <c r="K97" s="363"/>
      <c r="L97" s="362"/>
      <c r="M97" s="362"/>
    </row>
    <row r="98" spans="1:13" x14ac:dyDescent="0.25">
      <c r="A98" s="362"/>
      <c r="B98" s="362"/>
      <c r="C98" s="362"/>
      <c r="D98" s="363"/>
      <c r="E98" s="363"/>
      <c r="F98" s="363"/>
      <c r="G98" s="362"/>
      <c r="H98" s="362"/>
      <c r="I98" s="363"/>
      <c r="J98" s="363"/>
      <c r="K98" s="363"/>
      <c r="L98" s="362"/>
      <c r="M98" s="362"/>
    </row>
    <row r="99" spans="1:13" x14ac:dyDescent="0.25">
      <c r="A99" s="362"/>
      <c r="B99" s="362"/>
      <c r="C99" s="362"/>
      <c r="D99" s="363"/>
      <c r="E99" s="363"/>
      <c r="F99" s="363"/>
      <c r="G99" s="362"/>
      <c r="H99" s="362"/>
      <c r="I99" s="363"/>
      <c r="J99" s="363"/>
      <c r="K99" s="363"/>
      <c r="L99" s="362"/>
      <c r="M99" s="362"/>
    </row>
    <row r="100" spans="1:13" x14ac:dyDescent="0.25">
      <c r="A100" s="362"/>
      <c r="B100" s="362"/>
      <c r="C100" s="362"/>
      <c r="D100" s="363"/>
      <c r="E100" s="363"/>
      <c r="F100" s="363"/>
      <c r="G100" s="362"/>
      <c r="H100" s="362"/>
      <c r="I100" s="363"/>
      <c r="J100" s="363"/>
      <c r="K100" s="363"/>
      <c r="L100" s="362"/>
      <c r="M100" s="362"/>
    </row>
    <row r="101" spans="1:13" x14ac:dyDescent="0.25">
      <c r="A101" s="362"/>
      <c r="B101" s="362"/>
      <c r="C101" s="362"/>
      <c r="D101" s="363"/>
      <c r="E101" s="363"/>
      <c r="F101" s="363"/>
      <c r="G101" s="362"/>
      <c r="H101" s="362"/>
      <c r="I101" s="363"/>
      <c r="J101" s="363"/>
      <c r="K101" s="363"/>
      <c r="L101" s="362"/>
      <c r="M101" s="362"/>
    </row>
    <row r="102" spans="1:13" x14ac:dyDescent="0.25">
      <c r="A102" s="362"/>
      <c r="B102" s="362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  <c r="M102" s="362"/>
    </row>
    <row r="103" spans="1:13" x14ac:dyDescent="0.25">
      <c r="A103" s="362"/>
      <c r="B103" s="362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  <c r="M103" s="362"/>
    </row>
    <row r="104" spans="1:13" x14ac:dyDescent="0.25">
      <c r="A104" s="362"/>
      <c r="B104" s="362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362"/>
      <c r="B105" s="362"/>
      <c r="C105" s="362"/>
      <c r="D105" s="363"/>
      <c r="E105" s="363"/>
      <c r="F105" s="363"/>
      <c r="G105" s="362"/>
      <c r="H105" s="362"/>
      <c r="I105" s="363"/>
      <c r="J105" s="363"/>
      <c r="K105" s="363"/>
      <c r="L105" s="362"/>
      <c r="M105" s="362"/>
    </row>
    <row r="106" spans="1:13" x14ac:dyDescent="0.25">
      <c r="A106" s="35" t="s">
        <v>81</v>
      </c>
      <c r="B106" s="36"/>
      <c r="C106" s="36">
        <f>SUM(C94:C105)</f>
        <v>80</v>
      </c>
      <c r="D106" s="37"/>
      <c r="E106" s="37"/>
      <c r="F106" s="37">
        <f>SUM(F94:F105)</f>
        <v>3170.6</v>
      </c>
      <c r="G106" s="36"/>
      <c r="H106" s="175">
        <f>SUM(H94:H105)</f>
        <v>80</v>
      </c>
      <c r="I106" s="37"/>
      <c r="J106" s="37"/>
      <c r="K106" s="37">
        <f>SUM(K94:K105)</f>
        <v>3230.42</v>
      </c>
      <c r="L106" s="37"/>
      <c r="M106" s="37">
        <f>SUM(M94:M95)</f>
        <v>15.2</v>
      </c>
    </row>
    <row r="107" spans="1:13" x14ac:dyDescent="0.25">
      <c r="G107" s="2"/>
    </row>
    <row r="109" spans="1:13" x14ac:dyDescent="0.25">
      <c r="B109" s="258" t="s">
        <v>113</v>
      </c>
      <c r="C109" s="258" t="s">
        <v>146</v>
      </c>
      <c r="D109" s="259" t="s">
        <v>145</v>
      </c>
      <c r="E109" s="260" t="s">
        <v>147</v>
      </c>
      <c r="F109" s="261" t="s">
        <v>65</v>
      </c>
      <c r="G109" s="262" t="s">
        <v>151</v>
      </c>
      <c r="H109" s="261" t="s">
        <v>88</v>
      </c>
      <c r="I109" s="261" t="s">
        <v>154</v>
      </c>
    </row>
    <row r="110" spans="1:13" x14ac:dyDescent="0.25">
      <c r="B110" s="255">
        <v>42376</v>
      </c>
      <c r="C110" s="250">
        <v>60</v>
      </c>
      <c r="D110" s="251">
        <v>41.01</v>
      </c>
      <c r="E110" s="251">
        <v>40.33</v>
      </c>
      <c r="F110" s="251">
        <f>C110*(E110-D110)</f>
        <v>-40.799999999999983</v>
      </c>
      <c r="G110" s="251">
        <f>D110*C110</f>
        <v>2460.6</v>
      </c>
      <c r="H110" s="265">
        <f>(E110-D110)/D110</f>
        <v>-1.6581321628871E-2</v>
      </c>
      <c r="I110" s="265"/>
    </row>
    <row r="111" spans="1:13" x14ac:dyDescent="0.25">
      <c r="B111" s="255">
        <v>42403</v>
      </c>
      <c r="C111" s="250">
        <v>80</v>
      </c>
      <c r="D111" s="251">
        <v>39.630000000000003</v>
      </c>
      <c r="E111" s="251">
        <v>36.229999999999997</v>
      </c>
      <c r="F111" s="251">
        <f>C111*(E111-D111)</f>
        <v>-272.00000000000045</v>
      </c>
      <c r="G111" s="251">
        <f>D111*C111</f>
        <v>3170.4</v>
      </c>
      <c r="H111" s="265">
        <f>(E111-D111)/D111</f>
        <v>-8.5793590714105611E-2</v>
      </c>
      <c r="I111" s="265"/>
    </row>
    <row r="112" spans="1:13" x14ac:dyDescent="0.25">
      <c r="B112" s="255">
        <v>42421</v>
      </c>
      <c r="C112" s="250">
        <v>80</v>
      </c>
      <c r="D112" s="251">
        <v>39.630000000000003</v>
      </c>
      <c r="E112" s="251">
        <v>37.46</v>
      </c>
      <c r="F112" s="251">
        <f>C112*(E112-D112)</f>
        <v>-173.60000000000014</v>
      </c>
      <c r="G112" s="251">
        <f>D112*C112</f>
        <v>3170.4</v>
      </c>
      <c r="H112" s="265">
        <f>(E112-D112)/D112</f>
        <v>-5.4756497602826179E-2</v>
      </c>
      <c r="I112" s="265"/>
    </row>
    <row r="113" spans="2:9" x14ac:dyDescent="0.25">
      <c r="B113" s="255">
        <v>42426</v>
      </c>
      <c r="C113" s="250">
        <v>60</v>
      </c>
      <c r="D113" s="251">
        <v>40.03</v>
      </c>
      <c r="E113" s="251">
        <v>38.450000000000003</v>
      </c>
      <c r="F113" s="251">
        <f t="shared" ref="F113:F119" si="10">C113*(E113-D113)</f>
        <v>-94.799999999999898</v>
      </c>
      <c r="G113" s="251">
        <f t="shared" ref="G113:G119" si="11">D113*C113</f>
        <v>2401.8000000000002</v>
      </c>
      <c r="H113" s="265">
        <f t="shared" ref="H113:H119" si="12">(E113-D113)/D113</f>
        <v>-3.9470397202098384E-2</v>
      </c>
      <c r="I113" s="265"/>
    </row>
    <row r="114" spans="2:9" x14ac:dyDescent="0.25">
      <c r="B114" s="255">
        <v>42426</v>
      </c>
      <c r="C114" s="250">
        <v>30</v>
      </c>
      <c r="D114" s="251">
        <v>41.31</v>
      </c>
      <c r="E114" s="251">
        <v>38.44</v>
      </c>
      <c r="F114" s="251">
        <f t="shared" si="10"/>
        <v>-86.100000000000136</v>
      </c>
      <c r="G114" s="251">
        <f t="shared" si="11"/>
        <v>1239.3000000000002</v>
      </c>
      <c r="H114" s="263">
        <f t="shared" si="12"/>
        <v>-6.9474703461631676E-2</v>
      </c>
      <c r="I114" s="263"/>
    </row>
    <row r="115" spans="2:9" x14ac:dyDescent="0.25">
      <c r="B115" s="255">
        <v>42430</v>
      </c>
      <c r="C115" s="250">
        <v>30</v>
      </c>
      <c r="D115" s="251">
        <v>41.31</v>
      </c>
      <c r="E115" s="251">
        <v>39.51</v>
      </c>
      <c r="F115" s="251">
        <f t="shared" si="10"/>
        <v>-54.000000000000128</v>
      </c>
      <c r="G115" s="251">
        <f t="shared" si="11"/>
        <v>1239.3000000000002</v>
      </c>
      <c r="H115" s="263">
        <f t="shared" si="12"/>
        <v>-4.3572984749455437E-2</v>
      </c>
      <c r="I115" s="263"/>
    </row>
    <row r="116" spans="2:9" x14ac:dyDescent="0.25">
      <c r="B116" s="255">
        <v>42431</v>
      </c>
      <c r="C116" s="250">
        <v>30</v>
      </c>
      <c r="D116" s="251">
        <v>41.305</v>
      </c>
      <c r="E116" s="251">
        <v>40.31</v>
      </c>
      <c r="F116" s="251">
        <f t="shared" si="10"/>
        <v>-29.849999999999923</v>
      </c>
      <c r="G116" s="251">
        <f t="shared" si="11"/>
        <v>1239.1500000000001</v>
      </c>
      <c r="H116" s="263">
        <f t="shared" si="12"/>
        <v>-2.4089093330105251E-2</v>
      </c>
      <c r="I116" s="263"/>
    </row>
    <row r="117" spans="2:9" x14ac:dyDescent="0.25">
      <c r="B117" s="255">
        <v>42435</v>
      </c>
      <c r="C117" s="250">
        <v>30</v>
      </c>
      <c r="D117" s="251">
        <v>41.305</v>
      </c>
      <c r="E117" s="251">
        <v>40.98</v>
      </c>
      <c r="F117" s="251">
        <f t="shared" si="10"/>
        <v>-9.7500000000000853</v>
      </c>
      <c r="G117" s="251">
        <f t="shared" si="11"/>
        <v>1239.1500000000001</v>
      </c>
      <c r="H117" s="263">
        <f t="shared" si="12"/>
        <v>-7.8682968163661261E-3</v>
      </c>
      <c r="I117" s="263"/>
    </row>
    <row r="118" spans="2:9" x14ac:dyDescent="0.25">
      <c r="B118" s="255">
        <v>42436</v>
      </c>
      <c r="C118" s="250">
        <v>30</v>
      </c>
      <c r="D118" s="251">
        <v>41.305</v>
      </c>
      <c r="E118" s="251">
        <v>39.590000000000003</v>
      </c>
      <c r="F118" s="251">
        <f t="shared" si="10"/>
        <v>-51.449999999999889</v>
      </c>
      <c r="G118" s="251">
        <f t="shared" si="11"/>
        <v>1239.1500000000001</v>
      </c>
      <c r="H118" s="263">
        <f t="shared" si="12"/>
        <v>-4.1520397046362338E-2</v>
      </c>
      <c r="I118" s="263"/>
    </row>
    <row r="119" spans="2:9" x14ac:dyDescent="0.25">
      <c r="B119" s="255">
        <v>42444</v>
      </c>
      <c r="C119" s="250">
        <v>30</v>
      </c>
      <c r="D119" s="251">
        <v>41.305</v>
      </c>
      <c r="E119" s="251">
        <v>41.37</v>
      </c>
      <c r="F119" s="251">
        <f t="shared" si="10"/>
        <v>1.9499999999999318</v>
      </c>
      <c r="G119" s="251">
        <f t="shared" si="11"/>
        <v>1239.1500000000001</v>
      </c>
      <c r="H119" s="263">
        <f t="shared" si="12"/>
        <v>1.5736593632731564E-3</v>
      </c>
      <c r="I119" s="263"/>
    </row>
    <row r="120" spans="2:9" x14ac:dyDescent="0.25">
      <c r="B120" s="255">
        <v>42444</v>
      </c>
      <c r="C120" s="250">
        <v>30</v>
      </c>
      <c r="D120" s="251">
        <v>40.47983</v>
      </c>
      <c r="E120" s="251">
        <v>41.37</v>
      </c>
      <c r="F120" s="251">
        <f>C120*(E120-D120)</f>
        <v>26.705099999999931</v>
      </c>
      <c r="G120" s="251">
        <f>D120*C120</f>
        <v>1214.3949</v>
      </c>
      <c r="H120" s="263">
        <f>(E120-D120)/D120</f>
        <v>2.1990457963879731E-2</v>
      </c>
      <c r="I120" s="263" t="s">
        <v>182</v>
      </c>
    </row>
    <row r="121" spans="2:9" x14ac:dyDescent="0.25">
      <c r="B121" s="255">
        <v>42447</v>
      </c>
      <c r="C121" s="250">
        <v>0</v>
      </c>
      <c r="D121" s="251"/>
      <c r="E121" s="251"/>
      <c r="F121" s="251">
        <v>75.02</v>
      </c>
      <c r="G121" s="251"/>
      <c r="H121" s="263"/>
      <c r="I121" s="263"/>
    </row>
    <row r="122" spans="2:9" x14ac:dyDescent="0.25">
      <c r="B122" s="250"/>
      <c r="C122" s="250"/>
      <c r="D122" s="251"/>
      <c r="E122" s="251"/>
      <c r="F122" s="251"/>
      <c r="G122" s="251"/>
      <c r="H122" s="263"/>
      <c r="I122" s="263"/>
    </row>
    <row r="123" spans="2:9" x14ac:dyDescent="0.25">
      <c r="B123" s="250"/>
      <c r="C123" s="250"/>
      <c r="D123" s="251"/>
      <c r="E123" s="251"/>
      <c r="F123" s="251"/>
      <c r="G123" s="251"/>
      <c r="H123" s="263"/>
      <c r="I123" s="263"/>
    </row>
    <row r="124" spans="2:9" x14ac:dyDescent="0.25">
      <c r="B124" s="250"/>
      <c r="C124" s="250"/>
      <c r="D124" s="251"/>
      <c r="E124" s="251"/>
      <c r="F124" s="251"/>
      <c r="G124" s="251"/>
      <c r="H124" s="263"/>
      <c r="I124" s="263"/>
    </row>
    <row r="125" spans="2:9" x14ac:dyDescent="0.25">
      <c r="B125" s="250"/>
      <c r="C125" s="250"/>
      <c r="D125" s="251"/>
      <c r="E125" s="251"/>
      <c r="F125" s="251"/>
      <c r="G125" s="251"/>
      <c r="H125" s="263"/>
      <c r="I125" s="263"/>
    </row>
    <row r="126" spans="2:9" x14ac:dyDescent="0.25">
      <c r="B126" s="250"/>
      <c r="C126" s="250"/>
      <c r="D126" s="251"/>
      <c r="E126" s="251"/>
      <c r="F126" s="251"/>
      <c r="G126" s="251"/>
      <c r="H126" s="263"/>
      <c r="I126" s="263"/>
    </row>
    <row r="127" spans="2:9" x14ac:dyDescent="0.25">
      <c r="B127" s="250"/>
      <c r="C127" s="250"/>
      <c r="D127" s="251"/>
      <c r="E127" s="251"/>
      <c r="F127" s="251"/>
      <c r="G127" s="251"/>
      <c r="H127" s="263"/>
      <c r="I127" s="263"/>
    </row>
    <row r="128" spans="2:9" x14ac:dyDescent="0.25">
      <c r="B128" s="250"/>
      <c r="C128" s="250"/>
      <c r="D128" s="251"/>
      <c r="E128" s="251"/>
      <c r="F128" s="251"/>
      <c r="G128" s="251"/>
      <c r="H128" s="263"/>
      <c r="I128" s="263"/>
    </row>
  </sheetData>
  <mergeCells count="1">
    <mergeCell ref="A22:A26"/>
  </mergeCells>
  <conditionalFormatting sqref="O19:O39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3 H44:H59 F58:F59 I61:K62 F63:F65 H63:H65 J63:K65 I55:L59 L61:L63 F70:F72 H70:K72 K73 H88:K91 F88:F90">
    <cfRule type="expression" dxfId="497" priority="77">
      <formula>F39&gt;0</formula>
    </cfRule>
    <cfRule type="expression" dxfId="496" priority="78">
      <formula>F39&lt;0</formula>
    </cfRule>
  </conditionalFormatting>
  <conditionalFormatting sqref="H39:H41">
    <cfRule type="expression" dxfId="495" priority="75">
      <formula>H39&gt;0</formula>
    </cfRule>
    <cfRule type="expression" dxfId="494" priority="76">
      <formula>H39&lt;0</formula>
    </cfRule>
  </conditionalFormatting>
  <conditionalFormatting sqref="H42">
    <cfRule type="expression" dxfId="493" priority="73">
      <formula>H42&gt;0</formula>
    </cfRule>
    <cfRule type="expression" dxfId="492" priority="74">
      <formula>H42&lt;0</formula>
    </cfRule>
  </conditionalFormatting>
  <conditionalFormatting sqref="H43">
    <cfRule type="expression" dxfId="491" priority="71">
      <formula>H43&gt;0</formula>
    </cfRule>
    <cfRule type="expression" dxfId="490" priority="72">
      <formula>H43&lt;0</formula>
    </cfRule>
  </conditionalFormatting>
  <conditionalFormatting sqref="F35:F38">
    <cfRule type="expression" dxfId="489" priority="67">
      <formula>F35&gt;0</formula>
    </cfRule>
    <cfRule type="expression" dxfId="488" priority="68">
      <formula>F35&lt;0</formula>
    </cfRule>
  </conditionalFormatting>
  <conditionalFormatting sqref="H35:H38">
    <cfRule type="expression" dxfId="487" priority="65">
      <formula>H35&gt;0</formula>
    </cfRule>
    <cfRule type="expression" dxfId="486" priority="66">
      <formula>H35&lt;0</formula>
    </cfRule>
  </conditionalFormatting>
  <conditionalFormatting sqref="F44:F45">
    <cfRule type="expression" dxfId="485" priority="61">
      <formula>F44&gt;0</formula>
    </cfRule>
    <cfRule type="expression" dxfId="484" priority="62">
      <formula>F44&lt;0</formula>
    </cfRule>
  </conditionalFormatting>
  <conditionalFormatting sqref="I39:L41">
    <cfRule type="expression" dxfId="483" priority="59">
      <formula>I39&gt;0</formula>
    </cfRule>
    <cfRule type="expression" dxfId="482" priority="60">
      <formula>I39&lt;0</formula>
    </cfRule>
  </conditionalFormatting>
  <conditionalFormatting sqref="I48:I53 I45:L46">
    <cfRule type="expression" dxfId="481" priority="53">
      <formula>I45&gt;0</formula>
    </cfRule>
    <cfRule type="expression" dxfId="480" priority="54">
      <formula>I45&lt;0</formula>
    </cfRule>
  </conditionalFormatting>
  <conditionalFormatting sqref="I35:L38">
    <cfRule type="expression" dxfId="479" priority="51">
      <formula>I35&gt;0</formula>
    </cfRule>
    <cfRule type="expression" dxfId="478" priority="52">
      <formula>I35&lt;0</formula>
    </cfRule>
  </conditionalFormatting>
  <conditionalFormatting sqref="F46:F57">
    <cfRule type="expression" dxfId="477" priority="49">
      <formula>F46&gt;0</formula>
    </cfRule>
    <cfRule type="expression" dxfId="476" priority="50">
      <formula>F46&lt;0</formula>
    </cfRule>
  </conditionalFormatting>
  <conditionalFormatting sqref="Q8">
    <cfRule type="expression" dxfId="475" priority="45">
      <formula>Q8&gt;0</formula>
    </cfRule>
    <cfRule type="expression" dxfId="474" priority="46">
      <formula>Q8&lt;0</formula>
    </cfRule>
  </conditionalFormatting>
  <conditionalFormatting sqref="Q7">
    <cfRule type="expression" dxfId="473" priority="47">
      <formula>Q7&gt;0</formula>
    </cfRule>
    <cfRule type="expression" dxfId="472" priority="48">
      <formula>Q7&lt;0</formula>
    </cfRule>
  </conditionalFormatting>
  <conditionalFormatting sqref="F114:F118">
    <cfRule type="expression" dxfId="471" priority="43">
      <formula>F114&gt;0</formula>
    </cfRule>
    <cfRule type="expression" dxfId="470" priority="44">
      <formula>F114&lt;0</formula>
    </cfRule>
  </conditionalFormatting>
  <conditionalFormatting sqref="H114:H116">
    <cfRule type="expression" dxfId="469" priority="41">
      <formula>H114&gt;0</formula>
    </cfRule>
    <cfRule type="expression" dxfId="468" priority="42">
      <formula>H114&lt;0</formula>
    </cfRule>
  </conditionalFormatting>
  <conditionalFormatting sqref="H117">
    <cfRule type="expression" dxfId="467" priority="39">
      <formula>H117&gt;0</formula>
    </cfRule>
    <cfRule type="expression" dxfId="466" priority="40">
      <formula>H117&lt;0</formula>
    </cfRule>
  </conditionalFormatting>
  <conditionalFormatting sqref="H118">
    <cfRule type="expression" dxfId="465" priority="37">
      <formula>H118&gt;0</formula>
    </cfRule>
    <cfRule type="expression" dxfId="464" priority="38">
      <formula>H118&lt;0</formula>
    </cfRule>
  </conditionalFormatting>
  <conditionalFormatting sqref="H119:H128">
    <cfRule type="expression" dxfId="463" priority="35">
      <formula>H119&gt;0</formula>
    </cfRule>
    <cfRule type="expression" dxfId="462" priority="36">
      <formula>H119&lt;0</formula>
    </cfRule>
  </conditionalFormatting>
  <conditionalFormatting sqref="F110:F113">
    <cfRule type="expression" dxfId="461" priority="33">
      <formula>F110&gt;0</formula>
    </cfRule>
    <cfRule type="expression" dxfId="460" priority="34">
      <formula>F110&lt;0</formula>
    </cfRule>
  </conditionalFormatting>
  <conditionalFormatting sqref="H110:H113">
    <cfRule type="expression" dxfId="459" priority="31">
      <formula>H110&gt;0</formula>
    </cfRule>
    <cfRule type="expression" dxfId="458" priority="32">
      <formula>H110&lt;0</formula>
    </cfRule>
  </conditionalFormatting>
  <conditionalFormatting sqref="F119:F120">
    <cfRule type="expression" dxfId="457" priority="29">
      <formula>F119&gt;0</formula>
    </cfRule>
    <cfRule type="expression" dxfId="456" priority="30">
      <formula>F119&lt;0</formula>
    </cfRule>
  </conditionalFormatting>
  <conditionalFormatting sqref="I114:I116">
    <cfRule type="expression" dxfId="455" priority="27">
      <formula>I114&gt;0</formula>
    </cfRule>
    <cfRule type="expression" dxfId="454" priority="28">
      <formula>I114&lt;0</formula>
    </cfRule>
  </conditionalFormatting>
  <conditionalFormatting sqref="I117">
    <cfRule type="expression" dxfId="453" priority="25">
      <formula>I117&gt;0</formula>
    </cfRule>
    <cfRule type="expression" dxfId="452" priority="26">
      <formula>I117&lt;0</formula>
    </cfRule>
  </conditionalFormatting>
  <conditionalFormatting sqref="I118">
    <cfRule type="expression" dxfId="451" priority="23">
      <formula>I118&gt;0</formula>
    </cfRule>
    <cfRule type="expression" dxfId="450" priority="24">
      <formula>I118&lt;0</formula>
    </cfRule>
  </conditionalFormatting>
  <conditionalFormatting sqref="I119:I128">
    <cfRule type="expression" dxfId="449" priority="21">
      <formula>I119&gt;0</formula>
    </cfRule>
    <cfRule type="expression" dxfId="448" priority="22">
      <formula>I119&lt;0</formula>
    </cfRule>
  </conditionalFormatting>
  <conditionalFormatting sqref="I110:I113">
    <cfRule type="expression" dxfId="447" priority="19">
      <formula>I110&gt;0</formula>
    </cfRule>
    <cfRule type="expression" dxfId="446" priority="20">
      <formula>I110&lt;0</formula>
    </cfRule>
  </conditionalFormatting>
  <conditionalFormatting sqref="F121">
    <cfRule type="expression" dxfId="445" priority="17">
      <formula>F121&gt;0</formula>
    </cfRule>
    <cfRule type="expression" dxfId="444" priority="18">
      <formula>F121&lt;0</formula>
    </cfRule>
  </conditionalFormatting>
  <conditionalFormatting sqref="F60:F62 H61:H62 H60:L60">
    <cfRule type="expression" dxfId="443" priority="15">
      <formula>F60&gt;0</formula>
    </cfRule>
    <cfRule type="expression" dxfId="442" priority="16">
      <formula>F60&lt;0</formula>
    </cfRule>
  </conditionalFormatting>
  <conditionalFormatting sqref="R4">
    <cfRule type="expression" dxfId="441" priority="13">
      <formula>R4&gt;0</formula>
    </cfRule>
    <cfRule type="expression" dxfId="440" priority="14">
      <formula>R4&lt;0</formula>
    </cfRule>
  </conditionalFormatting>
  <conditionalFormatting sqref="F66:F69 H66:K69">
    <cfRule type="expression" dxfId="439" priority="11">
      <formula>F66&gt;0</formula>
    </cfRule>
    <cfRule type="expression" dxfId="438" priority="12">
      <formula>F66&lt;0</formula>
    </cfRule>
  </conditionalFormatting>
  <conditionalFormatting sqref="H74:H78 F73:F78 H73:J73 J74:K78">
    <cfRule type="expression" dxfId="437" priority="7">
      <formula>F73&gt;0</formula>
    </cfRule>
    <cfRule type="expression" dxfId="436" priority="8">
      <formula>F73&lt;0</formula>
    </cfRule>
  </conditionalFormatting>
  <conditionalFormatting sqref="H85:K87 F85:F87">
    <cfRule type="expression" dxfId="435" priority="5">
      <formula>F85&gt;0</formula>
    </cfRule>
    <cfRule type="expression" dxfId="434" priority="6">
      <formula>F85&lt;0</formula>
    </cfRule>
  </conditionalFormatting>
  <conditionalFormatting sqref="H82:K84 F82:F84">
    <cfRule type="expression" dxfId="433" priority="3">
      <formula>F82&gt;0</formula>
    </cfRule>
    <cfRule type="expression" dxfId="432" priority="4">
      <formula>F82&lt;0</formula>
    </cfRule>
  </conditionalFormatting>
  <conditionalFormatting sqref="H80:K81 F79:F81 H79 J79:K79">
    <cfRule type="expression" dxfId="431" priority="1">
      <formula>F79&gt;0</formula>
    </cfRule>
    <cfRule type="expression" dxfId="430" priority="2">
      <formula>F79&lt;0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72.34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72.34</v>
      </c>
      <c r="R4" s="475">
        <v>3.3300000000000003E-2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205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79.574000000000012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78.850600000000014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78.127200000000002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77.403800000000004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76.680400000000006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75.957000000000008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75.23360000000001</v>
      </c>
      <c r="Q49" s="33"/>
      <c r="R49" s="33"/>
      <c r="T49" s="91" t="s">
        <v>121</v>
      </c>
      <c r="U49" s="86" t="s">
        <v>465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74.510200000000012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73.786799999999999</v>
      </c>
      <c r="Q51" s="81"/>
      <c r="R51" s="33"/>
      <c r="T51" s="91" t="s">
        <v>104</v>
      </c>
      <c r="U51" s="86" t="s">
        <v>614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73.063400000000001</v>
      </c>
      <c r="Q52" s="81"/>
      <c r="R52" s="33"/>
      <c r="T52" s="91" t="s">
        <v>105</v>
      </c>
      <c r="U52" s="86" t="s">
        <v>493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72.34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71.616600000000005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70.893200000000007</v>
      </c>
      <c r="Q55" s="81"/>
      <c r="R55" s="33"/>
      <c r="T55" s="91" t="s">
        <v>107</v>
      </c>
      <c r="U55" s="86" t="s">
        <v>615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70.169799999999995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69.446399999999997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68.722999999999999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333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67.999600000000001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67.276200000000003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66.552800000000005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65.829400000000007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65.106000000000009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29" priority="11">
      <formula>Q8&gt;0</formula>
    </cfRule>
    <cfRule type="expression" dxfId="428" priority="12">
      <formula>Q8&lt;0</formula>
    </cfRule>
  </conditionalFormatting>
  <conditionalFormatting sqref="Q7">
    <cfRule type="expression" dxfId="427" priority="13">
      <formula>Q7&gt;0</formula>
    </cfRule>
    <cfRule type="expression" dxfId="426" priority="14">
      <formula>Q7&lt;0</formula>
    </cfRule>
  </conditionalFormatting>
  <conditionalFormatting sqref="F22">
    <cfRule type="expression" dxfId="425" priority="9">
      <formula>F22&gt;0</formula>
    </cfRule>
    <cfRule type="expression" dxfId="424" priority="10">
      <formula>F22&lt;0</formula>
    </cfRule>
  </conditionalFormatting>
  <conditionalFormatting sqref="H22">
    <cfRule type="expression" dxfId="423" priority="7">
      <formula>H22&gt;0</formula>
    </cfRule>
    <cfRule type="expression" dxfId="422" priority="8">
      <formula>H22&lt;0</formula>
    </cfRule>
  </conditionalFormatting>
  <conditionalFormatting sqref="F59">
    <cfRule type="expression" dxfId="421" priority="5">
      <formula>F59&gt;0</formula>
    </cfRule>
    <cfRule type="expression" dxfId="420" priority="6">
      <formula>F59&lt;0</formula>
    </cfRule>
  </conditionalFormatting>
  <conditionalFormatting sqref="H59">
    <cfRule type="expression" dxfId="419" priority="3">
      <formula>H59&gt;0</formula>
    </cfRule>
    <cfRule type="expression" dxfId="418" priority="4">
      <formula>H59&lt;0</formula>
    </cfRule>
  </conditionalFormatting>
  <conditionalFormatting sqref="M30">
    <cfRule type="expression" dxfId="417" priority="1">
      <formula>M30&gt;0</formula>
    </cfRule>
    <cfRule type="expression" dxfId="416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99.48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99.48</v>
      </c>
      <c r="R4" s="475">
        <v>2.7000000000000001E-3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206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205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59" t="s">
        <v>78</v>
      </c>
      <c r="P35" s="859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109.42800000000001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108.43320000000001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107.43840000000002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106.4436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205</v>
      </c>
      <c r="M40" s="2">
        <f>K56+M56-F56</f>
        <v>523.61999999999898</v>
      </c>
      <c r="O40" s="81">
        <v>1.06</v>
      </c>
      <c r="P40" s="81">
        <f t="shared" si="3"/>
        <v>105.44880000000001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104.45400000000001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103.45920000000001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102.46440000000001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101.4696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100.4748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99.48</v>
      </c>
      <c r="Q46" s="2"/>
      <c r="T46" s="111" t="s">
        <v>103</v>
      </c>
      <c r="U46" s="104" t="s">
        <v>387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98.485200000000006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97.490400000000008</v>
      </c>
      <c r="Q48" s="2"/>
      <c r="T48" s="111" t="s">
        <v>104</v>
      </c>
      <c r="U48" s="104" t="s">
        <v>616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96.495599999999996</v>
      </c>
      <c r="T49" s="111" t="s">
        <v>105</v>
      </c>
      <c r="U49" s="104" t="s">
        <v>502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95.500799999999998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94.506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93.511200000000002</v>
      </c>
      <c r="T52" s="111" t="s">
        <v>107</v>
      </c>
      <c r="U52" s="104" t="s">
        <v>617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92.516400000000004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91.521600000000007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90.526800000000009</v>
      </c>
      <c r="T55" s="111" t="s">
        <v>108</v>
      </c>
      <c r="U55" s="104" t="s">
        <v>538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89.532000000000011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15" priority="19">
      <formula>F27&gt;0</formula>
    </cfRule>
    <cfRule type="expression" dxfId="414" priority="20">
      <formula>F27&lt;0</formula>
    </cfRule>
  </conditionalFormatting>
  <conditionalFormatting sqref="F37:F38">
    <cfRule type="expression" dxfId="413" priority="17">
      <formula>F37&gt;0</formula>
    </cfRule>
    <cfRule type="expression" dxfId="412" priority="18">
      <formula>F37&lt;0</formula>
    </cfRule>
  </conditionalFormatting>
  <conditionalFormatting sqref="H27:H32">
    <cfRule type="expression" dxfId="411" priority="15">
      <formula>H27&gt;0</formula>
    </cfRule>
    <cfRule type="expression" dxfId="410" priority="16">
      <formula>H27&lt;0</formula>
    </cfRule>
  </conditionalFormatting>
  <conditionalFormatting sqref="Q7">
    <cfRule type="expression" dxfId="409" priority="3">
      <formula>Q7&gt;0</formula>
    </cfRule>
    <cfRule type="expression" dxfId="408" priority="4">
      <formula>Q7&lt;0</formula>
    </cfRule>
  </conditionalFormatting>
  <conditionalFormatting sqref="Q8">
    <cfRule type="expression" dxfId="407" priority="1">
      <formula>Q8&gt;0</formula>
    </cfRule>
    <cfRule type="expression" dxfId="40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171.69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171.69</v>
      </c>
      <c r="R4" s="475">
        <v>-6.7000000000000002E-3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188.85900000000001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187.1421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185.42520000000002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183.70830000000001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181.9914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180.27450000000002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178.55760000000001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176.8407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175.12379999999999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173.40690000000001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171.69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169.97309999999999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168.25620000000001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166.5393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164.82239999999999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163.10549999999998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161.3886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159.67170000000002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157.95480000000001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156.2379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154.52100000000002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05" priority="25">
      <formula>F24&gt;0</formula>
    </cfRule>
    <cfRule type="expression" dxfId="404" priority="26">
      <formula>F24&lt;0</formula>
    </cfRule>
  </conditionalFormatting>
  <conditionalFormatting sqref="H21:H27">
    <cfRule type="expression" dxfId="403" priority="19">
      <formula>H21&gt;0</formula>
    </cfRule>
    <cfRule type="expression" dxfId="402" priority="20">
      <formula>H21&lt;0</formula>
    </cfRule>
  </conditionalFormatting>
  <conditionalFormatting sqref="F21:F23">
    <cfRule type="expression" dxfId="401" priority="5">
      <formula>F21&gt;0</formula>
    </cfRule>
    <cfRule type="expression" dxfId="400" priority="6">
      <formula>F21&lt;0</formula>
    </cfRule>
  </conditionalFormatting>
  <conditionalFormatting sqref="Q8">
    <cfRule type="expression" dxfId="399" priority="1">
      <formula>Q8&gt;0</formula>
    </cfRule>
    <cfRule type="expression" dxfId="398" priority="2">
      <formula>Q8&lt;0</formula>
    </cfRule>
  </conditionalFormatting>
  <conditionalFormatting sqref="Q7">
    <cfRule type="expression" dxfId="397" priority="3">
      <formula>Q7&gt;0</formula>
    </cfRule>
    <cfRule type="expression" dxfId="39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216.58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216.58</v>
      </c>
      <c r="R4" s="475">
        <v>-1.3100000000000001E-2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205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64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64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64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65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59" t="s">
        <v>78</v>
      </c>
      <c r="P41" s="859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238.23800000000003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236.07220000000004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233.90640000000002</v>
      </c>
      <c r="Q44" s="2"/>
      <c r="T44" s="132" t="s">
        <v>99</v>
      </c>
      <c r="U44" s="86" t="s">
        <v>618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231.74060000000003</v>
      </c>
      <c r="Q45" s="2"/>
      <c r="T45" s="132" t="s">
        <v>100</v>
      </c>
      <c r="U45" s="86" t="s">
        <v>619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229.57480000000004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227.40900000000002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225.24320000000003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223.07740000000001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220.91160000000002</v>
      </c>
      <c r="Q50" s="2"/>
      <c r="T50" s="132" t="s">
        <v>104</v>
      </c>
      <c r="U50" s="86" t="s">
        <v>620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218.7458</v>
      </c>
      <c r="Q51" s="2"/>
      <c r="T51" s="132" t="s">
        <v>105</v>
      </c>
      <c r="U51" s="86" t="s">
        <v>489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216.58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214.41420000000002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212.2484</v>
      </c>
      <c r="Q54" s="2"/>
      <c r="T54" s="132" t="s">
        <v>107</v>
      </c>
      <c r="U54" s="86" t="s">
        <v>621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210.08260000000001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207.91679999999999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205.751</v>
      </c>
      <c r="T57" s="132" t="s">
        <v>108</v>
      </c>
      <c r="U57" s="86" t="s">
        <v>539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203.58519999999999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201.41940000000002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199.25360000000003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197.08780000000002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194.92200000000003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95" priority="11">
      <formula>F21&gt;0</formula>
    </cfRule>
    <cfRule type="expression" dxfId="394" priority="12">
      <formula>F21&lt;0</formula>
    </cfRule>
  </conditionalFormatting>
  <conditionalFormatting sqref="H21:H23">
    <cfRule type="expression" dxfId="393" priority="9">
      <formula>H21&gt;0</formula>
    </cfRule>
    <cfRule type="expression" dxfId="392" priority="10">
      <formula>H21&lt;0</formula>
    </cfRule>
  </conditionalFormatting>
  <conditionalFormatting sqref="Q8">
    <cfRule type="expression" dxfId="391" priority="1">
      <formula>Q8&gt;0</formula>
    </cfRule>
    <cfRule type="expression" dxfId="390" priority="2">
      <formula>Q8&lt;0</formula>
    </cfRule>
  </conditionalFormatting>
  <conditionalFormatting sqref="Q7">
    <cfRule type="expression" dxfId="389" priority="3">
      <formula>Q7&gt;0</formula>
    </cfRule>
    <cfRule type="expression" dxfId="38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239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82.75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82.75</v>
      </c>
      <c r="R4" s="475">
        <v>-5.0000000000000001E-4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206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205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59" t="s">
        <v>78</v>
      </c>
      <c r="P40" s="859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91.025000000000006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90.197500000000005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89.37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88.542500000000004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87.715000000000003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86.887500000000003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86.06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85.232500000000002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84.405000000000001</v>
      </c>
      <c r="Q49" s="2"/>
      <c r="T49" s="91" t="s">
        <v>121</v>
      </c>
      <c r="U49" s="86" t="s">
        <v>336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83.577500000000001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82.75</v>
      </c>
      <c r="Q51" s="2"/>
      <c r="T51" s="91" t="s">
        <v>104</v>
      </c>
      <c r="U51" s="86" t="s">
        <v>647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81.922499999999999</v>
      </c>
      <c r="Q52" s="2"/>
      <c r="T52" s="91" t="s">
        <v>105</v>
      </c>
      <c r="U52" s="86" t="s">
        <v>317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81.094999999999999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80.267499999999998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79.44</v>
      </c>
      <c r="T55" s="91" t="s">
        <v>107</v>
      </c>
      <c r="U55" s="86" t="s">
        <v>648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78.612499999999997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77.784999999999997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76.95750000000001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76.13000000000001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75.302500000000009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74.475000000000009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87" priority="15">
      <formula>F29&gt;0</formula>
    </cfRule>
    <cfRule type="expression" dxfId="386" priority="16">
      <formula>F29&lt;0</formula>
    </cfRule>
  </conditionalFormatting>
  <conditionalFormatting sqref="F34:F62">
    <cfRule type="expression" dxfId="385" priority="11">
      <formula>F34&gt;0</formula>
    </cfRule>
    <cfRule type="expression" dxfId="384" priority="12">
      <formula>F34&lt;0</formula>
    </cfRule>
  </conditionalFormatting>
  <conditionalFormatting sqref="F34:F62">
    <cfRule type="expression" dxfId="383" priority="13">
      <formula>F34&gt;0</formula>
    </cfRule>
    <cfRule type="expression" dxfId="382" priority="14">
      <formula>F34&lt;0</formula>
    </cfRule>
  </conditionalFormatting>
  <conditionalFormatting sqref="H29:H62">
    <cfRule type="expression" dxfId="381" priority="9">
      <formula>H29&gt;0</formula>
    </cfRule>
    <cfRule type="expression" dxfId="380" priority="10">
      <formula>H29&lt;0</formula>
    </cfRule>
  </conditionalFormatting>
  <conditionalFormatting sqref="F25:F28">
    <cfRule type="expression" dxfId="379" priority="7">
      <formula>F25&gt;0</formula>
    </cfRule>
    <cfRule type="expression" dxfId="378" priority="8">
      <formula>F25&lt;0</formula>
    </cfRule>
  </conditionalFormatting>
  <conditionalFormatting sqref="H25:H28">
    <cfRule type="expression" dxfId="377" priority="5">
      <formula>H25&gt;0</formula>
    </cfRule>
    <cfRule type="expression" dxfId="376" priority="6">
      <formula>H25&lt;0</formula>
    </cfRule>
  </conditionalFormatting>
  <conditionalFormatting sqref="Q7">
    <cfRule type="expression" dxfId="375" priority="3">
      <formula>Q7&gt;0</formula>
    </cfRule>
    <cfRule type="expression" dxfId="374" priority="4">
      <formula>Q7&lt;0</formula>
    </cfRule>
  </conditionalFormatting>
  <conditionalFormatting sqref="Q8">
    <cfRule type="expression" dxfId="373" priority="1">
      <formula>Q8&gt;0</formula>
    </cfRule>
    <cfRule type="expression" dxfId="37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2.7109375" style="83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434">
        <v>43298</v>
      </c>
      <c r="C2" s="7">
        <v>100</v>
      </c>
      <c r="D2" s="43">
        <v>50.1</v>
      </c>
      <c r="E2" s="43">
        <v>0</v>
      </c>
      <c r="F2" s="43">
        <f>C2*D2+E2</f>
        <v>5010</v>
      </c>
      <c r="G2" s="434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/>
      <c r="M2" s="3"/>
      <c r="O2" s="11" t="s">
        <v>57</v>
      </c>
      <c r="Q2">
        <f>C18-H18</f>
        <v>250</v>
      </c>
      <c r="T2" s="83" t="s">
        <v>1122</v>
      </c>
      <c r="U2" s="837" t="s">
        <v>1253</v>
      </c>
    </row>
    <row r="3" spans="1:21" x14ac:dyDescent="0.25">
      <c r="A3" s="22" t="s">
        <v>71</v>
      </c>
      <c r="B3" s="474">
        <v>43298</v>
      </c>
      <c r="C3" s="4">
        <v>100</v>
      </c>
      <c r="D3" s="3">
        <v>50.1</v>
      </c>
      <c r="E3" s="3">
        <v>0</v>
      </c>
      <c r="F3" s="3">
        <f>C3*D3+E3</f>
        <v>5010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49.260280000000002</v>
      </c>
      <c r="T3" s="83" t="s">
        <v>1252</v>
      </c>
      <c r="U3" s="837">
        <v>16.27</v>
      </c>
    </row>
    <row r="4" spans="1:21" x14ac:dyDescent="0.25">
      <c r="B4" s="474">
        <v>43300</v>
      </c>
      <c r="C4">
        <v>50</v>
      </c>
      <c r="D4" s="2">
        <v>48.28</v>
      </c>
      <c r="E4" s="2">
        <v>0</v>
      </c>
      <c r="F4" s="3">
        <f>C4*D4+E4</f>
        <v>2414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48.399900000000002</v>
      </c>
      <c r="R4" s="492">
        <v>-1.9699999999999999E-2</v>
      </c>
      <c r="T4" s="118"/>
      <c r="U4" s="83"/>
    </row>
    <row r="5" spans="1:21" x14ac:dyDescent="0.25">
      <c r="B5" s="474">
        <v>43320</v>
      </c>
      <c r="C5" s="4">
        <v>100</v>
      </c>
      <c r="D5" s="3">
        <v>48.9</v>
      </c>
      <c r="E5" s="3">
        <v>0</v>
      </c>
      <c r="F5" s="3">
        <f>C5*D5+E5</f>
        <v>4890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12099.975</v>
      </c>
      <c r="T5" s="83">
        <v>43307</v>
      </c>
      <c r="U5" s="837" t="s">
        <v>1202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12315.07</v>
      </c>
      <c r="U6" s="837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841.64499999999862</v>
      </c>
      <c r="R7" s="29">
        <v>43329</v>
      </c>
      <c r="U7" s="837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-215.09499999999935</v>
      </c>
      <c r="T8" s="83">
        <v>43314</v>
      </c>
      <c r="U8" s="837" t="s">
        <v>1203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-1.7465998975239226E-2</v>
      </c>
      <c r="U9" s="837"/>
    </row>
    <row r="10" spans="1:21" x14ac:dyDescent="0.25">
      <c r="H10" s="70"/>
      <c r="O10" s="11" t="s">
        <v>205</v>
      </c>
      <c r="P10" s="33"/>
      <c r="Q10" s="2">
        <f>M67</f>
        <v>1056.739999999998</v>
      </c>
      <c r="U10" s="837"/>
    </row>
    <row r="11" spans="1:21" x14ac:dyDescent="0.25">
      <c r="H11" s="70"/>
      <c r="O11" s="11" t="s">
        <v>176</v>
      </c>
      <c r="P11" s="33"/>
      <c r="Q11" s="134">
        <f>R11/Q4*4</f>
        <v>3.9338924253975727E-2</v>
      </c>
      <c r="R11">
        <v>0.47599999999999998</v>
      </c>
      <c r="T11" s="83">
        <v>43318</v>
      </c>
      <c r="U11" s="837" t="s">
        <v>1204</v>
      </c>
    </row>
    <row r="12" spans="1:21" x14ac:dyDescent="0.25">
      <c r="H12" s="70"/>
      <c r="O12" s="11" t="s">
        <v>925</v>
      </c>
      <c r="Q12" s="1" t="s">
        <v>1251</v>
      </c>
      <c r="U12" s="837" t="s">
        <v>1228</v>
      </c>
    </row>
    <row r="13" spans="1:21" x14ac:dyDescent="0.25">
      <c r="H13" s="70"/>
      <c r="O13" s="11" t="s">
        <v>952</v>
      </c>
      <c r="Q13" s="2">
        <f>Q4/(4.85+4.95)*2</f>
        <v>9.8775306122448985</v>
      </c>
      <c r="U13" s="837" t="s">
        <v>1229</v>
      </c>
    </row>
    <row r="14" spans="1:21" x14ac:dyDescent="0.25">
      <c r="H14" s="70"/>
      <c r="O14" s="11" t="s">
        <v>1039</v>
      </c>
      <c r="Q14" s="1">
        <v>43323</v>
      </c>
      <c r="U14" s="837"/>
    </row>
    <row r="15" spans="1:21" x14ac:dyDescent="0.25">
      <c r="H15" s="70"/>
      <c r="U15" s="837"/>
    </row>
    <row r="16" spans="1:21" x14ac:dyDescent="0.25">
      <c r="H16" s="70"/>
      <c r="U16" s="837"/>
    </row>
    <row r="17" spans="1:21" x14ac:dyDescent="0.25">
      <c r="H17" s="70"/>
      <c r="U17" s="837"/>
    </row>
    <row r="18" spans="1:21" x14ac:dyDescent="0.25">
      <c r="A18" s="31" t="s">
        <v>81</v>
      </c>
      <c r="B18" s="14"/>
      <c r="C18" s="14">
        <f>SUM(C2:C8)</f>
        <v>350</v>
      </c>
      <c r="D18" s="18"/>
      <c r="E18" s="18"/>
      <c r="F18" s="18">
        <f>SUM(F2:F8)</f>
        <v>17324</v>
      </c>
      <c r="G18" s="14"/>
      <c r="H18" s="71">
        <f>SUM(H2:H17)</f>
        <v>100</v>
      </c>
      <c r="I18" s="18"/>
      <c r="J18" s="18"/>
      <c r="K18" s="18">
        <f>SUM(K2:K17)</f>
        <v>5008.93</v>
      </c>
      <c r="L18" s="14"/>
      <c r="M18" s="18">
        <f>SUM(M2:M10)</f>
        <v>0</v>
      </c>
    </row>
    <row r="19" spans="1:21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5010</v>
      </c>
      <c r="G19" s="343"/>
      <c r="H19" s="343">
        <f>SumByColor($A$19,H2:H17)</f>
        <v>100</v>
      </c>
      <c r="I19" s="343"/>
      <c r="J19" s="343"/>
      <c r="K19" s="344">
        <f>SumByColor($A$19,K2:K17)</f>
        <v>5009</v>
      </c>
      <c r="L19" s="343"/>
      <c r="M19" s="344">
        <f>SumByColor($A$19,M2:M17)</f>
        <v>0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 t="s">
        <v>490</v>
      </c>
    </row>
    <row r="25" spans="1:21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" si="0">C25*(E25-D25)</f>
        <v>0</v>
      </c>
      <c r="G25" s="39">
        <f t="shared" ref="G25" si="1">D25*C25</f>
        <v>10020</v>
      </c>
      <c r="H25" s="222">
        <f t="shared" ref="H25" si="2">(E25-D25)/D25</f>
        <v>0</v>
      </c>
      <c r="I25" s="39"/>
      <c r="J25" s="39">
        <v>1056.74</v>
      </c>
      <c r="K25" s="39"/>
      <c r="L25" s="39"/>
    </row>
    <row r="26" spans="1:21" ht="20.25" thickBot="1" x14ac:dyDescent="0.3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ref="F26" si="3">C26*(E26-D26)</f>
        <v>-183.99999999999926</v>
      </c>
      <c r="G26" s="39">
        <f t="shared" ref="G26" si="4">D26*C26</f>
        <v>12434</v>
      </c>
      <c r="H26" s="222">
        <f t="shared" ref="H26" si="5">(E26-D26)/D26</f>
        <v>-1.4798134148302982E-2</v>
      </c>
      <c r="I26" s="39"/>
      <c r="J26" s="39">
        <v>872.74</v>
      </c>
      <c r="K26" s="39">
        <v>10</v>
      </c>
      <c r="L26" s="39"/>
      <c r="O26" s="855" t="s">
        <v>78</v>
      </c>
      <c r="P26" s="855"/>
    </row>
    <row r="27" spans="1:21" ht="15.75" thickTop="1" x14ac:dyDescent="0.25">
      <c r="A27" s="4"/>
      <c r="B27" s="184">
        <v>43303</v>
      </c>
      <c r="C27" s="7">
        <v>250</v>
      </c>
      <c r="D27" s="43">
        <v>49.735999999999997</v>
      </c>
      <c r="E27" s="39">
        <v>48.8</v>
      </c>
      <c r="F27" s="39">
        <f t="shared" ref="F27" si="6">C27*(E27-D27)</f>
        <v>-234</v>
      </c>
      <c r="G27" s="39">
        <f t="shared" ref="G27" si="7">D27*C27</f>
        <v>12434</v>
      </c>
      <c r="H27" s="222">
        <f t="shared" ref="H27" si="8">(E27-D27)/D27</f>
        <v>-1.881936625382017E-2</v>
      </c>
      <c r="I27" s="39"/>
      <c r="J27" s="39">
        <v>822.74</v>
      </c>
      <c r="K27" s="39">
        <v>9.9589999999999996</v>
      </c>
      <c r="L27" s="39"/>
      <c r="O27" s="81">
        <v>1.1000000000000001</v>
      </c>
      <c r="P27" s="81">
        <f>O27*$Q$4</f>
        <v>53.23989000000001</v>
      </c>
    </row>
    <row r="28" spans="1:21" x14ac:dyDescent="0.25">
      <c r="A28" s="4"/>
      <c r="B28" s="184">
        <v>43311</v>
      </c>
      <c r="C28" s="10">
        <v>150</v>
      </c>
      <c r="D28" s="39">
        <v>49.500500000000002</v>
      </c>
      <c r="E28" s="39">
        <v>50.16</v>
      </c>
      <c r="F28" s="39">
        <f t="shared" ref="F28:F29" si="9">C28*(E28-D28)</f>
        <v>98.92499999999913</v>
      </c>
      <c r="G28" s="39">
        <f t="shared" ref="G28:G29" si="10">D28*C28</f>
        <v>7425.0750000000007</v>
      </c>
      <c r="H28" s="222">
        <f t="shared" ref="H28:H29" si="11">(E28-D28)/D28</f>
        <v>1.3323097746487291E-2</v>
      </c>
      <c r="I28" s="39"/>
      <c r="J28" s="39">
        <v>1156</v>
      </c>
      <c r="K28" s="39">
        <v>10.24</v>
      </c>
      <c r="L28" s="39"/>
      <c r="O28" s="81">
        <v>1.0900000000000001</v>
      </c>
      <c r="P28" s="81">
        <f t="shared" ref="P28:P47" si="12">O28*$Q$4</f>
        <v>52.755891000000005</v>
      </c>
    </row>
    <row r="29" spans="1:21" x14ac:dyDescent="0.25">
      <c r="A29" s="4"/>
      <c r="B29" s="184">
        <v>43320</v>
      </c>
      <c r="C29" s="7">
        <v>250</v>
      </c>
      <c r="D29" s="43">
        <v>49.260300000000001</v>
      </c>
      <c r="E29" s="39">
        <v>48.4</v>
      </c>
      <c r="F29" s="39">
        <f t="shared" si="9"/>
        <v>-215.07500000000056</v>
      </c>
      <c r="G29" s="39">
        <f t="shared" si="10"/>
        <v>12315.075000000001</v>
      </c>
      <c r="H29" s="222">
        <f t="shared" si="11"/>
        <v>-1.7464367858092668E-2</v>
      </c>
      <c r="I29" s="39"/>
      <c r="J29" s="39">
        <v>842</v>
      </c>
      <c r="K29" s="39">
        <v>9.8699999999999992</v>
      </c>
      <c r="L29" s="39"/>
      <c r="O29" s="81">
        <v>1.08</v>
      </c>
      <c r="P29" s="81">
        <f t="shared" si="12"/>
        <v>52.271892000000008</v>
      </c>
    </row>
    <row r="30" spans="1:21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1.07</v>
      </c>
      <c r="P30" s="81">
        <f t="shared" si="12"/>
        <v>51.787893000000004</v>
      </c>
    </row>
    <row r="31" spans="1:21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1.06</v>
      </c>
      <c r="P31" s="81">
        <f t="shared" si="12"/>
        <v>51.303894000000007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1.05</v>
      </c>
      <c r="P32" s="81">
        <f t="shared" si="12"/>
        <v>50.819895000000002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1.04</v>
      </c>
      <c r="P33" s="81">
        <f t="shared" si="12"/>
        <v>50.335896000000005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1.03</v>
      </c>
      <c r="P34" s="81">
        <f t="shared" si="12"/>
        <v>49.851897000000001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1.02</v>
      </c>
      <c r="P35" s="81">
        <f t="shared" si="12"/>
        <v>49.367898000000004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1.01</v>
      </c>
      <c r="P36" s="81">
        <f t="shared" si="12"/>
        <v>48.883899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1</v>
      </c>
      <c r="P37" s="81">
        <f t="shared" si="12"/>
        <v>48.399900000000002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0.99</v>
      </c>
      <c r="P38" s="81">
        <f t="shared" si="12"/>
        <v>47.915901000000005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0.98</v>
      </c>
      <c r="P39" s="81">
        <f t="shared" si="12"/>
        <v>47.431902000000001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0.97</v>
      </c>
      <c r="P40" s="81">
        <f t="shared" si="12"/>
        <v>46.947903000000004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0.96</v>
      </c>
      <c r="P41" s="81">
        <f t="shared" si="12"/>
        <v>46.463903999999999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0.95</v>
      </c>
      <c r="P42" s="81">
        <f t="shared" si="12"/>
        <v>45.979905000000002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0.94</v>
      </c>
      <c r="P43" s="81">
        <f t="shared" si="12"/>
        <v>45.495905999999998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0.93</v>
      </c>
      <c r="P44" s="81">
        <f t="shared" si="12"/>
        <v>45.011907000000008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0.92</v>
      </c>
      <c r="P45" s="81">
        <f t="shared" si="12"/>
        <v>44.527908000000004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0.91</v>
      </c>
      <c r="P46" s="81">
        <f t="shared" si="12"/>
        <v>44.043909000000006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0.9</v>
      </c>
      <c r="P47" s="81">
        <f t="shared" si="12"/>
        <v>43.559910000000002</v>
      </c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13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13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13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13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13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13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13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328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358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391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396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431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71" priority="87">
      <formula>F29&gt;0</formula>
    </cfRule>
    <cfRule type="expression" dxfId="370" priority="88">
      <formula>F29&lt;0</formula>
    </cfRule>
  </conditionalFormatting>
  <conditionalFormatting sqref="F57:F64 F66">
    <cfRule type="expression" dxfId="369" priority="83">
      <formula>F57&gt;0</formula>
    </cfRule>
    <cfRule type="expression" dxfId="368" priority="84">
      <formula>F57&lt;0</formula>
    </cfRule>
  </conditionalFormatting>
  <conditionalFormatting sqref="F57:F64 F66">
    <cfRule type="expression" dxfId="367" priority="85">
      <formula>F57&gt;0</formula>
    </cfRule>
    <cfRule type="expression" dxfId="366" priority="86">
      <formula>F57&lt;0</formula>
    </cfRule>
  </conditionalFormatting>
  <conditionalFormatting sqref="H57:H64 H66">
    <cfRule type="expression" dxfId="365" priority="81">
      <formula>H57&gt;0</formula>
    </cfRule>
    <cfRule type="expression" dxfId="364" priority="82">
      <formula>H57&lt;0</formula>
    </cfRule>
  </conditionalFormatting>
  <conditionalFormatting sqref="Q7">
    <cfRule type="expression" dxfId="363" priority="63">
      <formula>Q7&gt;0</formula>
    </cfRule>
    <cfRule type="expression" dxfId="362" priority="64">
      <formula>Q7&lt;0</formula>
    </cfRule>
  </conditionalFormatting>
  <conditionalFormatting sqref="Q8">
    <cfRule type="expression" dxfId="361" priority="61">
      <formula>Q8&gt;0</formula>
    </cfRule>
    <cfRule type="expression" dxfId="360" priority="62">
      <formula>Q8&lt;0</formula>
    </cfRule>
  </conditionalFormatting>
  <conditionalFormatting sqref="F93:F97 H93:H97 H99:H124 F99:F124">
    <cfRule type="expression" dxfId="359" priority="33">
      <formula>F93&gt;0</formula>
    </cfRule>
    <cfRule type="expression" dxfId="358" priority="34">
      <formula>F93&lt;0</formula>
    </cfRule>
  </conditionalFormatting>
  <conditionalFormatting sqref="F125:F132 F134">
    <cfRule type="expression" dxfId="357" priority="31">
      <formula>F125&gt;0</formula>
    </cfRule>
    <cfRule type="expression" dxfId="356" priority="32">
      <formula>F125&lt;0</formula>
    </cfRule>
  </conditionalFormatting>
  <conditionalFormatting sqref="M67">
    <cfRule type="expression" dxfId="355" priority="43">
      <formula>M67&gt;0</formula>
    </cfRule>
    <cfRule type="expression" dxfId="354" priority="44">
      <formula>M67&lt;0</formula>
    </cfRule>
  </conditionalFormatting>
  <conditionalFormatting sqref="F65">
    <cfRule type="expression" dxfId="353" priority="39">
      <formula>F65&gt;0</formula>
    </cfRule>
    <cfRule type="expression" dxfId="352" priority="40">
      <formula>F65&lt;0</formula>
    </cfRule>
  </conditionalFormatting>
  <conditionalFormatting sqref="F65">
    <cfRule type="expression" dxfId="351" priority="41">
      <formula>F65&gt;0</formula>
    </cfRule>
    <cfRule type="expression" dxfId="350" priority="42">
      <formula>F65&lt;0</formula>
    </cfRule>
  </conditionalFormatting>
  <conditionalFormatting sqref="H65">
    <cfRule type="expression" dxfId="349" priority="37">
      <formula>H65&gt;0</formula>
    </cfRule>
    <cfRule type="expression" dxfId="348" priority="38">
      <formula>H65&lt;0</formula>
    </cfRule>
  </conditionalFormatting>
  <conditionalFormatting sqref="F125:F132 F134">
    <cfRule type="expression" dxfId="347" priority="29">
      <formula>F125&gt;0</formula>
    </cfRule>
    <cfRule type="expression" dxfId="346" priority="30">
      <formula>F125&lt;0</formula>
    </cfRule>
  </conditionalFormatting>
  <conditionalFormatting sqref="H125:H132 H134">
    <cfRule type="expression" dxfId="345" priority="27">
      <formula>H125&gt;0</formula>
    </cfRule>
    <cfRule type="expression" dxfId="344" priority="28">
      <formula>H125&lt;0</formula>
    </cfRule>
  </conditionalFormatting>
  <conditionalFormatting sqref="F92">
    <cfRule type="expression" dxfId="343" priority="25">
      <formula>F92&gt;0</formula>
    </cfRule>
    <cfRule type="expression" dxfId="342" priority="26">
      <formula>F92&lt;0</formula>
    </cfRule>
  </conditionalFormatting>
  <conditionalFormatting sqref="H92">
    <cfRule type="expression" dxfId="341" priority="23">
      <formula>H92&gt;0</formula>
    </cfRule>
    <cfRule type="expression" dxfId="340" priority="24">
      <formula>H92&lt;0</formula>
    </cfRule>
  </conditionalFormatting>
  <conditionalFormatting sqref="F133">
    <cfRule type="expression" dxfId="339" priority="19">
      <formula>F133&gt;0</formula>
    </cfRule>
    <cfRule type="expression" dxfId="338" priority="20">
      <formula>F133&lt;0</formula>
    </cfRule>
  </conditionalFormatting>
  <conditionalFormatting sqref="F133">
    <cfRule type="expression" dxfId="337" priority="21">
      <formula>F133&gt;0</formula>
    </cfRule>
    <cfRule type="expression" dxfId="336" priority="22">
      <formula>F133&lt;0</formula>
    </cfRule>
  </conditionalFormatting>
  <conditionalFormatting sqref="H133">
    <cfRule type="expression" dxfId="335" priority="17">
      <formula>H133&gt;0</formula>
    </cfRule>
    <cfRule type="expression" dxfId="334" priority="18">
      <formula>H133&lt;0</formula>
    </cfRule>
  </conditionalFormatting>
  <conditionalFormatting sqref="F98 H98">
    <cfRule type="expression" dxfId="333" priority="15">
      <formula>F98&gt;0</formula>
    </cfRule>
    <cfRule type="expression" dxfId="332" priority="16">
      <formula>F98&lt;0</formula>
    </cfRule>
  </conditionalFormatting>
  <conditionalFormatting sqref="J25:J66">
    <cfRule type="expression" dxfId="331" priority="13">
      <formula>J25&gt;0</formula>
    </cfRule>
    <cfRule type="expression" dxfId="330" priority="14">
      <formula>J25&lt;0</formula>
    </cfRule>
  </conditionalFormatting>
  <conditionalFormatting sqref="K38:K66">
    <cfRule type="expression" dxfId="329" priority="11">
      <formula>K38&gt;0</formula>
    </cfRule>
    <cfRule type="expression" dxfId="328" priority="12">
      <formula>K38&lt;0</formula>
    </cfRule>
  </conditionalFormatting>
  <conditionalFormatting sqref="L25">
    <cfRule type="expression" dxfId="327" priority="9">
      <formula>L25&gt;0</formula>
    </cfRule>
    <cfRule type="expression" dxfId="326" priority="10">
      <formula>L25&lt;0</formula>
    </cfRule>
  </conditionalFormatting>
  <conditionalFormatting sqref="F25:F28">
    <cfRule type="expression" dxfId="325" priority="7">
      <formula>F25&gt;0</formula>
    </cfRule>
    <cfRule type="expression" dxfId="324" priority="8">
      <formula>F25&lt;0</formula>
    </cfRule>
  </conditionalFormatting>
  <conditionalFormatting sqref="H25:H28">
    <cfRule type="expression" dxfId="323" priority="5">
      <formula>H25&gt;0</formula>
    </cfRule>
    <cfRule type="expression" dxfId="322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7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41.297200000000011</v>
      </c>
      <c r="T3" s="29">
        <v>42565</v>
      </c>
      <c r="U3" t="s">
        <v>229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4"/>
      <c r="M4" s="4"/>
      <c r="O4" s="11" t="s">
        <v>66</v>
      </c>
      <c r="Q4" s="192">
        <v>54.709899999999998</v>
      </c>
      <c r="R4" s="494">
        <v>-1.14E-2</v>
      </c>
      <c r="T4" s="29">
        <v>42568</v>
      </c>
      <c r="U4" t="s">
        <v>238</v>
      </c>
    </row>
    <row r="5" spans="1:21" x14ac:dyDescent="0.25">
      <c r="A5" t="s">
        <v>1192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5470.99</v>
      </c>
      <c r="T5" s="29">
        <v>42592</v>
      </c>
      <c r="U5" t="s">
        <v>256</v>
      </c>
    </row>
    <row r="6" spans="1:21" x14ac:dyDescent="0.25">
      <c r="B6" s="72">
        <v>43279</v>
      </c>
      <c r="C6" s="4">
        <v>50</v>
      </c>
      <c r="D6" s="3">
        <v>49.08</v>
      </c>
      <c r="E6" s="3">
        <v>0</v>
      </c>
      <c r="F6" s="3">
        <f t="shared" si="0"/>
        <v>2454</v>
      </c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4129.7200000000012</v>
      </c>
      <c r="T6" s="29">
        <v>42647</v>
      </c>
      <c r="U6" t="s">
        <v>260</v>
      </c>
    </row>
    <row r="7" spans="1:21" x14ac:dyDescent="0.25">
      <c r="B7" s="72">
        <v>43292</v>
      </c>
      <c r="C7" s="4">
        <v>50</v>
      </c>
      <c r="D7" s="3">
        <v>49.02</v>
      </c>
      <c r="E7" s="3">
        <v>0</v>
      </c>
      <c r="F7" s="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2539.7399999999957</v>
      </c>
      <c r="R7">
        <v>100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1341.2699999999986</v>
      </c>
      <c r="R8" s="411"/>
      <c r="T8" s="29">
        <v>43202</v>
      </c>
      <c r="U8" t="s">
        <v>977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206</v>
      </c>
      <c r="Q9" s="134">
        <f>IF(Q2=0, 0, Q8/Q6)</f>
        <v>0.32478473116821438</v>
      </c>
      <c r="T9" s="29"/>
      <c r="U9" s="475" t="s">
        <v>978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205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2.2299437578939096E-2</v>
      </c>
      <c r="R11">
        <f>0.305</f>
        <v>0.30499999999999999</v>
      </c>
      <c r="T11" s="29">
        <v>43257</v>
      </c>
      <c r="U11" t="s">
        <v>1098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974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 s="2">
        <f>Q4/(5.35+5.7)*2</f>
        <v>9.9022443438914021</v>
      </c>
      <c r="T13" s="29">
        <v>43288</v>
      </c>
      <c r="U13" t="s">
        <v>1152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1154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1153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1155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1156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1157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1176</v>
      </c>
    </row>
    <row r="23" spans="1:21" x14ac:dyDescent="0.25">
      <c r="T23" s="156">
        <v>43298</v>
      </c>
      <c r="U23" t="s">
        <v>1191</v>
      </c>
    </row>
    <row r="24" spans="1:21" x14ac:dyDescent="0.25">
      <c r="T24" s="67"/>
    </row>
    <row r="25" spans="1:21" x14ac:dyDescent="0.25">
      <c r="T25" s="156">
        <v>43307</v>
      </c>
      <c r="U25" t="s">
        <v>1184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350</v>
      </c>
      <c r="D29" s="18"/>
      <c r="E29" s="18"/>
      <c r="F29" s="18">
        <f>SUM(F2:F19)</f>
        <v>17512</v>
      </c>
      <c r="G29" s="14"/>
      <c r="H29" s="71">
        <f>SUM(H2:H28)</f>
        <v>250</v>
      </c>
      <c r="I29" s="18"/>
      <c r="J29" s="18"/>
      <c r="K29" s="18">
        <f>SUM(K2:K28)</f>
        <v>13321.279999999999</v>
      </c>
      <c r="L29" s="14"/>
      <c r="M29" s="18">
        <f>SUM(M2:M28)</f>
        <v>61</v>
      </c>
    </row>
    <row r="30" spans="1:21" ht="15.75" thickBot="1" x14ac:dyDescent="0.3">
      <c r="A30" s="341" t="s">
        <v>193</v>
      </c>
      <c r="B30" s="342"/>
      <c r="C30" s="343">
        <f>SumByColor($A$30,C2:C28)</f>
        <v>250</v>
      </c>
      <c r="D30" s="343"/>
      <c r="E30" s="343"/>
      <c r="F30" s="344">
        <f>SumByColor($A$30,F2:F28)</f>
        <v>12608</v>
      </c>
      <c r="G30" s="343"/>
      <c r="H30" s="343">
        <f>SumByColor($A$30,H2:H28)</f>
        <v>250</v>
      </c>
      <c r="I30" s="343"/>
      <c r="J30" s="343"/>
      <c r="K30" s="344">
        <f>SumByColor($A$30,K2:K28)</f>
        <v>13321</v>
      </c>
      <c r="L30" s="343"/>
      <c r="M30" s="344">
        <f>SumByColor($A$30,M2:M28)</f>
        <v>60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59" t="s">
        <v>78</v>
      </c>
      <c r="P42" s="859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60.180890000000005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59.633791000000002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59.086691999999999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58.539593000000004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57.992494000000001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57.445394999999998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56.898296000000002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56.351196999999999</v>
      </c>
      <c r="Q50" s="2"/>
    </row>
    <row r="51" spans="1:17" x14ac:dyDescent="0.25">
      <c r="A51" t="s">
        <v>1193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55.804097999999996</v>
      </c>
      <c r="Q51" s="2"/>
    </row>
    <row r="52" spans="1:17" x14ac:dyDescent="0.25">
      <c r="A52">
        <v>50</v>
      </c>
      <c r="B52" s="184">
        <v>43316</v>
      </c>
      <c r="C52" s="10">
        <v>100</v>
      </c>
      <c r="D52" s="39">
        <v>41.297199999999997</v>
      </c>
      <c r="E52" s="39">
        <v>54.26</v>
      </c>
      <c r="F52" s="39">
        <f t="shared" ref="F52" si="5">C52*(E52-D52)</f>
        <v>1296.2800000000002</v>
      </c>
      <c r="G52" s="39">
        <f t="shared" ref="G52" si="6">D52*C52</f>
        <v>4129.7199999999993</v>
      </c>
      <c r="H52" s="222">
        <f t="shared" ref="H52" si="7">(E52-D52)/D52</f>
        <v>0.31389053010857887</v>
      </c>
      <c r="I52" s="39"/>
      <c r="J52" s="39">
        <v>2495</v>
      </c>
      <c r="O52" s="81">
        <v>1.01</v>
      </c>
      <c r="P52" s="81">
        <f t="shared" si="4"/>
        <v>55.256999</v>
      </c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O53" s="81">
        <v>1</v>
      </c>
      <c r="P53" s="81">
        <f t="shared" si="4"/>
        <v>54.709899999999998</v>
      </c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4"/>
        <v>54.162800999999995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53.615701999999999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53.068602999999996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52.521503999999993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51.974404999999997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51.427305999999994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50.880206999999999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50.333108000000003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49.786009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49.238909999999997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205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8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8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8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8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8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8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8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8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8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9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8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9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8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9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8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9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9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9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9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10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10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10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10"/>
        <v>-357.95999999999992</v>
      </c>
      <c r="G163" s="251">
        <f t="shared" ref="G163:G212" si="11">D163*C163</f>
        <v>8471.9599999999991</v>
      </c>
      <c r="H163" s="265">
        <f t="shared" ref="H163:H212" si="12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10"/>
        <v>-723.96000000000095</v>
      </c>
      <c r="G164" s="251">
        <f t="shared" si="11"/>
        <v>12456.960000000001</v>
      </c>
      <c r="H164" s="265">
        <f t="shared" si="12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10"/>
        <v>-1033.9599999999991</v>
      </c>
      <c r="G165" s="251">
        <f t="shared" si="11"/>
        <v>16241.960000000001</v>
      </c>
      <c r="H165" s="265">
        <f t="shared" si="12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10"/>
        <v>-773.95999999999958</v>
      </c>
      <c r="G166" s="251">
        <f t="shared" si="11"/>
        <v>16241.960000000001</v>
      </c>
      <c r="H166" s="265">
        <f t="shared" si="12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10"/>
        <v>-687.9499999999972</v>
      </c>
      <c r="G167" s="251">
        <f t="shared" si="11"/>
        <v>19842.949999999997</v>
      </c>
      <c r="H167" s="265">
        <f t="shared" si="12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10"/>
        <v>-2153.5499999999993</v>
      </c>
      <c r="G168" s="251">
        <f t="shared" si="11"/>
        <v>19743.55</v>
      </c>
      <c r="H168" s="265">
        <f t="shared" si="12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10"/>
        <v>-3115.5599999999995</v>
      </c>
      <c r="G169" s="251">
        <f t="shared" si="11"/>
        <v>23131.559999999998</v>
      </c>
      <c r="H169" s="265">
        <f t="shared" si="12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10"/>
        <v>-2329.5599999999977</v>
      </c>
      <c r="G170" s="251">
        <f t="shared" si="11"/>
        <v>23131.559999999998</v>
      </c>
      <c r="H170" s="265">
        <f t="shared" si="12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10"/>
        <v>-1069.559999999997</v>
      </c>
      <c r="G171" s="251">
        <f t="shared" si="11"/>
        <v>23131.559999999998</v>
      </c>
      <c r="H171" s="265">
        <f t="shared" si="12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10"/>
        <v>-1759.5600000000004</v>
      </c>
      <c r="G172" s="251">
        <f t="shared" si="11"/>
        <v>23131.559999999998</v>
      </c>
      <c r="H172" s="265">
        <f t="shared" si="12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10"/>
        <v>-709.5600000000004</v>
      </c>
      <c r="G173" s="251">
        <f t="shared" si="11"/>
        <v>23131.559999999998</v>
      </c>
      <c r="H173" s="265">
        <f t="shared" si="12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10"/>
        <v>-259.56000000000046</v>
      </c>
      <c r="G174" s="251">
        <f t="shared" si="11"/>
        <v>23131.559999999998</v>
      </c>
      <c r="H174" s="265">
        <f t="shared" si="12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10"/>
        <v>907.39999999999907</v>
      </c>
      <c r="G175" s="251">
        <f t="shared" si="11"/>
        <v>19197.600000000002</v>
      </c>
      <c r="H175" s="265">
        <f t="shared" si="12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10"/>
        <v>842.27999999999952</v>
      </c>
      <c r="G176" s="251">
        <f t="shared" si="11"/>
        <v>15149.72</v>
      </c>
      <c r="H176" s="265">
        <f t="shared" si="12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10"/>
        <v>890.28000000000134</v>
      </c>
      <c r="G177" s="251">
        <f t="shared" si="11"/>
        <v>15149.72</v>
      </c>
      <c r="H177" s="265">
        <f t="shared" si="12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10"/>
        <v>1062.2800000000011</v>
      </c>
      <c r="G178" s="251">
        <f t="shared" si="11"/>
        <v>15149.72</v>
      </c>
      <c r="H178" s="265">
        <f t="shared" si="12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10"/>
        <v>1021.2000000000011</v>
      </c>
      <c r="G179" s="251">
        <f t="shared" si="11"/>
        <v>11041.8</v>
      </c>
      <c r="H179" s="265">
        <f t="shared" si="12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10"/>
        <v>511.21000000000231</v>
      </c>
      <c r="G180" s="251">
        <f t="shared" si="11"/>
        <v>12970.789999999999</v>
      </c>
      <c r="H180" s="265">
        <f t="shared" si="12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10"/>
        <v>665.21000000000151</v>
      </c>
      <c r="G181" s="251">
        <f t="shared" si="11"/>
        <v>12970.789999999999</v>
      </c>
      <c r="H181" s="265">
        <f t="shared" si="12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10"/>
        <v>689.71000000000163</v>
      </c>
      <c r="G182" s="251">
        <f t="shared" si="11"/>
        <v>12970.789999999999</v>
      </c>
      <c r="H182" s="265">
        <f t="shared" si="12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10"/>
        <v>916.16999999999962</v>
      </c>
      <c r="G183" s="251">
        <f t="shared" si="11"/>
        <v>10981.83</v>
      </c>
      <c r="H183" s="265">
        <f t="shared" si="12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10"/>
        <v>631.64499999999884</v>
      </c>
      <c r="G184" s="251">
        <f t="shared" si="11"/>
        <v>12930.855000000001</v>
      </c>
      <c r="H184" s="265">
        <f t="shared" si="12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10"/>
        <v>-258.84000000000071</v>
      </c>
      <c r="G185" s="251">
        <f t="shared" si="11"/>
        <v>14814.84</v>
      </c>
      <c r="H185" s="265">
        <f t="shared" si="12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10"/>
        <v>-46.840000000000259</v>
      </c>
      <c r="G186" s="251">
        <f t="shared" si="11"/>
        <v>14814.84</v>
      </c>
      <c r="H186" s="265">
        <f t="shared" si="12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10"/>
        <v>189.15999999999826</v>
      </c>
      <c r="G187" s="251">
        <f t="shared" si="11"/>
        <v>14814.84</v>
      </c>
      <c r="H187" s="265">
        <f t="shared" si="12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10"/>
        <v>13.159999999999172</v>
      </c>
      <c r="G188" s="251">
        <f t="shared" si="11"/>
        <v>14814.84</v>
      </c>
      <c r="H188" s="265">
        <f t="shared" si="12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10"/>
        <v>-106.83999999999969</v>
      </c>
      <c r="G189" s="251">
        <f t="shared" si="11"/>
        <v>14814.84</v>
      </c>
      <c r="H189" s="265">
        <f t="shared" si="12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10"/>
        <v>-170.84000000000117</v>
      </c>
      <c r="G190" s="251">
        <f t="shared" si="11"/>
        <v>14814.84</v>
      </c>
      <c r="H190" s="265">
        <f t="shared" si="12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10"/>
        <v>-138.84000000000185</v>
      </c>
      <c r="G191" s="251">
        <f t="shared" si="11"/>
        <v>14814.84</v>
      </c>
      <c r="H191" s="265">
        <f t="shared" si="12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10"/>
        <v>-106.83999999999969</v>
      </c>
      <c r="G192" s="251">
        <f t="shared" si="11"/>
        <v>14814.84</v>
      </c>
      <c r="H192" s="265">
        <f t="shared" si="12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10"/>
        <v>-226.8400000000014</v>
      </c>
      <c r="G193" s="251">
        <f t="shared" si="11"/>
        <v>14814.84</v>
      </c>
      <c r="H193" s="265">
        <f t="shared" si="12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10"/>
        <v>-194.84000000000208</v>
      </c>
      <c r="G194" s="251">
        <f t="shared" si="11"/>
        <v>14814.84</v>
      </c>
      <c r="H194" s="265">
        <f t="shared" si="12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10"/>
        <v>49.159999999997694</v>
      </c>
      <c r="G195" s="251">
        <f t="shared" si="11"/>
        <v>14814.84</v>
      </c>
      <c r="H195" s="265">
        <f t="shared" si="12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10"/>
        <v>-86.840000000000828</v>
      </c>
      <c r="G196" s="251">
        <f t="shared" si="11"/>
        <v>14814.84</v>
      </c>
      <c r="H196" s="265">
        <f t="shared" si="12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10"/>
        <v>53.159999999999741</v>
      </c>
      <c r="G197" s="251">
        <f t="shared" si="11"/>
        <v>14814.84</v>
      </c>
      <c r="H197" s="265">
        <f t="shared" si="12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10"/>
        <v>134.15999999999997</v>
      </c>
      <c r="G198" s="251">
        <f t="shared" si="11"/>
        <v>14733.84</v>
      </c>
      <c r="H198" s="265">
        <f t="shared" si="12"/>
        <v>9.1055692202440079E-3</v>
      </c>
      <c r="I198" s="251" t="s">
        <v>257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10"/>
        <v>-5.8400000000006003</v>
      </c>
      <c r="G199" s="251">
        <f t="shared" si="11"/>
        <v>14733.84</v>
      </c>
      <c r="H199" s="265">
        <f t="shared" si="12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10"/>
        <v>790.15999999999872</v>
      </c>
      <c r="G200" s="251">
        <f t="shared" si="11"/>
        <v>12824.84</v>
      </c>
      <c r="H200" s="265">
        <f t="shared" si="12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10"/>
        <v>789.18000000000029</v>
      </c>
      <c r="G201" s="251">
        <f t="shared" si="11"/>
        <v>10880.82</v>
      </c>
      <c r="H201" s="265">
        <f t="shared" si="12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10"/>
        <v>798.67499999999939</v>
      </c>
      <c r="G202" s="251">
        <f t="shared" si="11"/>
        <v>8926.3250000000007</v>
      </c>
      <c r="H202" s="265">
        <f t="shared" si="12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10"/>
        <v>511.17499999999973</v>
      </c>
      <c r="G203" s="251">
        <f t="shared" si="11"/>
        <v>8926.3250000000007</v>
      </c>
      <c r="H203" s="265">
        <f t="shared" si="12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10"/>
        <v>683.67499999999916</v>
      </c>
      <c r="G204" s="251">
        <f t="shared" si="11"/>
        <v>8926.3250000000007</v>
      </c>
      <c r="H204" s="265">
        <f t="shared" si="12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10"/>
        <v>353.67499999999905</v>
      </c>
      <c r="G205" s="251">
        <f t="shared" si="11"/>
        <v>8926.3250000000007</v>
      </c>
      <c r="H205" s="265">
        <f t="shared" si="12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10"/>
        <v>266.17500000000052</v>
      </c>
      <c r="G206" s="251">
        <f t="shared" si="11"/>
        <v>8926.3250000000007</v>
      </c>
      <c r="H206" s="265">
        <f t="shared" si="12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10"/>
        <v>466.17499999999978</v>
      </c>
      <c r="G207" s="251">
        <f t="shared" si="11"/>
        <v>8926.3250000000007</v>
      </c>
      <c r="H207" s="265">
        <f t="shared" si="12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10"/>
        <v>586.17499999999905</v>
      </c>
      <c r="G208" s="251">
        <f t="shared" si="11"/>
        <v>8926.3250000000007</v>
      </c>
      <c r="H208" s="265">
        <f t="shared" si="12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10"/>
        <v>698.67499999999973</v>
      </c>
      <c r="G209" s="251">
        <f t="shared" si="11"/>
        <v>8926.3250000000007</v>
      </c>
      <c r="H209" s="265">
        <f t="shared" si="12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10"/>
        <v>768.67499999999995</v>
      </c>
      <c r="G210" s="251">
        <f t="shared" si="11"/>
        <v>8926.3250000000007</v>
      </c>
      <c r="H210" s="265">
        <f t="shared" si="12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10"/>
        <v>583.6749999999995</v>
      </c>
      <c r="G211" s="251">
        <f t="shared" si="11"/>
        <v>8926.3250000000007</v>
      </c>
      <c r="H211" s="265">
        <f t="shared" si="12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10"/>
        <v>876.17499999999995</v>
      </c>
      <c r="G212" s="251">
        <f t="shared" si="11"/>
        <v>8926.3250000000007</v>
      </c>
      <c r="H212" s="265">
        <f t="shared" si="12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21" priority="61">
      <formula>F45&gt;0</formula>
    </cfRule>
    <cfRule type="expression" dxfId="320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19" priority="63">
      <formula>F44&gt;0</formula>
    </cfRule>
    <cfRule type="expression" dxfId="318" priority="64">
      <formula>F44&lt;0</formula>
    </cfRule>
  </conditionalFormatting>
  <conditionalFormatting sqref="F61:F91 F93:F102 F45:F59">
    <cfRule type="expression" dxfId="317" priority="59">
      <formula>F45&gt;0</formula>
    </cfRule>
    <cfRule type="expression" dxfId="316" priority="60">
      <formula>F45&lt;0</formula>
    </cfRule>
  </conditionalFormatting>
  <conditionalFormatting sqref="H61:H91 H93:H102 H43:H59">
    <cfRule type="expression" dxfId="315" priority="57">
      <formula>H43&gt;0</formula>
    </cfRule>
    <cfRule type="expression" dxfId="314" priority="58">
      <formula>H43&lt;0</formula>
    </cfRule>
  </conditionalFormatting>
  <conditionalFormatting sqref="F36:F43">
    <cfRule type="expression" dxfId="313" priority="55">
      <formula>F36&gt;0</formula>
    </cfRule>
    <cfRule type="expression" dxfId="312" priority="56">
      <formula>F36&lt;0</formula>
    </cfRule>
  </conditionalFormatting>
  <conditionalFormatting sqref="H36:H42">
    <cfRule type="expression" dxfId="311" priority="53">
      <formula>H36&gt;0</formula>
    </cfRule>
    <cfRule type="expression" dxfId="310" priority="54">
      <formula>H36&lt;0</formula>
    </cfRule>
  </conditionalFormatting>
  <conditionalFormatting sqref="Q7">
    <cfRule type="expression" dxfId="309" priority="47">
      <formula>Q7&gt;0</formula>
    </cfRule>
    <cfRule type="expression" dxfId="308" priority="48">
      <formula>Q7&lt;0</formula>
    </cfRule>
  </conditionalFormatting>
  <conditionalFormatting sqref="Q8">
    <cfRule type="expression" dxfId="307" priority="45">
      <formula>Q8&gt;0</formula>
    </cfRule>
    <cfRule type="expression" dxfId="306" priority="46">
      <formula>Q8&lt;0</formula>
    </cfRule>
  </conditionalFormatting>
  <conditionalFormatting sqref="Q10">
    <cfRule type="expression" dxfId="305" priority="43">
      <formula>Q10&gt;0</formula>
    </cfRule>
    <cfRule type="expression" dxfId="304" priority="44">
      <formula>Q10&lt;0</formula>
    </cfRule>
  </conditionalFormatting>
  <conditionalFormatting sqref="F60">
    <cfRule type="expression" dxfId="303" priority="41">
      <formula>F60&gt;0</formula>
    </cfRule>
    <cfRule type="expression" dxfId="302" priority="42">
      <formula>F60&lt;0</formula>
    </cfRule>
  </conditionalFormatting>
  <conditionalFormatting sqref="F60">
    <cfRule type="expression" dxfId="301" priority="39">
      <formula>F60&gt;0</formula>
    </cfRule>
    <cfRule type="expression" dxfId="300" priority="40">
      <formula>F60&lt;0</formula>
    </cfRule>
  </conditionalFormatting>
  <conditionalFormatting sqref="H60">
    <cfRule type="expression" dxfId="299" priority="37">
      <formula>H60&gt;0</formula>
    </cfRule>
    <cfRule type="expression" dxfId="298" priority="38">
      <formula>H60&lt;0</formula>
    </cfRule>
  </conditionalFormatting>
  <conditionalFormatting sqref="F92">
    <cfRule type="expression" dxfId="297" priority="35">
      <formula>F92&gt;0</formula>
    </cfRule>
    <cfRule type="expression" dxfId="296" priority="36">
      <formula>F92&lt;0</formula>
    </cfRule>
  </conditionalFormatting>
  <conditionalFormatting sqref="F92">
    <cfRule type="expression" dxfId="295" priority="33">
      <formula>F92&gt;0</formula>
    </cfRule>
    <cfRule type="expression" dxfId="294" priority="34">
      <formula>F92&lt;0</formula>
    </cfRule>
  </conditionalFormatting>
  <conditionalFormatting sqref="H92">
    <cfRule type="expression" dxfId="293" priority="31">
      <formula>H92&gt;0</formula>
    </cfRule>
    <cfRule type="expression" dxfId="292" priority="32">
      <formula>H92&lt;0</formula>
    </cfRule>
  </conditionalFormatting>
  <conditionalFormatting sqref="F169:F183 F185:F215 F217:F226">
    <cfRule type="expression" dxfId="291" priority="27">
      <formula>F169&gt;0</formula>
    </cfRule>
    <cfRule type="expression" dxfId="290" priority="28">
      <formula>F169&lt;0</formula>
    </cfRule>
  </conditionalFormatting>
  <conditionalFormatting sqref="F164:F168">
    <cfRule type="expression" dxfId="289" priority="29">
      <formula>F164&gt;0</formula>
    </cfRule>
    <cfRule type="expression" dxfId="288" priority="30">
      <formula>F164&lt;0</formula>
    </cfRule>
  </conditionalFormatting>
  <conditionalFormatting sqref="F169:F183 F185:F215 F217:F226">
    <cfRule type="expression" dxfId="287" priority="25">
      <formula>F169&gt;0</formula>
    </cfRule>
    <cfRule type="expression" dxfId="286" priority="26">
      <formula>F169&lt;0</formula>
    </cfRule>
  </conditionalFormatting>
  <conditionalFormatting sqref="H164:H183 H185:H215 H217:H226">
    <cfRule type="expression" dxfId="285" priority="23">
      <formula>H164&gt;0</formula>
    </cfRule>
    <cfRule type="expression" dxfId="284" priority="24">
      <formula>H164&lt;0</formula>
    </cfRule>
  </conditionalFormatting>
  <conditionalFormatting sqref="F160:F163">
    <cfRule type="expression" dxfId="283" priority="21">
      <formula>F160&gt;0</formula>
    </cfRule>
    <cfRule type="expression" dxfId="282" priority="22">
      <formula>F160&lt;0</formula>
    </cfRule>
  </conditionalFormatting>
  <conditionalFormatting sqref="H160:H163">
    <cfRule type="expression" dxfId="281" priority="19">
      <formula>H160&gt;0</formula>
    </cfRule>
    <cfRule type="expression" dxfId="280" priority="20">
      <formula>H160&lt;0</formula>
    </cfRule>
  </conditionalFormatting>
  <conditionalFormatting sqref="F184">
    <cfRule type="expression" dxfId="279" priority="17">
      <formula>F184&gt;0</formula>
    </cfRule>
    <cfRule type="expression" dxfId="278" priority="18">
      <formula>F184&lt;0</formula>
    </cfRule>
  </conditionalFormatting>
  <conditionalFormatting sqref="F184">
    <cfRule type="expression" dxfId="277" priority="15">
      <formula>F184&gt;0</formula>
    </cfRule>
    <cfRule type="expression" dxfId="276" priority="16">
      <formula>F184&lt;0</formula>
    </cfRule>
  </conditionalFormatting>
  <conditionalFormatting sqref="H184">
    <cfRule type="expression" dxfId="275" priority="13">
      <formula>H184&gt;0</formula>
    </cfRule>
    <cfRule type="expression" dxfId="274" priority="14">
      <formula>H184&lt;0</formula>
    </cfRule>
  </conditionalFormatting>
  <conditionalFormatting sqref="F216">
    <cfRule type="expression" dxfId="273" priority="11">
      <formula>F216&gt;0</formula>
    </cfRule>
    <cfRule type="expression" dxfId="272" priority="12">
      <formula>F216&lt;0</formula>
    </cfRule>
  </conditionalFormatting>
  <conditionalFormatting sqref="F216">
    <cfRule type="expression" dxfId="271" priority="9">
      <formula>F216&gt;0</formula>
    </cfRule>
    <cfRule type="expression" dxfId="270" priority="10">
      <formula>F216&lt;0</formula>
    </cfRule>
  </conditionalFormatting>
  <conditionalFormatting sqref="H216">
    <cfRule type="expression" dxfId="269" priority="7">
      <formula>H216&gt;0</formula>
    </cfRule>
    <cfRule type="expression" dxfId="268" priority="8">
      <formula>H216&lt;0</formula>
    </cfRule>
  </conditionalFormatting>
  <conditionalFormatting sqref="J38:J39">
    <cfRule type="expression" dxfId="267" priority="5">
      <formula>J38&gt;0</formula>
    </cfRule>
    <cfRule type="expression" dxfId="266" priority="6">
      <formula>J38&lt;0</formula>
    </cfRule>
  </conditionalFormatting>
  <conditionalFormatting sqref="J41:J53">
    <cfRule type="expression" dxfId="265" priority="3">
      <formula>J41&gt;0</formula>
    </cfRule>
    <cfRule type="expression" dxfId="264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5" activePane="bottomLeft" state="frozen"/>
      <selection activeCell="A2" sqref="A2"/>
      <selection pane="bottomLeft" activeCell="J38" sqref="J38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324</v>
      </c>
      <c r="B2" s="434">
        <v>43116</v>
      </c>
      <c r="C2" s="7">
        <v>100</v>
      </c>
      <c r="D2" s="43">
        <v>21.28</v>
      </c>
      <c r="E2" s="43">
        <v>0</v>
      </c>
      <c r="F2" s="43">
        <f t="shared" ref="F2:F7" si="0"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200</v>
      </c>
      <c r="T2" s="1">
        <v>43080</v>
      </c>
      <c r="U2" t="s">
        <v>750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17.246149999999997</v>
      </c>
      <c r="T3" s="1">
        <v>43088</v>
      </c>
      <c r="U3" t="s">
        <v>755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22.479900000000001</v>
      </c>
      <c r="R4" s="475">
        <v>6.7000000000000002E-3</v>
      </c>
      <c r="U4" t="s">
        <v>756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4495.9800000000005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3449.2299999999991</v>
      </c>
    </row>
    <row r="7" spans="1:29" x14ac:dyDescent="0.25">
      <c r="B7" s="474">
        <v>43314</v>
      </c>
      <c r="C7" s="4">
        <v>200</v>
      </c>
      <c r="D7" s="3">
        <v>21.88</v>
      </c>
      <c r="E7" s="3">
        <v>0</v>
      </c>
      <c r="F7" s="3">
        <f t="shared" si="0"/>
        <v>4376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1331.7200000000057</v>
      </c>
      <c r="R7" s="29">
        <v>43346</v>
      </c>
      <c r="T7" s="1">
        <v>43103</v>
      </c>
      <c r="U7" t="s">
        <v>820</v>
      </c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1046.7500000000009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0.30347352887456075</v>
      </c>
      <c r="U9" t="s">
        <v>909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971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925</v>
      </c>
      <c r="T12" s="1">
        <v>43223</v>
      </c>
      <c r="U12" t="s">
        <v>1026</v>
      </c>
    </row>
    <row r="13" spans="1:29" x14ac:dyDescent="0.25">
      <c r="O13" s="11" t="s">
        <v>952</v>
      </c>
      <c r="Q13" s="2">
        <f>Q4/2.45</f>
        <v>9.1754693877551023</v>
      </c>
      <c r="U13" t="s">
        <v>1028</v>
      </c>
    </row>
    <row r="15" spans="1:29" x14ac:dyDescent="0.25">
      <c r="T15" s="1">
        <v>43224</v>
      </c>
      <c r="U15" t="s">
        <v>1032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800</v>
      </c>
      <c r="D17" s="18"/>
      <c r="E17" s="18"/>
      <c r="F17" s="18">
        <f>SUM(F2:F16)</f>
        <v>15597</v>
      </c>
      <c r="G17" s="14"/>
      <c r="H17" s="71">
        <f>SUM(H2:H10)</f>
        <v>600</v>
      </c>
      <c r="I17" s="18"/>
      <c r="J17" s="18"/>
      <c r="K17" s="18">
        <f>SUM(K2:K16)</f>
        <v>12147.77</v>
      </c>
      <c r="L17" s="14"/>
      <c r="M17" s="18">
        <f>SUM(M2:M16)</f>
        <v>0</v>
      </c>
      <c r="O17" s="81">
        <v>1.1000000000000001</v>
      </c>
      <c r="P17" s="81">
        <f>O17*$Q$4</f>
        <v>24.727890000000002</v>
      </c>
      <c r="T17" s="1">
        <v>43235</v>
      </c>
      <c r="U17" t="s">
        <v>1057</v>
      </c>
    </row>
    <row r="18" spans="1:21" ht="15.75" thickBot="1" x14ac:dyDescent="0.3">
      <c r="A18" s="341" t="s">
        <v>193</v>
      </c>
      <c r="B18" s="342"/>
      <c r="C18" s="343">
        <f>SumByColor($A$18,C2:C16)</f>
        <v>600</v>
      </c>
      <c r="D18" s="343"/>
      <c r="E18" s="343"/>
      <c r="F18" s="344">
        <f>SumByColor($A$18,F2:F16)</f>
        <v>11221</v>
      </c>
      <c r="G18" s="343"/>
      <c r="H18" s="343">
        <f>SumByColor($A$18,H2:H16)</f>
        <v>600</v>
      </c>
      <c r="I18" s="343"/>
      <c r="J18" s="343"/>
      <c r="K18" s="344">
        <f>SumByColor($A$18,K3:K16)</f>
        <v>8142</v>
      </c>
      <c r="L18" s="343"/>
      <c r="M18" s="344">
        <f>SumByColor($A$18,M2:M16)</f>
        <v>0</v>
      </c>
      <c r="O18" s="81">
        <v>1.0900000000000001</v>
      </c>
      <c r="P18" s="81">
        <f t="shared" ref="P18:P37" si="1">O18*$Q$4</f>
        <v>24.503091000000001</v>
      </c>
      <c r="U18" t="s">
        <v>1058</v>
      </c>
    </row>
    <row r="19" spans="1:21" x14ac:dyDescent="0.25">
      <c r="O19" s="81">
        <v>1.08</v>
      </c>
      <c r="P19" s="81">
        <f t="shared" si="1"/>
        <v>24.278292000000004</v>
      </c>
    </row>
    <row r="20" spans="1:21" x14ac:dyDescent="0.25">
      <c r="A20" s="182" t="s">
        <v>226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490</v>
      </c>
      <c r="O20" s="81">
        <v>1.07</v>
      </c>
      <c r="P20" s="81">
        <f t="shared" si="1"/>
        <v>24.053493000000003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2">C21*(E21-D21)</f>
        <v>12.999999999999901</v>
      </c>
      <c r="G21" s="39">
        <f t="shared" ref="G21:G27" si="3">D21*C21</f>
        <v>2128</v>
      </c>
      <c r="H21" s="222">
        <f t="shared" ref="H21:H27" si="4">(E21-D21)/D21</f>
        <v>6.1090225563909303E-3</v>
      </c>
      <c r="I21" s="222"/>
      <c r="J21" s="222"/>
      <c r="K21" s="222"/>
      <c r="O21" s="81">
        <v>1.06</v>
      </c>
      <c r="P21" s="81">
        <f t="shared" si="1"/>
        <v>23.828694000000002</v>
      </c>
      <c r="T21" s="156">
        <v>43314</v>
      </c>
      <c r="U21" t="s">
        <v>1216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2"/>
        <v>-71.000000000000085</v>
      </c>
      <c r="G22" s="39">
        <f t="shared" si="3"/>
        <v>2128</v>
      </c>
      <c r="H22" s="222">
        <f t="shared" si="4"/>
        <v>-3.3364661654135375E-2</v>
      </c>
      <c r="I22" s="222"/>
      <c r="J22" s="222"/>
      <c r="K22" s="222"/>
      <c r="O22" s="81">
        <v>1.05</v>
      </c>
      <c r="P22" s="81">
        <f t="shared" si="1"/>
        <v>23.603895000000001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2"/>
        <v>-247.99999999999969</v>
      </c>
      <c r="G23" s="39">
        <f t="shared" si="3"/>
        <v>3976</v>
      </c>
      <c r="H23" s="222">
        <f t="shared" si="4"/>
        <v>-6.2374245472836945E-2</v>
      </c>
      <c r="I23" s="222"/>
      <c r="J23" s="222"/>
      <c r="K23" s="222"/>
      <c r="O23" s="81">
        <v>1.04</v>
      </c>
      <c r="P23" s="81">
        <f t="shared" si="1"/>
        <v>23.379096000000001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2"/>
        <v>203.99999999999991</v>
      </c>
      <c r="G24" s="39">
        <f t="shared" si="3"/>
        <v>3976</v>
      </c>
      <c r="H24" s="222">
        <f t="shared" si="4"/>
        <v>5.1307847082494952E-2</v>
      </c>
      <c r="I24" s="222"/>
      <c r="J24" s="727">
        <v>489</v>
      </c>
      <c r="K24" s="727"/>
      <c r="O24" s="81">
        <v>1.03</v>
      </c>
      <c r="P24" s="81">
        <f t="shared" si="1"/>
        <v>23.154297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2"/>
        <v>-15.990000000000038</v>
      </c>
      <c r="G25" s="39">
        <f t="shared" si="3"/>
        <v>5955.9900000000007</v>
      </c>
      <c r="H25" s="222">
        <f t="shared" si="4"/>
        <v>-2.6846922174147431E-3</v>
      </c>
      <c r="I25" s="223"/>
      <c r="J25" s="727">
        <v>269</v>
      </c>
      <c r="K25" s="727"/>
      <c r="O25" s="81">
        <v>1.02</v>
      </c>
      <c r="P25" s="81">
        <f t="shared" si="1"/>
        <v>22.929498000000002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2"/>
        <v>-141.99000000000055</v>
      </c>
      <c r="G26" s="39">
        <f t="shared" si="3"/>
        <v>5955.9900000000007</v>
      </c>
      <c r="H26" s="222">
        <f t="shared" si="4"/>
        <v>-2.3839865412803002E-2</v>
      </c>
      <c r="I26" s="223"/>
      <c r="J26" s="727">
        <v>143</v>
      </c>
      <c r="K26" s="727"/>
      <c r="O26" s="81">
        <v>1.01</v>
      </c>
      <c r="P26" s="81">
        <f t="shared" si="1"/>
        <v>22.704699000000002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2"/>
        <v>-567.00000000000023</v>
      </c>
      <c r="G27" s="39">
        <f t="shared" si="3"/>
        <v>7731</v>
      </c>
      <c r="H27" s="223">
        <f t="shared" si="4"/>
        <v>-7.3341094295692688E-2</v>
      </c>
      <c r="I27" s="223"/>
      <c r="J27" s="727">
        <v>-282</v>
      </c>
      <c r="K27" s="727"/>
      <c r="O27" s="81">
        <v>1</v>
      </c>
      <c r="P27" s="81">
        <f t="shared" si="1"/>
        <v>22.479900000000001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37" si="5">C28*(E28-D28)</f>
        <v>-982.99999999999977</v>
      </c>
      <c r="G28" s="39">
        <f t="shared" ref="G28:G37" si="6">D28*C28</f>
        <v>7731</v>
      </c>
      <c r="H28" s="223">
        <f t="shared" ref="H28:H37" si="7">(E28-D28)/D28</f>
        <v>-0.12715043332039838</v>
      </c>
      <c r="I28" s="223"/>
      <c r="J28" s="727">
        <v>-698</v>
      </c>
      <c r="K28" s="39">
        <v>36.6</v>
      </c>
      <c r="O28" s="81">
        <v>0.99</v>
      </c>
      <c r="P28" s="81">
        <f t="shared" si="1"/>
        <v>22.255101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5"/>
        <v>-662.99999999999955</v>
      </c>
      <c r="G29" s="39">
        <f t="shared" si="6"/>
        <v>7731</v>
      </c>
      <c r="H29" s="223">
        <f t="shared" si="7"/>
        <v>-8.5758634070624701E-2</v>
      </c>
      <c r="I29" s="223"/>
      <c r="J29" s="727">
        <v>-378</v>
      </c>
      <c r="K29" s="39"/>
      <c r="O29" s="81">
        <v>0.98</v>
      </c>
      <c r="P29" s="81">
        <f t="shared" si="1"/>
        <v>22.030301999999999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5"/>
        <v>280.90000000000043</v>
      </c>
      <c r="G30" s="39">
        <f t="shared" si="6"/>
        <v>3725.1</v>
      </c>
      <c r="H30" s="223">
        <f t="shared" si="7"/>
        <v>7.5407371614184981E-2</v>
      </c>
      <c r="I30" s="223" t="s">
        <v>1029</v>
      </c>
      <c r="J30" s="727">
        <v>566</v>
      </c>
      <c r="K30" s="727"/>
      <c r="O30" s="81">
        <v>0.97</v>
      </c>
      <c r="P30" s="81">
        <f t="shared" si="1"/>
        <v>21.805503000000002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5"/>
        <v>-169.99999999999957</v>
      </c>
      <c r="G31" s="39">
        <f t="shared" si="6"/>
        <v>3726</v>
      </c>
      <c r="H31" s="223">
        <f t="shared" si="7"/>
        <v>-4.5625335480407835E-2</v>
      </c>
      <c r="I31" s="223" t="s">
        <v>1030</v>
      </c>
      <c r="J31" s="727">
        <v>116</v>
      </c>
      <c r="K31" s="727"/>
      <c r="O31" s="81">
        <v>0.96</v>
      </c>
      <c r="P31" s="81">
        <f t="shared" si="1"/>
        <v>21.580704000000001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5"/>
        <v>-83.080000000001064</v>
      </c>
      <c r="G32" s="39">
        <f t="shared" si="6"/>
        <v>7215.08</v>
      </c>
      <c r="H32" s="223">
        <f t="shared" si="7"/>
        <v>-1.1514771838981835E-2</v>
      </c>
      <c r="I32" s="223"/>
      <c r="J32" s="727">
        <v>202</v>
      </c>
      <c r="K32" s="727"/>
      <c r="O32" s="81">
        <v>0.95</v>
      </c>
      <c r="P32" s="81">
        <f t="shared" si="1"/>
        <v>21.355905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5"/>
        <v>-83.180000000000121</v>
      </c>
      <c r="G33" s="39">
        <f t="shared" si="6"/>
        <v>3649.18</v>
      </c>
      <c r="H33" s="223">
        <f t="shared" si="7"/>
        <v>-2.2794161976115217E-2</v>
      </c>
      <c r="I33" s="223"/>
      <c r="J33" s="727">
        <v>202</v>
      </c>
      <c r="K33" s="727"/>
      <c r="O33" s="81">
        <v>0.94</v>
      </c>
      <c r="P33" s="81">
        <f t="shared" si="1"/>
        <v>21.131105999999999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5"/>
        <v>74.000000000000199</v>
      </c>
      <c r="G34" s="39">
        <f t="shared" si="6"/>
        <v>3650</v>
      </c>
      <c r="H34" s="223">
        <f t="shared" si="7"/>
        <v>2.0273972602739779E-2</v>
      </c>
      <c r="I34" s="39"/>
      <c r="J34" s="727">
        <v>360</v>
      </c>
      <c r="K34" s="727"/>
      <c r="O34" s="81">
        <v>0.93</v>
      </c>
      <c r="P34" s="81">
        <f t="shared" si="1"/>
        <v>20.906307000000002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5"/>
        <v>410.00000000000011</v>
      </c>
      <c r="G35" s="39">
        <f t="shared" si="6"/>
        <v>3650</v>
      </c>
      <c r="H35" s="223">
        <f t="shared" si="7"/>
        <v>0.11232876712328771</v>
      </c>
      <c r="I35" s="223"/>
      <c r="J35" s="727">
        <v>696</v>
      </c>
      <c r="K35" s="727"/>
      <c r="O35" s="81">
        <v>0.92</v>
      </c>
      <c r="P35" s="81">
        <f t="shared" si="1"/>
        <v>20.681508000000001</v>
      </c>
    </row>
    <row r="36" spans="1:18" x14ac:dyDescent="0.25">
      <c r="A36" s="10">
        <v>0</v>
      </c>
      <c r="B36" s="184">
        <v>43314</v>
      </c>
      <c r="C36" s="228">
        <v>200</v>
      </c>
      <c r="D36" s="229">
        <v>17.246200000000002</v>
      </c>
      <c r="E36" s="39">
        <v>21.88</v>
      </c>
      <c r="F36" s="39">
        <f t="shared" si="5"/>
        <v>926.75999999999942</v>
      </c>
      <c r="G36" s="39">
        <f t="shared" si="6"/>
        <v>3449.2400000000002</v>
      </c>
      <c r="H36" s="223">
        <f t="shared" si="7"/>
        <v>0.26868527559694289</v>
      </c>
      <c r="I36" s="39"/>
      <c r="J36" s="727">
        <v>1212</v>
      </c>
      <c r="K36" s="727"/>
      <c r="O36" s="81">
        <v>0.91</v>
      </c>
      <c r="P36" s="81">
        <f t="shared" si="1"/>
        <v>20.456709</v>
      </c>
    </row>
    <row r="37" spans="1:18" x14ac:dyDescent="0.25">
      <c r="A37" s="10"/>
      <c r="B37" s="184">
        <v>43316</v>
      </c>
      <c r="C37" s="10">
        <v>200</v>
      </c>
      <c r="D37" s="39">
        <v>17.25</v>
      </c>
      <c r="E37" s="39">
        <v>22.17</v>
      </c>
      <c r="F37" s="39">
        <f t="shared" si="5"/>
        <v>984.00000000000034</v>
      </c>
      <c r="G37" s="39">
        <f t="shared" si="6"/>
        <v>3450</v>
      </c>
      <c r="H37" s="223">
        <f t="shared" si="7"/>
        <v>0.28521739130434792</v>
      </c>
      <c r="I37" s="39"/>
      <c r="J37" s="727">
        <v>1270</v>
      </c>
      <c r="K37" s="727"/>
      <c r="O37" s="81">
        <v>0.9</v>
      </c>
      <c r="P37" s="81">
        <f t="shared" si="1"/>
        <v>20.231910000000003</v>
      </c>
    </row>
    <row r="38" spans="1:18" x14ac:dyDescent="0.25">
      <c r="A38" s="10"/>
      <c r="B38" s="184"/>
      <c r="C38" s="10"/>
      <c r="D38" s="39"/>
      <c r="E38" s="39"/>
      <c r="F38" s="39"/>
      <c r="G38" s="39"/>
      <c r="H38" s="223"/>
      <c r="I38" s="223"/>
      <c r="J38" s="223"/>
      <c r="K38" s="223"/>
    </row>
    <row r="39" spans="1:18" x14ac:dyDescent="0.25">
      <c r="A39" s="10"/>
      <c r="B39" s="184"/>
      <c r="C39" s="10"/>
      <c r="D39" s="39"/>
      <c r="E39" s="39"/>
      <c r="F39" s="39"/>
      <c r="G39" s="39"/>
      <c r="H39" s="223"/>
      <c r="I39" s="193"/>
      <c r="J39" s="193"/>
      <c r="K39" s="193"/>
    </row>
    <row r="40" spans="1:18" x14ac:dyDescent="0.25">
      <c r="A40" s="10"/>
      <c r="B40" s="184"/>
      <c r="C40" s="10"/>
      <c r="D40" s="39"/>
      <c r="E40" s="39"/>
      <c r="F40" s="39"/>
      <c r="G40" s="39"/>
      <c r="H40" s="223"/>
      <c r="I40" s="223"/>
      <c r="J40" s="223"/>
      <c r="K40" s="223"/>
    </row>
    <row r="41" spans="1:18" x14ac:dyDescent="0.25">
      <c r="A41" s="10"/>
      <c r="B41" s="184"/>
      <c r="C41" s="10"/>
      <c r="D41" s="39"/>
      <c r="E41" s="39"/>
      <c r="F41" s="39"/>
      <c r="G41" s="39"/>
      <c r="H41" s="223"/>
      <c r="I41" s="223"/>
      <c r="J41" s="223"/>
      <c r="K41" s="223"/>
      <c r="O41" s="33"/>
      <c r="R41" s="33"/>
    </row>
    <row r="42" spans="1:18" x14ac:dyDescent="0.25">
      <c r="A42" s="10"/>
      <c r="B42" s="184"/>
      <c r="C42" s="10"/>
      <c r="D42" s="39"/>
      <c r="E42" s="39"/>
      <c r="F42" s="39"/>
      <c r="G42" s="39"/>
      <c r="H42" s="223"/>
      <c r="I42" s="223"/>
      <c r="J42" s="223"/>
      <c r="K42" s="223"/>
      <c r="Q42" s="33"/>
      <c r="R42" s="33"/>
    </row>
    <row r="43" spans="1:18" x14ac:dyDescent="0.25">
      <c r="A43" s="10"/>
      <c r="B43" s="184"/>
      <c r="C43" s="10"/>
      <c r="D43" s="39"/>
      <c r="E43" s="39"/>
      <c r="F43" s="39"/>
      <c r="G43" s="39"/>
      <c r="H43" s="223"/>
      <c r="I43" s="223"/>
      <c r="J43" s="223"/>
      <c r="K43" s="223"/>
      <c r="Q43" s="33"/>
      <c r="R43" s="33"/>
    </row>
    <row r="44" spans="1:18" x14ac:dyDescent="0.25">
      <c r="A44" s="10"/>
      <c r="B44" s="184"/>
      <c r="C44" s="10"/>
      <c r="D44" s="39"/>
      <c r="E44" s="39"/>
      <c r="F44" s="39"/>
      <c r="G44" s="39"/>
      <c r="H44" s="223"/>
      <c r="I44" s="223"/>
      <c r="J44" s="223"/>
      <c r="K44" s="223"/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Q55" s="81"/>
    </row>
    <row r="56" spans="1:18" x14ac:dyDescent="0.25">
      <c r="Q56" s="81"/>
    </row>
    <row r="57" spans="1:18" x14ac:dyDescent="0.25">
      <c r="L57" t="s">
        <v>207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324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8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9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8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9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8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9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8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9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8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9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8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9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8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9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8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9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8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9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226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355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0">C87*(E87-D87)</f>
        <v>-53.688000000000216</v>
      </c>
      <c r="G87" s="758">
        <f t="shared" ref="G87:G106" si="11">D87*C87</f>
        <v>2532.8879999999999</v>
      </c>
      <c r="H87" s="759">
        <f t="shared" ref="H87:H106" si="12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0"/>
        <v>-150.49599999999998</v>
      </c>
      <c r="G88" s="758">
        <f t="shared" si="11"/>
        <v>4907.2960000000003</v>
      </c>
      <c r="H88" s="760">
        <f t="shared" si="12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0"/>
        <v>31.056000000000097</v>
      </c>
      <c r="G89" s="758">
        <f t="shared" si="11"/>
        <v>2403.3440000000001</v>
      </c>
      <c r="H89" s="760">
        <f t="shared" si="12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0"/>
        <v>300.49599999999998</v>
      </c>
      <c r="G90" s="758">
        <f t="shared" si="11"/>
        <v>2357.1039999999998</v>
      </c>
      <c r="H90" s="760">
        <f t="shared" si="12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0"/>
        <v>-990.89999999999986</v>
      </c>
      <c r="G91" s="758">
        <f t="shared" si="11"/>
        <v>4085.1</v>
      </c>
      <c r="H91" s="760">
        <f t="shared" si="12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0"/>
        <v>-1311.3</v>
      </c>
      <c r="G92" s="758">
        <f t="shared" si="11"/>
        <v>4085.1</v>
      </c>
      <c r="H92" s="760">
        <f t="shared" si="12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0"/>
        <v>-749.14400000000001</v>
      </c>
      <c r="G93" s="758">
        <f t="shared" si="11"/>
        <v>2229.1440000000002</v>
      </c>
      <c r="H93" s="760">
        <f t="shared" si="12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0"/>
        <v>-925.93800000000033</v>
      </c>
      <c r="G94" s="758">
        <f t="shared" si="11"/>
        <v>3984.1379999999999</v>
      </c>
      <c r="H94" s="760">
        <f t="shared" si="12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0"/>
        <v>-642.77000000000021</v>
      </c>
      <c r="G95" s="758">
        <f t="shared" si="11"/>
        <v>2489.77</v>
      </c>
      <c r="H95" s="760">
        <f t="shared" si="12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0"/>
        <v>-538.16399999999976</v>
      </c>
      <c r="G96" s="758">
        <f t="shared" si="11"/>
        <v>3925.7639999999997</v>
      </c>
      <c r="H96" s="760">
        <f t="shared" si="12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0"/>
        <v>-1031.4000000000001</v>
      </c>
      <c r="G97" s="758">
        <f t="shared" si="11"/>
        <v>3925.7999999999997</v>
      </c>
      <c r="H97" s="760">
        <f t="shared" si="12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0"/>
        <v>-1115.3799999999999</v>
      </c>
      <c r="G98" s="758">
        <f t="shared" si="11"/>
        <v>5505.78</v>
      </c>
      <c r="H98" s="760">
        <f t="shared" si="12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0"/>
        <v>-1434.58</v>
      </c>
      <c r="G99" s="758">
        <f t="shared" si="11"/>
        <v>5505.78</v>
      </c>
      <c r="H99" s="760">
        <f t="shared" si="12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0"/>
        <v>-2289.6000000000008</v>
      </c>
      <c r="G100" s="758">
        <f t="shared" si="11"/>
        <v>7761.6</v>
      </c>
      <c r="H100" s="760">
        <f t="shared" si="12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0"/>
        <v>-1871.0440000000003</v>
      </c>
      <c r="G101" s="758">
        <f t="shared" si="11"/>
        <v>5345.8440000000001</v>
      </c>
      <c r="H101" s="760">
        <f t="shared" si="12"/>
        <v>-0.34999973811431839</v>
      </c>
      <c r="I101" s="761" t="s">
        <v>742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0"/>
        <v>-1072.2600000000004</v>
      </c>
      <c r="G102" s="758">
        <f t="shared" si="11"/>
        <v>4124.26</v>
      </c>
      <c r="H102" s="760">
        <f t="shared" si="12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0"/>
        <v>-912.00000000000045</v>
      </c>
      <c r="G103" s="758">
        <f t="shared" si="11"/>
        <v>4124</v>
      </c>
      <c r="H103" s="760">
        <f t="shared" si="12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0"/>
        <v>-964</v>
      </c>
      <c r="G104" s="758">
        <f t="shared" si="11"/>
        <v>4104</v>
      </c>
      <c r="H104" s="760">
        <f t="shared" si="12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0"/>
        <v>-260.04000000000008</v>
      </c>
      <c r="G105" s="758">
        <f t="shared" si="11"/>
        <v>4104.04</v>
      </c>
      <c r="H105" s="760">
        <f t="shared" si="12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0"/>
        <v>200.9999999999998</v>
      </c>
      <c r="G106" s="758">
        <f t="shared" si="11"/>
        <v>1973</v>
      </c>
      <c r="H106" s="760">
        <f t="shared" si="12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63" priority="109">
      <formula>F27&gt;0</formula>
    </cfRule>
    <cfRule type="expression" dxfId="262" priority="110">
      <formula>F27&lt;0</formula>
    </cfRule>
  </conditionalFormatting>
  <conditionalFormatting sqref="H27:H29">
    <cfRule type="expression" dxfId="261" priority="107">
      <formula>H27&gt;0</formula>
    </cfRule>
    <cfRule type="expression" dxfId="260" priority="108">
      <formula>H27&lt;0</formula>
    </cfRule>
  </conditionalFormatting>
  <conditionalFormatting sqref="H30">
    <cfRule type="expression" dxfId="259" priority="103">
      <formula>H30&gt;0</formula>
    </cfRule>
    <cfRule type="expression" dxfId="258" priority="104">
      <formula>H30&lt;0</formula>
    </cfRule>
  </conditionalFormatting>
  <conditionalFormatting sqref="H31:H35 H38:H55">
    <cfRule type="expression" dxfId="257" priority="101">
      <formula>H31&gt;0</formula>
    </cfRule>
    <cfRule type="expression" dxfId="256" priority="102">
      <formula>H31&lt;0</formula>
    </cfRule>
  </conditionalFormatting>
  <conditionalFormatting sqref="F31">
    <cfRule type="expression" dxfId="255" priority="95">
      <formula>F31&gt;0</formula>
    </cfRule>
    <cfRule type="expression" dxfId="254" priority="96">
      <formula>F31&lt;0</formula>
    </cfRule>
  </conditionalFormatting>
  <conditionalFormatting sqref="I25:I29">
    <cfRule type="expression" dxfId="253" priority="93">
      <formula>I25&gt;0</formula>
    </cfRule>
    <cfRule type="expression" dxfId="252" priority="94">
      <formula>I25&lt;0</formula>
    </cfRule>
  </conditionalFormatting>
  <conditionalFormatting sqref="I30:I33 I35 I38:K38 I40:K55">
    <cfRule type="expression" dxfId="251" priority="87">
      <formula>I30&gt;0</formula>
    </cfRule>
    <cfRule type="expression" dxfId="250" priority="88">
      <formula>I30&lt;0</formula>
    </cfRule>
  </conditionalFormatting>
  <conditionalFormatting sqref="I21:K24">
    <cfRule type="expression" dxfId="249" priority="85">
      <formula>I21&gt;0</formula>
    </cfRule>
    <cfRule type="expression" dxfId="248" priority="86">
      <formula>I21&lt;0</formula>
    </cfRule>
  </conditionalFormatting>
  <conditionalFormatting sqref="F32:F35 F38:F55">
    <cfRule type="expression" dxfId="247" priority="83">
      <formula>F32&gt;0</formula>
    </cfRule>
    <cfRule type="expression" dxfId="246" priority="84">
      <formula>F32&lt;0</formula>
    </cfRule>
  </conditionalFormatting>
  <conditionalFormatting sqref="Q8">
    <cfRule type="expression" dxfId="245" priority="79">
      <formula>Q8&gt;0</formula>
    </cfRule>
    <cfRule type="expression" dxfId="244" priority="80">
      <formula>Q8&lt;0</formula>
    </cfRule>
  </conditionalFormatting>
  <conditionalFormatting sqref="Q7">
    <cfRule type="expression" dxfId="243" priority="81">
      <formula>Q7&gt;0</formula>
    </cfRule>
    <cfRule type="expression" dxfId="242" priority="82">
      <formula>Q7&lt;0</formula>
    </cfRule>
  </conditionalFormatting>
  <conditionalFormatting sqref="F82">
    <cfRule type="expression" dxfId="241" priority="67">
      <formula>F82&gt;0</formula>
    </cfRule>
    <cfRule type="expression" dxfId="240" priority="68">
      <formula>F82&lt;0</formula>
    </cfRule>
  </conditionalFormatting>
  <conditionalFormatting sqref="H82">
    <cfRule type="expression" dxfId="239" priority="65">
      <formula>H82&gt;0</formula>
    </cfRule>
    <cfRule type="expression" dxfId="238" priority="66">
      <formula>H82&lt;0</formula>
    </cfRule>
  </conditionalFormatting>
  <conditionalFormatting sqref="I82">
    <cfRule type="expression" dxfId="237" priority="53">
      <formula>I82&gt;0</formula>
    </cfRule>
    <cfRule type="expression" dxfId="236" priority="54">
      <formula>I82&lt;0</formula>
    </cfRule>
  </conditionalFormatting>
  <conditionalFormatting sqref="F25:F26">
    <cfRule type="expression" dxfId="235" priority="49">
      <formula>F25&gt;0</formula>
    </cfRule>
    <cfRule type="expression" dxfId="234" priority="50">
      <formula>F25&lt;0</formula>
    </cfRule>
  </conditionalFormatting>
  <conditionalFormatting sqref="H25:H26">
    <cfRule type="expression" dxfId="233" priority="47">
      <formula>H25&gt;0</formula>
    </cfRule>
    <cfRule type="expression" dxfId="232" priority="48">
      <formula>H25&lt;0</formula>
    </cfRule>
  </conditionalFormatting>
  <conditionalFormatting sqref="F88:F92">
    <cfRule type="expression" dxfId="231" priority="45">
      <formula>F88&gt;0</formula>
    </cfRule>
    <cfRule type="expression" dxfId="230" priority="46">
      <formula>F88&lt;0</formula>
    </cfRule>
  </conditionalFormatting>
  <conditionalFormatting sqref="H88:H90">
    <cfRule type="expression" dxfId="229" priority="43">
      <formula>H88&gt;0</formula>
    </cfRule>
    <cfRule type="expression" dxfId="228" priority="44">
      <formula>H88&lt;0</formula>
    </cfRule>
  </conditionalFormatting>
  <conditionalFormatting sqref="H91:H92">
    <cfRule type="expression" dxfId="227" priority="41">
      <formula>H91&gt;0</formula>
    </cfRule>
    <cfRule type="expression" dxfId="226" priority="42">
      <formula>H91&lt;0</formula>
    </cfRule>
  </conditionalFormatting>
  <conditionalFormatting sqref="H93:H118">
    <cfRule type="expression" dxfId="225" priority="39">
      <formula>H93&gt;0</formula>
    </cfRule>
    <cfRule type="expression" dxfId="224" priority="40">
      <formula>H93&lt;0</formula>
    </cfRule>
  </conditionalFormatting>
  <conditionalFormatting sqref="F83:F86">
    <cfRule type="expression" dxfId="223" priority="37">
      <formula>F83&gt;0</formula>
    </cfRule>
    <cfRule type="expression" dxfId="222" priority="38">
      <formula>F83&lt;0</formula>
    </cfRule>
  </conditionalFormatting>
  <conditionalFormatting sqref="H83:H86">
    <cfRule type="expression" dxfId="221" priority="35">
      <formula>H83&gt;0</formula>
    </cfRule>
    <cfRule type="expression" dxfId="220" priority="36">
      <formula>H83&lt;0</formula>
    </cfRule>
  </conditionalFormatting>
  <conditionalFormatting sqref="F93">
    <cfRule type="expression" dxfId="219" priority="33">
      <formula>F93&gt;0</formula>
    </cfRule>
    <cfRule type="expression" dxfId="218" priority="34">
      <formula>F93&lt;0</formula>
    </cfRule>
  </conditionalFormatting>
  <conditionalFormatting sqref="I87:I89">
    <cfRule type="expression" dxfId="217" priority="31">
      <formula>I87&gt;0</formula>
    </cfRule>
    <cfRule type="expression" dxfId="216" priority="32">
      <formula>I87&lt;0</formula>
    </cfRule>
  </conditionalFormatting>
  <conditionalFormatting sqref="I90">
    <cfRule type="expression" dxfId="215" priority="29">
      <formula>I90&gt;0</formula>
    </cfRule>
    <cfRule type="expression" dxfId="214" priority="30">
      <formula>I90&lt;0</formula>
    </cfRule>
  </conditionalFormatting>
  <conditionalFormatting sqref="I91">
    <cfRule type="expression" dxfId="213" priority="27">
      <formula>I91&gt;0</formula>
    </cfRule>
    <cfRule type="expression" dxfId="212" priority="28">
      <formula>I91&lt;0</formula>
    </cfRule>
  </conditionalFormatting>
  <conditionalFormatting sqref="I92:I95 I97 I100 I102:I118">
    <cfRule type="expression" dxfId="211" priority="25">
      <formula>I92&gt;0</formula>
    </cfRule>
    <cfRule type="expression" dxfId="210" priority="26">
      <formula>I92&lt;0</formula>
    </cfRule>
  </conditionalFormatting>
  <conditionalFormatting sqref="I83:I86">
    <cfRule type="expression" dxfId="209" priority="23">
      <formula>I83&gt;0</formula>
    </cfRule>
    <cfRule type="expression" dxfId="208" priority="24">
      <formula>I83&lt;0</formula>
    </cfRule>
  </conditionalFormatting>
  <conditionalFormatting sqref="F94:F118">
    <cfRule type="expression" dxfId="207" priority="21">
      <formula>F94&gt;0</formula>
    </cfRule>
    <cfRule type="expression" dxfId="206" priority="22">
      <formula>F94&lt;0</formula>
    </cfRule>
  </conditionalFormatting>
  <conditionalFormatting sqref="F87">
    <cfRule type="expression" dxfId="205" priority="19">
      <formula>F87&gt;0</formula>
    </cfRule>
    <cfRule type="expression" dxfId="204" priority="20">
      <formula>F87&lt;0</formula>
    </cfRule>
  </conditionalFormatting>
  <conditionalFormatting sqref="H87">
    <cfRule type="expression" dxfId="203" priority="17">
      <formula>H87&gt;0</formula>
    </cfRule>
    <cfRule type="expression" dxfId="202" priority="18">
      <formula>H87&lt;0</formula>
    </cfRule>
  </conditionalFormatting>
  <conditionalFormatting sqref="F21:F24">
    <cfRule type="expression" dxfId="201" priority="15">
      <formula>F21&gt;0</formula>
    </cfRule>
    <cfRule type="expression" dxfId="200" priority="16">
      <formula>F21&lt;0</formula>
    </cfRule>
  </conditionalFormatting>
  <conditionalFormatting sqref="H21:H24">
    <cfRule type="expression" dxfId="199" priority="13">
      <formula>H21&gt;0</formula>
    </cfRule>
    <cfRule type="expression" dxfId="198" priority="14">
      <formula>H21&lt;0</formula>
    </cfRule>
  </conditionalFormatting>
  <conditionalFormatting sqref="J25:K27 J30:K35 J28:J29 J37:K37 K36">
    <cfRule type="expression" dxfId="197" priority="11">
      <formula>J25&gt;0</formula>
    </cfRule>
    <cfRule type="expression" dxfId="196" priority="12">
      <formula>J25&lt;0</formula>
    </cfRule>
  </conditionalFormatting>
  <conditionalFormatting sqref="H37">
    <cfRule type="expression" dxfId="195" priority="9">
      <formula>H37&gt;0</formula>
    </cfRule>
    <cfRule type="expression" dxfId="194" priority="10">
      <formula>H37&lt;0</formula>
    </cfRule>
  </conditionalFormatting>
  <conditionalFormatting sqref="F37">
    <cfRule type="expression" dxfId="193" priority="7">
      <formula>F37&gt;0</formula>
    </cfRule>
    <cfRule type="expression" dxfId="192" priority="8">
      <formula>F37&lt;0</formula>
    </cfRule>
  </conditionalFormatting>
  <conditionalFormatting sqref="J36">
    <cfRule type="expression" dxfId="191" priority="5">
      <formula>J36&gt;0</formula>
    </cfRule>
    <cfRule type="expression" dxfId="190" priority="6">
      <formula>J36&lt;0</formula>
    </cfRule>
  </conditionalFormatting>
  <conditionalFormatting sqref="H36">
    <cfRule type="expression" dxfId="189" priority="3">
      <formula>H36&gt;0</formula>
    </cfRule>
    <cfRule type="expression" dxfId="188" priority="4">
      <formula>H36&lt;0</formula>
    </cfRule>
  </conditionalFormatting>
  <conditionalFormatting sqref="F36">
    <cfRule type="expression" dxfId="187" priority="1">
      <formula>F36&gt;0</formula>
    </cfRule>
    <cfRule type="expression" dxfId="186" priority="2">
      <formula>F36&lt;0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114.16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114.16</v>
      </c>
      <c r="R4" s="475">
        <v>1.6000000000000001E-3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59" t="s">
        <v>78</v>
      </c>
      <c r="P40" s="859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125.57600000000001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124.43440000000001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123.2928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122.1512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121.00960000000001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119.86799999999999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118.7264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117.5848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116.4432</v>
      </c>
      <c r="Q49" s="2"/>
      <c r="T49" s="91" t="s">
        <v>103</v>
      </c>
      <c r="U49" s="86" t="s">
        <v>507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115.30159999999999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114.16</v>
      </c>
      <c r="Q51" s="2"/>
      <c r="T51" s="91" t="s">
        <v>104</v>
      </c>
      <c r="U51" s="86" t="s">
        <v>622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113.0184</v>
      </c>
      <c r="Q52" s="2"/>
      <c r="T52" s="91" t="s">
        <v>105</v>
      </c>
      <c r="U52" s="86" t="s">
        <v>623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111.87679999999999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110.73519999999999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109.5936</v>
      </c>
      <c r="T55" s="91" t="s">
        <v>107</v>
      </c>
      <c r="U55" s="86" t="s">
        <v>624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108.452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107.31039999999999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106.1688</v>
      </c>
      <c r="T58" s="91" t="s">
        <v>108</v>
      </c>
      <c r="U58" s="86" t="s">
        <v>524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105.02720000000001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103.8856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102.744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5" priority="15">
      <formula>F25&gt;0</formula>
    </cfRule>
    <cfRule type="expression" dxfId="184" priority="16">
      <formula>F25&lt;0</formula>
    </cfRule>
  </conditionalFormatting>
  <conditionalFormatting sqref="F32:F70">
    <cfRule type="expression" dxfId="183" priority="11">
      <formula>F32&gt;0</formula>
    </cfRule>
    <cfRule type="expression" dxfId="182" priority="12">
      <formula>F32&lt;0</formula>
    </cfRule>
  </conditionalFormatting>
  <conditionalFormatting sqref="F32:F70">
    <cfRule type="expression" dxfId="181" priority="13">
      <formula>F32&gt;0</formula>
    </cfRule>
    <cfRule type="expression" dxfId="180" priority="14">
      <formula>F32&lt;0</formula>
    </cfRule>
  </conditionalFormatting>
  <conditionalFormatting sqref="H25 H30:H70">
    <cfRule type="expression" dxfId="179" priority="9">
      <formula>H25&gt;0</formula>
    </cfRule>
    <cfRule type="expression" dxfId="178" priority="10">
      <formula>H25&lt;0</formula>
    </cfRule>
  </conditionalFormatting>
  <conditionalFormatting sqref="F26:F29">
    <cfRule type="expression" dxfId="177" priority="7">
      <formula>F26&gt;0</formula>
    </cfRule>
    <cfRule type="expression" dxfId="176" priority="8">
      <formula>F26&lt;0</formula>
    </cfRule>
  </conditionalFormatting>
  <conditionalFormatting sqref="H26:H29">
    <cfRule type="expression" dxfId="175" priority="5">
      <formula>H26&gt;0</formula>
    </cfRule>
    <cfRule type="expression" dxfId="174" priority="6">
      <formula>H26&lt;0</formula>
    </cfRule>
  </conditionalFormatting>
  <conditionalFormatting sqref="Q7">
    <cfRule type="expression" dxfId="173" priority="3">
      <formula>Q7&gt;0</formula>
    </cfRule>
    <cfRule type="expression" dxfId="172" priority="4">
      <formula>Q7&lt;0</formula>
    </cfRule>
  </conditionalFormatting>
  <conditionalFormatting sqref="Q8">
    <cfRule type="expression" dxfId="171" priority="1">
      <formula>Q8&gt;0</formula>
    </cfRule>
    <cfRule type="expression" dxfId="17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660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5.24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5.24</v>
      </c>
      <c r="R4" s="475">
        <v>4.5900000000000003E-2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660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206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205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490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59" t="s">
        <v>78</v>
      </c>
      <c r="P40" s="859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5.7640000000000011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5.7116000000000007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5.6592000000000002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290</v>
      </c>
      <c r="J44" s="39"/>
      <c r="K44" s="39"/>
      <c r="O44" s="81">
        <v>1.07</v>
      </c>
      <c r="P44" s="81">
        <f t="shared" si="6"/>
        <v>5.6068000000000007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5.5544000000000002</v>
      </c>
      <c r="Q45" s="2"/>
      <c r="T45" s="91" t="s">
        <v>99</v>
      </c>
      <c r="U45" s="86" t="s">
        <v>625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5.5020000000000007</v>
      </c>
      <c r="Q46" s="2"/>
      <c r="T46" s="91" t="s">
        <v>100</v>
      </c>
      <c r="U46" s="86" t="s">
        <v>626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297</v>
      </c>
      <c r="J47" s="39"/>
      <c r="K47" s="39"/>
      <c r="O47" s="81">
        <v>1.04</v>
      </c>
      <c r="P47" s="81">
        <f t="shared" si="6"/>
        <v>5.4496000000000002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5.3972000000000007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5.3448000000000002</v>
      </c>
      <c r="Q49" s="2"/>
      <c r="T49" s="91" t="s">
        <v>121</v>
      </c>
      <c r="U49" s="86" t="s">
        <v>417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5.2924000000000007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5.24</v>
      </c>
      <c r="Q51" s="2"/>
      <c r="T51" s="91" t="s">
        <v>104</v>
      </c>
      <c r="U51" s="86" t="s">
        <v>627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5.1875999999999998</v>
      </c>
      <c r="Q52" s="2"/>
      <c r="T52" s="91" t="s">
        <v>105</v>
      </c>
      <c r="U52" s="86" t="s">
        <v>512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5.1352000000000002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5.0827999999999998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5.0304000000000002</v>
      </c>
      <c r="T55" s="91" t="s">
        <v>107</v>
      </c>
      <c r="U55" s="86" t="s">
        <v>628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4.9779999999999998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4.9256000000000002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4.8732000000000006</v>
      </c>
      <c r="T58" s="91" t="s">
        <v>108</v>
      </c>
      <c r="U58" s="86" t="s">
        <v>540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4.8208000000000002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4.7684000000000006</v>
      </c>
    </row>
    <row r="61" spans="1:21" x14ac:dyDescent="0.25">
      <c r="A61" t="s">
        <v>341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4.7160000000000002</v>
      </c>
    </row>
    <row r="62" spans="1:21" x14ac:dyDescent="0.25">
      <c r="A62" t="s">
        <v>348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349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390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393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439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442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205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69" priority="25">
      <formula>F34&gt;0</formula>
    </cfRule>
    <cfRule type="expression" dxfId="168" priority="26">
      <formula>F34&lt;0</formula>
    </cfRule>
  </conditionalFormatting>
  <conditionalFormatting sqref="H124:H131">
    <cfRule type="expression" dxfId="167" priority="23">
      <formula>H124&gt;0</formula>
    </cfRule>
    <cfRule type="expression" dxfId="166" priority="24">
      <formula>H124&lt;0</formula>
    </cfRule>
  </conditionalFormatting>
  <conditionalFormatting sqref="H132">
    <cfRule type="expression" dxfId="165" priority="21">
      <formula>H132&gt;0</formula>
    </cfRule>
    <cfRule type="expression" dxfId="164" priority="22">
      <formula>H132&lt;0</formula>
    </cfRule>
  </conditionalFormatting>
  <conditionalFormatting sqref="Q8">
    <cfRule type="expression" dxfId="163" priority="11">
      <formula>Q8&gt;0</formula>
    </cfRule>
    <cfRule type="expression" dxfId="162" priority="12">
      <formula>Q8&lt;0</formula>
    </cfRule>
  </conditionalFormatting>
  <conditionalFormatting sqref="Q7">
    <cfRule type="expression" dxfId="161" priority="13">
      <formula>Q7&gt;0</formula>
    </cfRule>
    <cfRule type="expression" dxfId="160" priority="14">
      <formula>Q7&lt;0</formula>
    </cfRule>
  </conditionalFormatting>
  <conditionalFormatting sqref="F36:F39">
    <cfRule type="expression" dxfId="159" priority="9">
      <formula>F36&gt;0</formula>
    </cfRule>
    <cfRule type="expression" dxfId="158" priority="10">
      <formula>F36&lt;0</formula>
    </cfRule>
  </conditionalFormatting>
  <conditionalFormatting sqref="H36:H39">
    <cfRule type="expression" dxfId="157" priority="7">
      <formula>H36&gt;0</formula>
    </cfRule>
    <cfRule type="expression" dxfId="156" priority="8">
      <formula>H36&lt;0</formula>
    </cfRule>
  </conditionalFormatting>
  <conditionalFormatting sqref="K65:K99">
    <cfRule type="expression" dxfId="155" priority="5">
      <formula>K65&gt;0</formula>
    </cfRule>
    <cfRule type="expression" dxfId="154" priority="6">
      <formula>K65&lt;0</formula>
    </cfRule>
  </conditionalFormatting>
  <conditionalFormatting sqref="K72">
    <cfRule type="expression" dxfId="153" priority="3">
      <formula>K72&gt;0</formula>
    </cfRule>
    <cfRule type="expression" dxfId="152" priority="4">
      <formula>K72&lt;0</formula>
    </cfRule>
  </conditionalFormatting>
  <conditionalFormatting sqref="M69">
    <cfRule type="expression" dxfId="151" priority="1">
      <formula>M69&gt;0</formula>
    </cfRule>
    <cfRule type="expression" dxfId="150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topLeftCell="B1" workbookViewId="0">
      <pane ySplit="1" topLeftCell="A2" activePane="bottomLeft" state="frozen"/>
      <selection activeCell="A2" sqref="A2"/>
      <selection pane="bottomLeft" activeCell="I10" sqref="I10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788</v>
      </c>
      <c r="W2" t="s">
        <v>786</v>
      </c>
      <c r="X2" s="739" t="s">
        <v>770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78.040000000000006</v>
      </c>
      <c r="U3" t="s">
        <v>789</v>
      </c>
      <c r="X3" s="739" t="s">
        <v>771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78.040000000000006</v>
      </c>
      <c r="R4" s="475">
        <v>1.47E-2</v>
      </c>
      <c r="U4" t="s">
        <v>790</v>
      </c>
      <c r="X4" s="739" t="s">
        <v>772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773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797</v>
      </c>
      <c r="AF5" s="738" t="s">
        <v>797</v>
      </c>
      <c r="AG5" s="738" t="s">
        <v>797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800</v>
      </c>
      <c r="X6" s="739" t="s">
        <v>774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775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835</v>
      </c>
      <c r="X8" s="739" t="s">
        <v>787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206</v>
      </c>
      <c r="Q9" s="134">
        <f>IF(Q2=0, 0, Q8/Q6)</f>
        <v>0</v>
      </c>
      <c r="U9" t="s">
        <v>854</v>
      </c>
      <c r="X9" s="739" t="s">
        <v>798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M54</f>
        <v>810.1299999999901</v>
      </c>
      <c r="X10" s="739" t="s">
        <v>799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2.6652998462327011E-2</v>
      </c>
      <c r="R11">
        <f>0.52</f>
        <v>0.52</v>
      </c>
      <c r="T11" s="1">
        <v>43112</v>
      </c>
      <c r="U11" t="s">
        <v>851</v>
      </c>
      <c r="X11" s="739" t="s">
        <v>784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925</v>
      </c>
      <c r="Q12" s="1" t="s">
        <v>1181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>
        <f>Q4/6.46</f>
        <v>12.080495356037153</v>
      </c>
      <c r="T13" s="1">
        <v>43114</v>
      </c>
      <c r="U13" t="s">
        <v>855</v>
      </c>
      <c r="W13" t="s">
        <v>785</v>
      </c>
      <c r="X13" s="739" t="s">
        <v>776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853</v>
      </c>
      <c r="X14" s="739" t="s">
        <v>777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852</v>
      </c>
      <c r="X15" s="739" t="s">
        <v>778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779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870</v>
      </c>
      <c r="X17" s="739" t="s">
        <v>780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886</v>
      </c>
      <c r="X18" s="739" t="s">
        <v>781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856</v>
      </c>
      <c r="X19" s="739" t="s">
        <v>782</v>
      </c>
      <c r="Y19" s="741">
        <v>0.03</v>
      </c>
      <c r="Z19" s="741">
        <v>0.05</v>
      </c>
      <c r="AA19" s="81" t="s">
        <v>797</v>
      </c>
      <c r="AB19" s="2" t="s">
        <v>797</v>
      </c>
      <c r="AC19" s="763" t="s">
        <v>797</v>
      </c>
      <c r="AD19" s="738" t="s">
        <v>797</v>
      </c>
      <c r="AE19" s="738" t="s">
        <v>797</v>
      </c>
      <c r="AF19" s="738">
        <v>0.02</v>
      </c>
      <c r="AG19" s="738" t="s">
        <v>797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783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1020</v>
      </c>
      <c r="X21" s="739" t="s">
        <v>775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1025</v>
      </c>
      <c r="X22" s="739" t="s">
        <v>787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798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799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784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490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59" t="s">
        <v>78</v>
      </c>
      <c r="P42" s="859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85.844000000000008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85.063600000000008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84.283200000000008</v>
      </c>
      <c r="Q45" s="2"/>
      <c r="T45" s="91" t="s">
        <v>99</v>
      </c>
      <c r="U45" s="86" t="s">
        <v>629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83.502800000000008</v>
      </c>
      <c r="Q46" s="2"/>
      <c r="T46" s="91" t="s">
        <v>100</v>
      </c>
      <c r="U46" s="86" t="s">
        <v>630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82.722400000000007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81.942000000000007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81.161600000000007</v>
      </c>
      <c r="Q49" s="2"/>
      <c r="T49" s="91" t="s">
        <v>103</v>
      </c>
      <c r="U49" s="86" t="s">
        <v>541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80.381200000000007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79.600800000000007</v>
      </c>
      <c r="Q51" s="2"/>
      <c r="T51" s="91" t="s">
        <v>104</v>
      </c>
      <c r="U51" s="86" t="s">
        <v>631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78.820400000000006</v>
      </c>
      <c r="Q52" s="2"/>
      <c r="T52" s="91" t="s">
        <v>105</v>
      </c>
      <c r="U52" s="86" t="s">
        <v>407</v>
      </c>
      <c r="V52" s="86"/>
    </row>
    <row r="53" spans="1:22" x14ac:dyDescent="0.25">
      <c r="O53" s="81">
        <v>1</v>
      </c>
      <c r="P53" s="81">
        <f t="shared" si="9"/>
        <v>78.040000000000006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77.259600000000006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76.479200000000006</v>
      </c>
      <c r="Q55" s="2"/>
      <c r="T55" s="91" t="s">
        <v>107</v>
      </c>
      <c r="U55" s="86" t="s">
        <v>632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75.698800000000006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74.918400000000005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74.138000000000005</v>
      </c>
      <c r="T58" s="91" t="s">
        <v>108</v>
      </c>
      <c r="U58" s="86" t="s">
        <v>542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73.357600000000005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72.577200000000005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71.796800000000005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71.016400000000004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70.236000000000004</v>
      </c>
    </row>
    <row r="64" spans="1:22" x14ac:dyDescent="0.25">
      <c r="A64" s="384" t="s">
        <v>208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490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243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299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308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334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353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367</v>
      </c>
      <c r="J182" s="362"/>
      <c r="K182" s="362"/>
      <c r="L182" s="362"/>
    </row>
    <row r="183" spans="1:12" x14ac:dyDescent="0.25">
      <c r="A183" s="362" t="s">
        <v>353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389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334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402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420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423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437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389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688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675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735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745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801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806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832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49" priority="96">
      <formula>F24&gt;0</formula>
    </cfRule>
    <cfRule type="expression" dxfId="148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7" priority="79">
      <formula>F30&gt;0</formula>
    </cfRule>
    <cfRule type="expression" dxfId="146" priority="80">
      <formula>F30&lt;0</formula>
    </cfRule>
  </conditionalFormatting>
  <conditionalFormatting sqref="H43 H30:H33">
    <cfRule type="expression" dxfId="145" priority="77">
      <formula>H30&gt;0</formula>
    </cfRule>
    <cfRule type="expression" dxfId="144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43" priority="59">
      <formula>F115&gt;0</formula>
    </cfRule>
    <cfRule type="expression" dxfId="142" priority="60">
      <formula>F115&lt;0</formula>
    </cfRule>
  </conditionalFormatting>
  <conditionalFormatting sqref="F112:F114">
    <cfRule type="expression" dxfId="141" priority="57">
      <formula>F112&gt;0</formula>
    </cfRule>
    <cfRule type="expression" dxfId="140" priority="58">
      <formula>F112&lt;0</formula>
    </cfRule>
  </conditionalFormatting>
  <conditionalFormatting sqref="H112:I112">
    <cfRule type="expression" dxfId="139" priority="55">
      <formula>H112&gt;0</formula>
    </cfRule>
    <cfRule type="expression" dxfId="138" priority="56">
      <formula>H112&lt;0</formula>
    </cfRule>
  </conditionalFormatting>
  <conditionalFormatting sqref="H113:I113">
    <cfRule type="expression" dxfId="137" priority="53">
      <formula>H113&gt;0</formula>
    </cfRule>
    <cfRule type="expression" dxfId="136" priority="54">
      <formula>H113&lt;0</formula>
    </cfRule>
  </conditionalFormatting>
  <conditionalFormatting sqref="H114:I114">
    <cfRule type="expression" dxfId="135" priority="51">
      <formula>H114&gt;0</formula>
    </cfRule>
    <cfRule type="expression" dxfId="134" priority="52">
      <formula>H114&lt;0</formula>
    </cfRule>
  </conditionalFormatting>
  <conditionalFormatting sqref="F105:F111">
    <cfRule type="expression" dxfId="133" priority="49">
      <formula>F105&gt;0</formula>
    </cfRule>
    <cfRule type="expression" dxfId="132" priority="50">
      <formula>F105&lt;0</formula>
    </cfRule>
  </conditionalFormatting>
  <conditionalFormatting sqref="H105:I111">
    <cfRule type="expression" dxfId="131" priority="47">
      <formula>H105&gt;0</formula>
    </cfRule>
    <cfRule type="expression" dxfId="130" priority="48">
      <formula>H105&lt;0</formula>
    </cfRule>
  </conditionalFormatting>
  <conditionalFormatting sqref="I117 F117:F119">
    <cfRule type="expression" dxfId="129" priority="45">
      <formula>F117&gt;0</formula>
    </cfRule>
    <cfRule type="expression" dxfId="128" priority="46">
      <formula>F117&lt;0</formula>
    </cfRule>
  </conditionalFormatting>
  <conditionalFormatting sqref="F189:F196 H189:H196">
    <cfRule type="expression" dxfId="127" priority="43">
      <formula>F189&gt;0</formula>
    </cfRule>
    <cfRule type="expression" dxfId="126" priority="44">
      <formula>F189&lt;0</formula>
    </cfRule>
  </conditionalFormatting>
  <conditionalFormatting sqref="H202 F202">
    <cfRule type="expression" dxfId="125" priority="41">
      <formula>F202&gt;0</formula>
    </cfRule>
    <cfRule type="expression" dxfId="124" priority="42">
      <formula>F202&lt;0</formula>
    </cfRule>
  </conditionalFormatting>
  <conditionalFormatting sqref="I204">
    <cfRule type="expression" dxfId="123" priority="39">
      <formula>I204&gt;0</formula>
    </cfRule>
    <cfRule type="expression" dxfId="122" priority="40">
      <formula>I204&lt;0</formula>
    </cfRule>
  </conditionalFormatting>
  <conditionalFormatting sqref="H204 F204">
    <cfRule type="expression" dxfId="121" priority="37">
      <formula>F204&gt;0</formula>
    </cfRule>
    <cfRule type="expression" dxfId="120" priority="38">
      <formula>F204&lt;0</formula>
    </cfRule>
  </conditionalFormatting>
  <conditionalFormatting sqref="M54">
    <cfRule type="expression" dxfId="119" priority="35">
      <formula>M54&gt;0</formula>
    </cfRule>
    <cfRule type="expression" dxfId="118" priority="36">
      <formula>M54&lt;0</formula>
    </cfRule>
  </conditionalFormatting>
  <conditionalFormatting sqref="K39:K49">
    <cfRule type="expression" dxfId="117" priority="33">
      <formula>K39&gt;0</formula>
    </cfRule>
    <cfRule type="expression" dxfId="116" priority="34">
      <formula>K39&lt;0</formula>
    </cfRule>
  </conditionalFormatting>
  <conditionalFormatting sqref="Q10">
    <cfRule type="expression" dxfId="115" priority="31">
      <formula>Q10&gt;0</formula>
    </cfRule>
    <cfRule type="expression" dxfId="114" priority="32">
      <formula>Q10&lt;0</formula>
    </cfRule>
  </conditionalFormatting>
  <conditionalFormatting sqref="Z10">
    <cfRule type="expression" dxfId="113" priority="29">
      <formula>Z10&gt;0</formula>
    </cfRule>
    <cfRule type="expression" dxfId="112" priority="30">
      <formula>Z10&lt;0</formula>
    </cfRule>
  </conditionalFormatting>
  <conditionalFormatting sqref="AA10:AE10">
    <cfRule type="expression" dxfId="111" priority="27">
      <formula>AA10&gt;0</formula>
    </cfRule>
    <cfRule type="expression" dxfId="110" priority="28">
      <formula>AA10&lt;0</formula>
    </cfRule>
  </conditionalFormatting>
  <conditionalFormatting sqref="Z24">
    <cfRule type="expression" dxfId="109" priority="25">
      <formula>Z24&gt;0</formula>
    </cfRule>
    <cfRule type="expression" dxfId="108" priority="26">
      <formula>Z24&lt;0</formula>
    </cfRule>
  </conditionalFormatting>
  <conditionalFormatting sqref="AF10:AG10">
    <cfRule type="expression" dxfId="107" priority="17">
      <formula>AF10&gt;0</formula>
    </cfRule>
    <cfRule type="expression" dxfId="106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05" priority="15">
      <formula>F208&gt;0</formula>
    </cfRule>
    <cfRule type="expression" dxfId="104" priority="16">
      <formula>F208&lt;0</formula>
    </cfRule>
  </conditionalFormatting>
  <conditionalFormatting sqref="F220 F207:F210">
    <cfRule type="expression" dxfId="103" priority="13">
      <formula>F207&gt;0</formula>
    </cfRule>
    <cfRule type="expression" dxfId="102" priority="14">
      <formula>F207&lt;0</formula>
    </cfRule>
  </conditionalFormatting>
  <conditionalFormatting sqref="H207:I207 H220 H208:H210">
    <cfRule type="expression" dxfId="101" priority="11">
      <formula>H207&gt;0</formula>
    </cfRule>
    <cfRule type="expression" dxfId="100" priority="12">
      <formula>H207&lt;0</formula>
    </cfRule>
  </conditionalFormatting>
  <conditionalFormatting sqref="K210:K225">
    <cfRule type="expression" dxfId="99" priority="9">
      <formula>K210&gt;0</formula>
    </cfRule>
    <cfRule type="expression" dxfId="98" priority="10">
      <formula>K210&lt;0</formula>
    </cfRule>
  </conditionalFormatting>
  <conditionalFormatting sqref="K31">
    <cfRule type="expression" dxfId="97" priority="7">
      <formula>K31&gt;0</formula>
    </cfRule>
    <cfRule type="expression" dxfId="96" priority="8">
      <formula>K31&lt;0</formula>
    </cfRule>
  </conditionalFormatting>
  <conditionalFormatting sqref="K32:K38">
    <cfRule type="expression" dxfId="95" priority="5">
      <formula>K32&gt;0</formula>
    </cfRule>
    <cfRule type="expression" dxfId="94" priority="6">
      <formula>K32&lt;0</formula>
    </cfRule>
  </conditionalFormatting>
  <conditionalFormatting sqref="Q7">
    <cfRule type="expression" dxfId="93" priority="3">
      <formula>Q7&gt;0</formula>
    </cfRule>
    <cfRule type="expression" dxfId="92" priority="4">
      <formula>Q7&lt;0</formula>
    </cfRule>
  </conditionalFormatting>
  <conditionalFormatting sqref="Q8">
    <cfRule type="expression" dxfId="91" priority="1">
      <formula>Q8&gt;0</formula>
    </cfRule>
    <cfRule type="expression" dxfId="90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80.209999999999994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80.209999999999994</v>
      </c>
      <c r="R4" s="475">
        <v>-1.5E-3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205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205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429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59" t="s">
        <v>78</v>
      </c>
      <c r="P42" s="859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88.230999999999995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87.428899999999999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86.626800000000003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85.824699999999993</v>
      </c>
      <c r="Q46" s="81"/>
      <c r="T46" s="91" t="s">
        <v>100</v>
      </c>
      <c r="U46" s="86" t="s">
        <v>633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85.022599999999997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84.220500000000001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83.418399999999991</v>
      </c>
      <c r="Q49" s="81"/>
      <c r="T49" s="91" t="s">
        <v>121</v>
      </c>
      <c r="U49" s="86" t="s">
        <v>351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82.616299999999995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81.8142</v>
      </c>
      <c r="Q51" s="81"/>
      <c r="T51" s="91" t="s">
        <v>104</v>
      </c>
      <c r="U51" s="86" t="s">
        <v>634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81.01209999999999</v>
      </c>
      <c r="Q52" s="81"/>
      <c r="T52" s="91" t="s">
        <v>105</v>
      </c>
      <c r="U52" s="86" t="s">
        <v>635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80.209999999999994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79.407899999999998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78.605799999999988</v>
      </c>
      <c r="Q55" s="81"/>
      <c r="T55" s="91" t="s">
        <v>107</v>
      </c>
      <c r="U55" s="86" t="s">
        <v>636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77.803699999999992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77.001599999999996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76.199499999999986</v>
      </c>
      <c r="Q58" s="81"/>
      <c r="T58" s="91" t="s">
        <v>108</v>
      </c>
      <c r="U58" s="86" t="s">
        <v>517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75.39739999999999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74.595299999999995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73.793199999999999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72.991100000000003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72.188999999999993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89" priority="5">
      <formula>F21&gt;0</formula>
    </cfRule>
    <cfRule type="expression" dxfId="88" priority="6">
      <formula>F21&lt;0</formula>
    </cfRule>
  </conditionalFormatting>
  <conditionalFormatting sqref="Q8">
    <cfRule type="expression" dxfId="87" priority="1">
      <formula>Q8&gt;0</formula>
    </cfRule>
    <cfRule type="expression" dxfId="86" priority="2">
      <formula>Q8&lt;0</formula>
    </cfRule>
  </conditionalFormatting>
  <conditionalFormatting sqref="Q7">
    <cfRule type="expression" dxfId="85" priority="3">
      <formula>Q7&gt;0</formula>
    </cfRule>
    <cfRule type="expression" dxfId="8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C24-H24</f>
        <v>300</v>
      </c>
      <c r="U2" s="118"/>
      <c r="V2" t="s">
        <v>1255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(F24-K24-M24)/Q2)</f>
        <v>48.274866666666668</v>
      </c>
      <c r="V3" t="s">
        <v>1173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1" si="1">H4*I4-J4</f>
        <v>5204.88</v>
      </c>
      <c r="L4" s="72">
        <v>42856</v>
      </c>
      <c r="M4" s="43">
        <v>36</v>
      </c>
      <c r="O4" s="11" t="s">
        <v>66</v>
      </c>
      <c r="Q4" s="54">
        <v>45.179900000000004</v>
      </c>
      <c r="R4" s="475">
        <v>-2E-3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13553.970000000001</v>
      </c>
      <c r="U5" s="83">
        <v>43180</v>
      </c>
      <c r="V5" t="s">
        <v>967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14482.460000000001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-878.53999999999814</v>
      </c>
      <c r="R7">
        <v>150</v>
      </c>
    </row>
    <row r="8" spans="1:22" x14ac:dyDescent="0.25">
      <c r="B8" s="434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K24+M24-F24+Q2*Q4</f>
        <v>-928.48999999999796</v>
      </c>
      <c r="U8" s="856">
        <v>43292</v>
      </c>
      <c r="V8" t="s">
        <v>1172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206</v>
      </c>
      <c r="Q9" s="222">
        <f>IF(Q2=0, 0, Q8/Q6)</f>
        <v>-6.4111345724414084E-2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205</v>
      </c>
      <c r="P10" s="33"/>
      <c r="Q10" s="2">
        <f>M81</f>
        <v>49.949999999999818</v>
      </c>
      <c r="U10" s="83">
        <v>43320</v>
      </c>
      <c r="V10" t="s">
        <v>1247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176"/>
      <c r="I11" s="3"/>
      <c r="J11" s="3"/>
      <c r="K11" s="3"/>
      <c r="O11" s="11" t="s">
        <v>176</v>
      </c>
      <c r="P11" s="33"/>
      <c r="Q11" s="134">
        <f>R11*4/Q4</f>
        <v>4.3382123466408733E-2</v>
      </c>
      <c r="R11">
        <v>0.49</v>
      </c>
      <c r="V11" t="s">
        <v>1246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18" si="2">C12*D12+E12</f>
        <v>1255</v>
      </c>
      <c r="H12" s="70"/>
      <c r="O12" s="11" t="s">
        <v>925</v>
      </c>
      <c r="Q12" s="1" t="s">
        <v>1245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H13" s="70"/>
      <c r="O13" s="11" t="s">
        <v>952</v>
      </c>
      <c r="Q13" s="2">
        <f>Q4/3.02</f>
        <v>14.96023178807947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 t="shared" si="2"/>
        <v>3012</v>
      </c>
      <c r="H14" s="70"/>
      <c r="O14" s="11" t="s">
        <v>1039</v>
      </c>
      <c r="Q14" s="1">
        <v>43320</v>
      </c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 t="shared" si="2"/>
        <v>2280</v>
      </c>
      <c r="H15" s="70"/>
    </row>
    <row r="16" spans="1:22" x14ac:dyDescent="0.25">
      <c r="B16" s="72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474">
        <v>43299</v>
      </c>
      <c r="C17" s="4">
        <v>50</v>
      </c>
      <c r="D17" s="3">
        <v>43.48</v>
      </c>
      <c r="E17" s="3">
        <v>0</v>
      </c>
      <c r="F17" s="3">
        <f t="shared" si="2"/>
        <v>2174</v>
      </c>
      <c r="H17" s="70"/>
      <c r="O17" s="859" t="s">
        <v>78</v>
      </c>
      <c r="P17" s="859"/>
    </row>
    <row r="18" spans="1:16" ht="15.75" thickTop="1" x14ac:dyDescent="0.25">
      <c r="B18" s="474">
        <v>43320</v>
      </c>
      <c r="C18" s="4">
        <v>100</v>
      </c>
      <c r="D18" s="3">
        <v>45.29</v>
      </c>
      <c r="E18" s="3">
        <v>0</v>
      </c>
      <c r="F18" s="3">
        <f t="shared" si="2"/>
        <v>4529</v>
      </c>
      <c r="H18" s="70"/>
      <c r="O18" s="81">
        <v>1.1000000000000001</v>
      </c>
      <c r="P18" s="81">
        <f>O18*$Q$4</f>
        <v>49.697890000000008</v>
      </c>
    </row>
    <row r="19" spans="1:16" x14ac:dyDescent="0.25">
      <c r="H19" s="70"/>
      <c r="O19" s="81">
        <v>1.0900000000000001</v>
      </c>
      <c r="P19" s="81">
        <f t="shared" ref="P19:P38" si="3">O19*$Q$4</f>
        <v>49.246091000000007</v>
      </c>
    </row>
    <row r="20" spans="1:16" x14ac:dyDescent="0.25">
      <c r="H20" s="70"/>
      <c r="O20" s="81">
        <v>1.08</v>
      </c>
      <c r="P20" s="81">
        <f t="shared" si="3"/>
        <v>48.794292000000006</v>
      </c>
    </row>
    <row r="21" spans="1:16" x14ac:dyDescent="0.25">
      <c r="C21" s="4"/>
      <c r="D21" s="3"/>
      <c r="E21" s="3"/>
      <c r="F21" s="3"/>
      <c r="H21" s="70"/>
      <c r="O21" s="81">
        <v>1.07</v>
      </c>
      <c r="P21" s="81">
        <f t="shared" si="3"/>
        <v>48.342493000000005</v>
      </c>
    </row>
    <row r="22" spans="1:16" x14ac:dyDescent="0.25">
      <c r="H22" s="70"/>
      <c r="O22" s="81">
        <v>1.06</v>
      </c>
      <c r="P22" s="81">
        <f t="shared" si="3"/>
        <v>47.890694000000003</v>
      </c>
    </row>
    <row r="23" spans="1:16" x14ac:dyDescent="0.25">
      <c r="H23" s="70"/>
      <c r="O23" s="81">
        <v>1.05</v>
      </c>
      <c r="P23" s="81">
        <f t="shared" si="3"/>
        <v>47.438895000000002</v>
      </c>
    </row>
    <row r="24" spans="1:16" x14ac:dyDescent="0.25">
      <c r="A24" s="21" t="s">
        <v>81</v>
      </c>
      <c r="B24" s="12"/>
      <c r="C24" s="12">
        <f>SUM(C2:C23)</f>
        <v>790</v>
      </c>
      <c r="D24" s="13"/>
      <c r="E24" s="13"/>
      <c r="F24" s="13">
        <f>SUM(F2:F23)</f>
        <v>41913.79</v>
      </c>
      <c r="G24" s="12"/>
      <c r="H24" s="12">
        <f>SUM(H2:H23)</f>
        <v>490</v>
      </c>
      <c r="I24" s="12"/>
      <c r="J24" s="12"/>
      <c r="K24" s="13">
        <f>SUM(K2:K23)</f>
        <v>26986.93</v>
      </c>
      <c r="L24" s="12"/>
      <c r="M24" s="13">
        <f>SUM(M2:M23)</f>
        <v>444.4</v>
      </c>
      <c r="O24" s="81">
        <v>1.04</v>
      </c>
      <c r="P24" s="81">
        <f t="shared" si="3"/>
        <v>46.987096000000008</v>
      </c>
    </row>
    <row r="25" spans="1:16" ht="15.75" thickBot="1" x14ac:dyDescent="0.3">
      <c r="A25" s="341" t="s">
        <v>193</v>
      </c>
      <c r="B25" s="479"/>
      <c r="C25" s="343">
        <f>SumByColor($A$25, C2:C23 )</f>
        <v>490</v>
      </c>
      <c r="D25" s="343"/>
      <c r="E25" s="343"/>
      <c r="F25" s="344">
        <f>SumByColor($A$25, F2:F23 )</f>
        <v>26814</v>
      </c>
      <c r="G25" s="343"/>
      <c r="H25" s="343">
        <f>SumByColor($A$25, H2:H23 )</f>
        <v>490</v>
      </c>
      <c r="I25" s="343"/>
      <c r="J25" s="343"/>
      <c r="K25" s="344">
        <f>SumByColor($A$25, K2:K23 )</f>
        <v>26988</v>
      </c>
      <c r="L25" s="343"/>
      <c r="M25" s="344">
        <f>SumByColor($A$25, M2:M23 )</f>
        <v>444</v>
      </c>
      <c r="O25" s="81">
        <v>1.03</v>
      </c>
      <c r="P25" s="81">
        <f t="shared" si="3"/>
        <v>46.535297000000007</v>
      </c>
    </row>
    <row r="26" spans="1:16" x14ac:dyDescent="0.25">
      <c r="O26" s="81">
        <v>1.02</v>
      </c>
      <c r="P26" s="81">
        <f t="shared" si="3"/>
        <v>46.083498000000006</v>
      </c>
    </row>
    <row r="27" spans="1:16" x14ac:dyDescent="0.25">
      <c r="B27" s="182" t="s">
        <v>113</v>
      </c>
      <c r="C27" s="182" t="s">
        <v>146</v>
      </c>
      <c r="D27" s="183" t="s">
        <v>145</v>
      </c>
      <c r="E27" s="185" t="s">
        <v>147</v>
      </c>
      <c r="F27" s="185" t="s">
        <v>65</v>
      </c>
      <c r="G27" s="220" t="s">
        <v>151</v>
      </c>
      <c r="H27" s="220" t="s">
        <v>88</v>
      </c>
      <c r="I27" s="220" t="s">
        <v>154</v>
      </c>
      <c r="J27" s="220" t="s">
        <v>150</v>
      </c>
      <c r="K27" s="220" t="s">
        <v>490</v>
      </c>
      <c r="L27" s="220" t="s">
        <v>952</v>
      </c>
      <c r="O27" s="81">
        <v>1.01</v>
      </c>
      <c r="P27" s="81">
        <f t="shared" si="3"/>
        <v>45.631699000000005</v>
      </c>
    </row>
    <row r="28" spans="1:16" x14ac:dyDescent="0.25">
      <c r="B28" s="184">
        <v>42622</v>
      </c>
      <c r="C28" s="10">
        <v>25</v>
      </c>
      <c r="D28" s="39">
        <v>66.959999999999994</v>
      </c>
      <c r="E28" s="39">
        <v>65.05</v>
      </c>
      <c r="F28" s="39">
        <f t="shared" ref="F28:F35" si="4">C28*(E28-D28)</f>
        <v>-47.749999999999915</v>
      </c>
      <c r="G28" s="39">
        <f t="shared" ref="G28:G35" si="5">D28*C28</f>
        <v>1673.9999999999998</v>
      </c>
      <c r="H28" s="222">
        <f t="shared" ref="H28:H35" si="6">(E28-D28)/D28</f>
        <v>-2.8524492234169606E-2</v>
      </c>
      <c r="I28" s="39"/>
      <c r="J28" s="39"/>
      <c r="K28" s="39"/>
      <c r="L28" s="39"/>
      <c r="O28" s="81">
        <v>1</v>
      </c>
      <c r="P28" s="81">
        <f t="shared" si="3"/>
        <v>45.179900000000004</v>
      </c>
    </row>
    <row r="29" spans="1:16" x14ac:dyDescent="0.25">
      <c r="B29" s="184">
        <v>42634</v>
      </c>
      <c r="C29" s="10">
        <v>25</v>
      </c>
      <c r="D29" s="39">
        <v>66.959999999999994</v>
      </c>
      <c r="E29" s="39">
        <v>65.260000000000005</v>
      </c>
      <c r="F29" s="39">
        <f t="shared" si="4"/>
        <v>-42.499999999999716</v>
      </c>
      <c r="G29" s="39">
        <f t="shared" si="5"/>
        <v>1673.9999999999998</v>
      </c>
      <c r="H29" s="222">
        <f t="shared" si="6"/>
        <v>-2.5388291517323608E-2</v>
      </c>
      <c r="I29" s="39"/>
      <c r="J29" s="39"/>
      <c r="K29" s="39"/>
      <c r="L29" s="39"/>
      <c r="O29" s="81">
        <v>0.99</v>
      </c>
      <c r="P29" s="81">
        <f t="shared" si="3"/>
        <v>44.728101000000002</v>
      </c>
    </row>
    <row r="30" spans="1:16" x14ac:dyDescent="0.25">
      <c r="B30" s="184">
        <v>42638</v>
      </c>
      <c r="C30" s="10">
        <v>25</v>
      </c>
      <c r="D30" s="39">
        <v>66.959999999999994</v>
      </c>
      <c r="E30" s="39">
        <v>64.650000000000006</v>
      </c>
      <c r="F30" s="39">
        <f t="shared" si="4"/>
        <v>-57.749999999999702</v>
      </c>
      <c r="G30" s="39">
        <f t="shared" si="5"/>
        <v>1673.9999999999998</v>
      </c>
      <c r="H30" s="222">
        <f t="shared" si="6"/>
        <v>-3.4498207885304485E-2</v>
      </c>
      <c r="I30" s="39"/>
      <c r="J30" s="39"/>
      <c r="K30" s="39"/>
      <c r="L30" s="39"/>
      <c r="O30" s="81">
        <v>0.98</v>
      </c>
      <c r="P30" s="81">
        <f t="shared" si="3"/>
        <v>44.276302000000001</v>
      </c>
    </row>
    <row r="31" spans="1:16" x14ac:dyDescent="0.25">
      <c r="B31" s="184">
        <v>42639</v>
      </c>
      <c r="C31" s="10">
        <v>25</v>
      </c>
      <c r="D31" s="39">
        <v>66.959999999999994</v>
      </c>
      <c r="E31" s="39">
        <v>63.9</v>
      </c>
      <c r="F31" s="39">
        <f t="shared" si="4"/>
        <v>-76.499999999999886</v>
      </c>
      <c r="G31" s="39">
        <f t="shared" si="5"/>
        <v>1673.9999999999998</v>
      </c>
      <c r="H31" s="222">
        <f t="shared" si="6"/>
        <v>-4.5698924731182727E-2</v>
      </c>
      <c r="I31" s="39"/>
      <c r="J31" s="39"/>
      <c r="K31" s="39"/>
      <c r="L31" s="39"/>
      <c r="O31" s="81">
        <v>0.97</v>
      </c>
      <c r="P31" s="81">
        <f t="shared" si="3"/>
        <v>43.824503</v>
      </c>
    </row>
    <row r="32" spans="1:16" x14ac:dyDescent="0.25">
      <c r="B32" s="184">
        <v>42647</v>
      </c>
      <c r="C32" s="10">
        <v>25</v>
      </c>
      <c r="D32" s="39">
        <v>66.959999999999994</v>
      </c>
      <c r="E32" s="39">
        <v>63.05</v>
      </c>
      <c r="F32" s="39">
        <f t="shared" si="4"/>
        <v>-97.749999999999915</v>
      </c>
      <c r="G32" s="39">
        <f t="shared" si="5"/>
        <v>1673.9999999999998</v>
      </c>
      <c r="H32" s="222">
        <f t="shared" si="6"/>
        <v>-5.8393070489844635E-2</v>
      </c>
      <c r="I32" s="39"/>
      <c r="J32" s="39"/>
      <c r="K32" s="39"/>
      <c r="L32" s="39"/>
      <c r="O32" s="81">
        <v>0.96</v>
      </c>
      <c r="P32" s="81">
        <f t="shared" si="3"/>
        <v>43.372703999999999</v>
      </c>
    </row>
    <row r="33" spans="1:17" x14ac:dyDescent="0.25">
      <c r="B33" s="184">
        <v>42648</v>
      </c>
      <c r="C33" s="10">
        <v>25</v>
      </c>
      <c r="D33" s="39">
        <v>66.959999999999994</v>
      </c>
      <c r="E33" s="39">
        <v>63.05</v>
      </c>
      <c r="F33" s="39">
        <f t="shared" si="4"/>
        <v>-97.749999999999915</v>
      </c>
      <c r="G33" s="39">
        <f t="shared" si="5"/>
        <v>1673.9999999999998</v>
      </c>
      <c r="H33" s="222">
        <f t="shared" si="6"/>
        <v>-5.8393070489844635E-2</v>
      </c>
      <c r="I33" s="39"/>
      <c r="J33" s="39"/>
      <c r="K33" s="39"/>
      <c r="L33" s="39"/>
      <c r="O33" s="81">
        <v>0.95</v>
      </c>
      <c r="P33" s="81">
        <f t="shared" si="3"/>
        <v>42.920905000000005</v>
      </c>
    </row>
    <row r="34" spans="1:17" x14ac:dyDescent="0.25">
      <c r="B34" s="184">
        <v>42651</v>
      </c>
      <c r="C34" s="10">
        <v>25</v>
      </c>
      <c r="D34" s="39">
        <v>66.959999999999994</v>
      </c>
      <c r="E34" s="39">
        <v>62.13</v>
      </c>
      <c r="F34" s="39">
        <f t="shared" si="4"/>
        <v>-120.74999999999977</v>
      </c>
      <c r="G34" s="39">
        <f t="shared" si="5"/>
        <v>1673.9999999999998</v>
      </c>
      <c r="H34" s="222">
        <f t="shared" si="6"/>
        <v>-7.2132616487455073E-2</v>
      </c>
      <c r="I34" s="39"/>
      <c r="J34" s="39"/>
      <c r="K34" s="39"/>
      <c r="L34" s="39"/>
      <c r="O34" s="81">
        <v>0.94</v>
      </c>
      <c r="P34" s="81">
        <f t="shared" si="3"/>
        <v>42.469106000000004</v>
      </c>
    </row>
    <row r="35" spans="1:17" x14ac:dyDescent="0.25">
      <c r="B35" s="184">
        <v>42663</v>
      </c>
      <c r="C35" s="10">
        <v>50</v>
      </c>
      <c r="D35" s="39">
        <v>63.97</v>
      </c>
      <c r="E35" s="39">
        <v>61</v>
      </c>
      <c r="F35" s="39">
        <f t="shared" si="4"/>
        <v>-148.49999999999994</v>
      </c>
      <c r="G35" s="39">
        <f t="shared" si="5"/>
        <v>3198.5</v>
      </c>
      <c r="H35" s="222">
        <f t="shared" si="6"/>
        <v>-4.6428013131155209E-2</v>
      </c>
      <c r="I35" s="39"/>
      <c r="J35" s="39"/>
      <c r="K35" s="39"/>
      <c r="L35" s="39"/>
      <c r="O35" s="81">
        <v>0.93</v>
      </c>
      <c r="P35" s="81">
        <f t="shared" si="3"/>
        <v>42.017307000000002</v>
      </c>
    </row>
    <row r="36" spans="1:17" x14ac:dyDescent="0.25">
      <c r="B36" s="184">
        <v>42701</v>
      </c>
      <c r="C36" s="10">
        <v>50</v>
      </c>
      <c r="D36" s="39">
        <v>63.73</v>
      </c>
      <c r="E36" s="39">
        <v>62.3</v>
      </c>
      <c r="F36" s="39">
        <f t="shared" ref="F36:F41" si="7">C36*(E36-D36)</f>
        <v>-71.499999999999986</v>
      </c>
      <c r="G36" s="39">
        <f t="shared" ref="G36:G41" si="8">D36*C36</f>
        <v>3186.5</v>
      </c>
      <c r="H36" s="222">
        <f t="shared" ref="H36:H41" si="9">(E36-D36)/D36</f>
        <v>-2.2438412050839476E-2</v>
      </c>
      <c r="I36" s="39"/>
      <c r="J36" s="39"/>
      <c r="K36" s="39"/>
      <c r="L36" s="39"/>
      <c r="O36" s="81">
        <v>0.92</v>
      </c>
      <c r="P36" s="81">
        <f t="shared" si="3"/>
        <v>41.565508000000008</v>
      </c>
    </row>
    <row r="37" spans="1:17" x14ac:dyDescent="0.25">
      <c r="B37" s="184">
        <v>42708</v>
      </c>
      <c r="C37" s="10">
        <v>50</v>
      </c>
      <c r="D37" s="39">
        <v>63.73</v>
      </c>
      <c r="E37" s="39">
        <v>60.94</v>
      </c>
      <c r="F37" s="39">
        <f t="shared" si="7"/>
        <v>-139.49999999999994</v>
      </c>
      <c r="G37" s="39">
        <f t="shared" si="8"/>
        <v>3186.5</v>
      </c>
      <c r="H37" s="222">
        <f t="shared" si="9"/>
        <v>-4.3778440294994496E-2</v>
      </c>
      <c r="I37" s="39"/>
      <c r="J37" s="39"/>
      <c r="K37" s="39"/>
      <c r="L37" s="39"/>
      <c r="O37" s="81">
        <v>0.91</v>
      </c>
      <c r="P37" s="81">
        <f t="shared" si="3"/>
        <v>41.113709000000007</v>
      </c>
    </row>
    <row r="38" spans="1:17" x14ac:dyDescent="0.25">
      <c r="B38" s="184">
        <v>42731</v>
      </c>
      <c r="C38" s="10">
        <v>50</v>
      </c>
      <c r="D38" s="39">
        <v>63.73</v>
      </c>
      <c r="E38" s="39">
        <v>62.2</v>
      </c>
      <c r="F38" s="39">
        <f t="shared" si="7"/>
        <v>-76.499999999999702</v>
      </c>
      <c r="G38" s="39">
        <f t="shared" si="8"/>
        <v>3186.5</v>
      </c>
      <c r="H38" s="222">
        <f t="shared" si="9"/>
        <v>-2.4007531774674316E-2</v>
      </c>
      <c r="I38" s="39"/>
      <c r="J38" s="39"/>
      <c r="K38" s="39"/>
      <c r="L38" s="39"/>
      <c r="O38" s="81">
        <v>0.9</v>
      </c>
      <c r="P38" s="81">
        <f t="shared" si="3"/>
        <v>40.661910000000006</v>
      </c>
    </row>
    <row r="39" spans="1:17" x14ac:dyDescent="0.25">
      <c r="B39" s="184">
        <v>42760</v>
      </c>
      <c r="C39" s="10">
        <v>50</v>
      </c>
      <c r="D39" s="39">
        <v>63.73</v>
      </c>
      <c r="E39" s="39">
        <v>63.01</v>
      </c>
      <c r="F39" s="39">
        <f t="shared" si="7"/>
        <v>-35.999999999999943</v>
      </c>
      <c r="G39" s="39">
        <f t="shared" si="8"/>
        <v>3186.5</v>
      </c>
      <c r="H39" s="222">
        <f t="shared" si="9"/>
        <v>-1.1297662011611469E-2</v>
      </c>
      <c r="I39" s="39"/>
      <c r="J39" s="39"/>
      <c r="K39" s="39"/>
      <c r="L39" s="39"/>
    </row>
    <row r="40" spans="1:17" x14ac:dyDescent="0.25">
      <c r="A40" t="s">
        <v>340</v>
      </c>
      <c r="B40" s="184">
        <v>42768</v>
      </c>
      <c r="C40" s="10">
        <v>50</v>
      </c>
      <c r="D40" s="39">
        <v>63.25</v>
      </c>
      <c r="E40" s="39">
        <v>61.72</v>
      </c>
      <c r="F40" s="39">
        <f t="shared" si="7"/>
        <v>-76.500000000000057</v>
      </c>
      <c r="G40" s="39">
        <f t="shared" si="8"/>
        <v>3162.5</v>
      </c>
      <c r="H40" s="222">
        <f t="shared" si="9"/>
        <v>-2.4189723320158122E-2</v>
      </c>
      <c r="I40" s="39"/>
      <c r="J40" s="39"/>
      <c r="K40" s="39"/>
      <c r="L40" s="39"/>
    </row>
    <row r="41" spans="1:17" x14ac:dyDescent="0.25">
      <c r="A41" t="s">
        <v>427</v>
      </c>
      <c r="B41" s="184">
        <v>42783</v>
      </c>
      <c r="C41" s="10">
        <v>75</v>
      </c>
      <c r="D41" s="39">
        <v>61.9133</v>
      </c>
      <c r="E41" s="39">
        <v>61.54</v>
      </c>
      <c r="F41" s="39">
        <f t="shared" si="7"/>
        <v>-27.997500000000031</v>
      </c>
      <c r="G41" s="39">
        <f t="shared" si="8"/>
        <v>4643.4975000000004</v>
      </c>
      <c r="H41" s="222">
        <f t="shared" si="9"/>
        <v>-6.0293991759444322E-3</v>
      </c>
      <c r="I41" s="39"/>
      <c r="J41" s="39"/>
      <c r="K41" s="39"/>
      <c r="L41" s="39"/>
    </row>
    <row r="42" spans="1:17" x14ac:dyDescent="0.25">
      <c r="A42">
        <v>50</v>
      </c>
      <c r="B42" s="184">
        <v>42809</v>
      </c>
      <c r="C42" s="10">
        <v>75</v>
      </c>
      <c r="D42" s="39">
        <v>61.9133</v>
      </c>
      <c r="E42" s="39">
        <v>61.16</v>
      </c>
      <c r="F42" s="39">
        <f t="shared" ref="F42:F48" si="10">C42*(E42-D42)</f>
        <v>-56.497500000000223</v>
      </c>
      <c r="G42" s="39">
        <f t="shared" ref="G42:G48" si="11">D42*C42</f>
        <v>4643.4975000000004</v>
      </c>
      <c r="H42" s="222">
        <f t="shared" ref="H42:H48" si="12">(E42-D42)/D42</f>
        <v>-1.2167014195657523E-2</v>
      </c>
      <c r="I42" s="39"/>
      <c r="J42" s="39">
        <v>-6.55</v>
      </c>
      <c r="K42" s="39"/>
      <c r="L42" s="39"/>
      <c r="Q42" s="2"/>
    </row>
    <row r="43" spans="1:17" x14ac:dyDescent="0.25">
      <c r="A43">
        <v>75</v>
      </c>
      <c r="B43" s="184">
        <v>42831</v>
      </c>
      <c r="C43" s="228">
        <v>100</v>
      </c>
      <c r="D43" s="229">
        <v>60.83</v>
      </c>
      <c r="E43" s="39">
        <v>58</v>
      </c>
      <c r="F43" s="39">
        <f t="shared" si="10"/>
        <v>-282.99999999999983</v>
      </c>
      <c r="G43" s="39">
        <f t="shared" si="11"/>
        <v>6083</v>
      </c>
      <c r="H43" s="222">
        <f t="shared" si="12"/>
        <v>-4.6523097156008525E-2</v>
      </c>
      <c r="I43" s="39"/>
      <c r="J43" s="39">
        <v>-251</v>
      </c>
      <c r="K43" s="39"/>
      <c r="L43" s="39"/>
      <c r="Q43" s="2"/>
    </row>
    <row r="44" spans="1:17" x14ac:dyDescent="0.25">
      <c r="A44">
        <v>75</v>
      </c>
      <c r="B44" s="184">
        <v>42846</v>
      </c>
      <c r="C44" s="10">
        <v>150</v>
      </c>
      <c r="D44" s="39">
        <v>59.7986</v>
      </c>
      <c r="E44" s="39">
        <v>57.73</v>
      </c>
      <c r="F44" s="39">
        <f t="shared" si="10"/>
        <v>-310.29000000000053</v>
      </c>
      <c r="G44" s="39">
        <f t="shared" si="11"/>
        <v>8969.7900000000009</v>
      </c>
      <c r="H44" s="222">
        <f t="shared" si="12"/>
        <v>-3.4592783108634707E-2</v>
      </c>
      <c r="I44" s="39"/>
      <c r="J44" s="39">
        <v>-260</v>
      </c>
      <c r="K44" s="39"/>
      <c r="L44" s="39"/>
      <c r="Q44" s="2"/>
    </row>
    <row r="45" spans="1:17" x14ac:dyDescent="0.25">
      <c r="A45">
        <v>75</v>
      </c>
      <c r="B45" s="184">
        <v>42857</v>
      </c>
      <c r="C45" s="10">
        <v>150</v>
      </c>
      <c r="D45" s="39">
        <v>59.558599999999998</v>
      </c>
      <c r="E45" s="39">
        <v>55.92</v>
      </c>
      <c r="F45" s="39">
        <f t="shared" si="10"/>
        <v>-545.78999999999951</v>
      </c>
      <c r="G45" s="39">
        <f t="shared" si="11"/>
        <v>8933.7899999999991</v>
      </c>
      <c r="H45" s="222">
        <f t="shared" si="12"/>
        <v>-6.1092772496331292E-2</v>
      </c>
      <c r="I45" s="39"/>
      <c r="J45" s="39">
        <v>-496</v>
      </c>
      <c r="K45" s="39"/>
      <c r="L45" s="39"/>
      <c r="Q45" s="2"/>
    </row>
    <row r="46" spans="1:17" x14ac:dyDescent="0.25">
      <c r="A46">
        <v>100</v>
      </c>
      <c r="B46" s="184">
        <v>42862</v>
      </c>
      <c r="C46" s="10">
        <v>150</v>
      </c>
      <c r="D46" s="39">
        <v>59.56</v>
      </c>
      <c r="E46" s="39">
        <v>57.3</v>
      </c>
      <c r="F46" s="39">
        <f t="shared" si="10"/>
        <v>-339.0000000000008</v>
      </c>
      <c r="G46" s="39">
        <f t="shared" si="11"/>
        <v>8934</v>
      </c>
      <c r="H46" s="222">
        <f t="shared" si="12"/>
        <v>-3.79449294828745E-2</v>
      </c>
      <c r="I46" s="39"/>
      <c r="J46" s="39">
        <v>-289</v>
      </c>
      <c r="K46" s="39"/>
      <c r="L46" s="39"/>
      <c r="Q46" s="2"/>
    </row>
    <row r="47" spans="1:17" x14ac:dyDescent="0.25">
      <c r="A47">
        <v>100</v>
      </c>
      <c r="B47" s="184">
        <v>42864</v>
      </c>
      <c r="C47" s="7">
        <v>200</v>
      </c>
      <c r="D47" s="43">
        <v>58.9</v>
      </c>
      <c r="E47" s="39">
        <v>56.98</v>
      </c>
      <c r="F47" s="39">
        <f t="shared" si="10"/>
        <v>-384.00000000000034</v>
      </c>
      <c r="G47" s="39">
        <f t="shared" si="11"/>
        <v>11780</v>
      </c>
      <c r="H47" s="222">
        <f t="shared" si="12"/>
        <v>-3.2597623089983055E-2</v>
      </c>
      <c r="I47" s="39"/>
      <c r="J47" s="39">
        <v>-333</v>
      </c>
      <c r="K47" s="39"/>
      <c r="L47" s="39"/>
      <c r="Q47" s="2"/>
    </row>
    <row r="48" spans="1:17" x14ac:dyDescent="0.25">
      <c r="A48">
        <v>100</v>
      </c>
      <c r="B48" s="184">
        <v>42900</v>
      </c>
      <c r="C48" s="10">
        <v>200</v>
      </c>
      <c r="D48" s="39">
        <v>58.5471</v>
      </c>
      <c r="E48" s="39">
        <v>58.75</v>
      </c>
      <c r="F48" s="39">
        <f t="shared" si="10"/>
        <v>40.579999999999927</v>
      </c>
      <c r="G48" s="39">
        <f t="shared" si="11"/>
        <v>11709.42</v>
      </c>
      <c r="H48" s="222">
        <f t="shared" si="12"/>
        <v>3.4655858274790664E-3</v>
      </c>
      <c r="I48" s="39"/>
      <c r="J48" s="39">
        <v>90.53</v>
      </c>
      <c r="K48" s="39"/>
      <c r="L48" s="39"/>
      <c r="Q48" s="2"/>
    </row>
    <row r="49" spans="1:17" x14ac:dyDescent="0.25">
      <c r="A49">
        <v>200</v>
      </c>
      <c r="B49" s="184">
        <v>42939</v>
      </c>
      <c r="C49" s="10">
        <v>200</v>
      </c>
      <c r="D49" s="39">
        <v>58.5471</v>
      </c>
      <c r="E49" s="39">
        <v>54.35</v>
      </c>
      <c r="F49" s="39">
        <f>C49*(E49-D49)</f>
        <v>-839.41999999999985</v>
      </c>
      <c r="G49" s="39">
        <f>D49*C49</f>
        <v>11709.42</v>
      </c>
      <c r="H49" s="222">
        <f>(E49-D49)/D49</f>
        <v>-7.1687581451515089E-2</v>
      </c>
      <c r="I49" s="39"/>
      <c r="J49" s="39">
        <v>-789</v>
      </c>
      <c r="K49" s="39"/>
      <c r="L49" s="39"/>
      <c r="Q49" s="2"/>
    </row>
    <row r="50" spans="1:17" x14ac:dyDescent="0.25">
      <c r="A50">
        <v>200</v>
      </c>
      <c r="B50" s="184">
        <v>42949</v>
      </c>
      <c r="C50" s="10">
        <v>200</v>
      </c>
      <c r="D50" s="39">
        <v>58.057000000000002</v>
      </c>
      <c r="E50" s="39">
        <v>56.07</v>
      </c>
      <c r="F50" s="39">
        <f>C50*(E50-D50)</f>
        <v>-397.40000000000038</v>
      </c>
      <c r="G50" s="39">
        <f>D50*C50</f>
        <v>11611.4</v>
      </c>
      <c r="H50" s="222">
        <f>(E50-D50)/D50</f>
        <v>-3.4224985789827272E-2</v>
      </c>
      <c r="I50" s="39"/>
      <c r="J50" s="39">
        <v>-347</v>
      </c>
      <c r="K50" s="39"/>
      <c r="L50" s="39"/>
      <c r="Q50" s="2"/>
    </row>
    <row r="51" spans="1:17" x14ac:dyDescent="0.25">
      <c r="A51">
        <v>150</v>
      </c>
      <c r="B51" s="184">
        <v>42978</v>
      </c>
      <c r="C51" s="10">
        <v>200</v>
      </c>
      <c r="D51" s="39">
        <v>57.92</v>
      </c>
      <c r="E51" s="39">
        <v>53.4</v>
      </c>
      <c r="F51" s="39">
        <f>C51*(E51-D51)</f>
        <v>-904.00000000000068</v>
      </c>
      <c r="G51" s="39">
        <f>D51*C51</f>
        <v>11584</v>
      </c>
      <c r="H51" s="222">
        <f>(E51-D51)/D51</f>
        <v>-7.8038674033149222E-2</v>
      </c>
      <c r="I51" s="39">
        <v>57</v>
      </c>
      <c r="J51" s="39">
        <v>-790</v>
      </c>
      <c r="K51" s="39"/>
      <c r="L51" s="39"/>
      <c r="Q51" s="2"/>
    </row>
    <row r="52" spans="1:17" x14ac:dyDescent="0.25">
      <c r="A52">
        <v>200</v>
      </c>
      <c r="B52" s="184">
        <v>43009</v>
      </c>
      <c r="C52" s="10">
        <v>200</v>
      </c>
      <c r="D52" s="39">
        <v>57.92</v>
      </c>
      <c r="E52" s="39">
        <v>51.76</v>
      </c>
      <c r="F52" s="39">
        <f>C52*(E52-D52)</f>
        <v>-1232.0000000000007</v>
      </c>
      <c r="G52" s="39">
        <f>D52*C52</f>
        <v>11584</v>
      </c>
      <c r="H52" s="222">
        <f>(E52-D52)/D52</f>
        <v>-0.10635359116022106</v>
      </c>
      <c r="I52" s="39"/>
      <c r="J52" s="39">
        <v>-1183</v>
      </c>
      <c r="K52" s="39"/>
      <c r="L52" s="39"/>
      <c r="Q52" s="2"/>
    </row>
    <row r="53" spans="1:17" x14ac:dyDescent="0.25">
      <c r="A53">
        <v>200</v>
      </c>
      <c r="B53" s="184">
        <v>43017</v>
      </c>
      <c r="C53" s="425">
        <v>300</v>
      </c>
      <c r="D53" s="426">
        <v>55.348300000000002</v>
      </c>
      <c r="E53" s="39">
        <v>50.19</v>
      </c>
      <c r="F53" s="39">
        <f>C53*(E53-D53)</f>
        <v>-1547.4900000000011</v>
      </c>
      <c r="G53" s="39">
        <f>D53*C53</f>
        <v>16604.490000000002</v>
      </c>
      <c r="H53" s="222">
        <f>(E53-D53)/D53</f>
        <v>-9.3197081030492429E-2</v>
      </c>
      <c r="I53" s="39">
        <v>55</v>
      </c>
      <c r="J53" s="39">
        <v>-1497</v>
      </c>
      <c r="K53" s="39"/>
      <c r="L53" s="39"/>
      <c r="Q53" s="2"/>
    </row>
    <row r="54" spans="1:17" x14ac:dyDescent="0.25">
      <c r="A54">
        <v>200</v>
      </c>
      <c r="B54" s="184">
        <v>43023</v>
      </c>
      <c r="C54" s="10">
        <v>300</v>
      </c>
      <c r="D54" s="39">
        <v>55.348300000000002</v>
      </c>
      <c r="E54" s="39">
        <v>51.53</v>
      </c>
      <c r="F54" s="39">
        <f t="shared" ref="F54:F62" si="13">C54*(E54-D54)</f>
        <v>-1145.4900000000002</v>
      </c>
      <c r="G54" s="39">
        <f t="shared" ref="G54:G62" si="14">D54*C54</f>
        <v>16604.490000000002</v>
      </c>
      <c r="H54" s="222">
        <f t="shared" ref="H54:H62" si="15">(E54-D54)/D54</f>
        <v>-6.8986762014370817E-2</v>
      </c>
      <c r="I54" s="39">
        <v>55</v>
      </c>
      <c r="J54" s="39">
        <v>-1497</v>
      </c>
      <c r="K54" s="39">
        <v>42.7</v>
      </c>
      <c r="L54" s="39"/>
      <c r="Q54" s="2"/>
    </row>
    <row r="55" spans="1:17" x14ac:dyDescent="0.25">
      <c r="A55">
        <v>100</v>
      </c>
      <c r="B55" s="184">
        <v>43028</v>
      </c>
      <c r="C55" s="10">
        <v>200</v>
      </c>
      <c r="D55" s="39">
        <v>56.997999999999998</v>
      </c>
      <c r="E55" s="39">
        <v>52.03</v>
      </c>
      <c r="F55" s="39">
        <f t="shared" si="13"/>
        <v>-993.59999999999923</v>
      </c>
      <c r="G55" s="39">
        <f t="shared" si="14"/>
        <v>11399.6</v>
      </c>
      <c r="H55" s="222">
        <f t="shared" si="15"/>
        <v>-8.7160953015895229E-2</v>
      </c>
      <c r="I55" s="193" t="s">
        <v>733</v>
      </c>
      <c r="J55" s="39">
        <v>-948</v>
      </c>
      <c r="K55" s="39">
        <v>46.9</v>
      </c>
      <c r="L55" s="39"/>
    </row>
    <row r="56" spans="1:17" x14ac:dyDescent="0.25">
      <c r="A56">
        <v>100</v>
      </c>
      <c r="B56" s="184">
        <v>43045</v>
      </c>
      <c r="C56" s="425">
        <v>300</v>
      </c>
      <c r="D56" s="426">
        <v>54.405299999999997</v>
      </c>
      <c r="E56" s="39">
        <v>50.1</v>
      </c>
      <c r="F56" s="39">
        <f t="shared" si="13"/>
        <v>-1291.5899999999986</v>
      </c>
      <c r="G56" s="39">
        <f t="shared" si="14"/>
        <v>16321.589999999998</v>
      </c>
      <c r="H56" s="222">
        <f t="shared" si="15"/>
        <v>-7.9133834387458496E-2</v>
      </c>
      <c r="I56" s="39"/>
      <c r="J56" s="39">
        <v>-1242</v>
      </c>
      <c r="K56" s="39" t="s">
        <v>185</v>
      </c>
      <c r="L56" s="39"/>
    </row>
    <row r="57" spans="1:17" x14ac:dyDescent="0.25">
      <c r="A57">
        <v>0</v>
      </c>
      <c r="B57" s="184">
        <v>43047</v>
      </c>
      <c r="C57" s="7">
        <v>200</v>
      </c>
      <c r="D57" s="43">
        <v>55.893599999999999</v>
      </c>
      <c r="E57" s="39">
        <v>51.5</v>
      </c>
      <c r="F57" s="39">
        <f t="shared" si="13"/>
        <v>-878.7199999999998</v>
      </c>
      <c r="G57" s="39">
        <f t="shared" si="14"/>
        <v>11178.72</v>
      </c>
      <c r="H57" s="222">
        <f t="shared" si="15"/>
        <v>-7.8606495198019086E-2</v>
      </c>
      <c r="I57" s="193" t="s">
        <v>747</v>
      </c>
      <c r="J57" s="39">
        <v>-829</v>
      </c>
      <c r="K57" s="39"/>
      <c r="L57" s="39"/>
    </row>
    <row r="58" spans="1:17" x14ac:dyDescent="0.25">
      <c r="A58">
        <v>50</v>
      </c>
      <c r="B58" s="184">
        <v>43068</v>
      </c>
      <c r="C58" s="10">
        <v>150</v>
      </c>
      <c r="D58" s="39">
        <v>55.765000000000001</v>
      </c>
      <c r="E58" s="39">
        <v>56.34</v>
      </c>
      <c r="F58" s="39">
        <f t="shared" si="13"/>
        <v>86.250000000000426</v>
      </c>
      <c r="G58" s="39">
        <f t="shared" si="14"/>
        <v>8364.75</v>
      </c>
      <c r="H58" s="222">
        <f t="shared" si="15"/>
        <v>1.0311127051017714E-2</v>
      </c>
      <c r="I58" s="39">
        <v>55.2</v>
      </c>
      <c r="J58" s="39">
        <v>136</v>
      </c>
      <c r="K58" s="39"/>
      <c r="L58" s="39"/>
    </row>
    <row r="59" spans="1:17" x14ac:dyDescent="0.25">
      <c r="A59">
        <v>0</v>
      </c>
      <c r="B59" s="184">
        <v>43069</v>
      </c>
      <c r="C59" s="10">
        <v>100</v>
      </c>
      <c r="D59" s="39">
        <v>55.208599999999997</v>
      </c>
      <c r="E59" s="39">
        <v>56.34</v>
      </c>
      <c r="F59" s="39">
        <f t="shared" si="13"/>
        <v>113.14000000000064</v>
      </c>
      <c r="G59" s="39">
        <f t="shared" si="14"/>
        <v>5520.86</v>
      </c>
      <c r="H59" s="222">
        <f t="shared" si="15"/>
        <v>2.0493184032922523E-2</v>
      </c>
      <c r="I59" s="39">
        <v>55</v>
      </c>
      <c r="J59" s="39">
        <v>217</v>
      </c>
      <c r="K59" s="39"/>
      <c r="L59" s="39"/>
    </row>
    <row r="60" spans="1:17" x14ac:dyDescent="0.25">
      <c r="A60">
        <v>75</v>
      </c>
      <c r="B60" s="184">
        <v>43087</v>
      </c>
      <c r="C60" s="10">
        <v>75</v>
      </c>
      <c r="D60" s="39">
        <v>54.28</v>
      </c>
      <c r="E60" s="39">
        <v>58</v>
      </c>
      <c r="F60" s="39">
        <f t="shared" si="13"/>
        <v>278.99999999999989</v>
      </c>
      <c r="G60" s="39">
        <f t="shared" si="14"/>
        <v>4071</v>
      </c>
      <c r="H60" s="222">
        <f t="shared" si="15"/>
        <v>6.8533529845246841E-2</v>
      </c>
      <c r="I60" s="39"/>
      <c r="J60" s="39">
        <v>329</v>
      </c>
      <c r="K60" s="39"/>
      <c r="L60" s="39"/>
    </row>
    <row r="61" spans="1:17" x14ac:dyDescent="0.25">
      <c r="A61">
        <v>60</v>
      </c>
      <c r="B61" s="184">
        <v>43091</v>
      </c>
      <c r="C61" s="10">
        <v>60</v>
      </c>
      <c r="D61" s="39">
        <v>52.8</v>
      </c>
      <c r="E61" s="39">
        <v>60.13</v>
      </c>
      <c r="F61" s="39">
        <f t="shared" si="13"/>
        <v>439.8000000000003</v>
      </c>
      <c r="G61" s="39">
        <f t="shared" si="14"/>
        <v>3168</v>
      </c>
      <c r="H61" s="222">
        <f t="shared" si="15"/>
        <v>0.13882575757575769</v>
      </c>
      <c r="I61" s="39"/>
      <c r="J61" s="39">
        <v>489</v>
      </c>
      <c r="K61" s="39"/>
      <c r="L61" s="39"/>
    </row>
    <row r="62" spans="1:17" x14ac:dyDescent="0.25">
      <c r="B62" s="184">
        <v>43133</v>
      </c>
      <c r="C62" s="10">
        <v>100</v>
      </c>
      <c r="D62" s="39">
        <v>54.483600000000003</v>
      </c>
      <c r="E62" s="39">
        <v>55.95</v>
      </c>
      <c r="F62" s="39">
        <f t="shared" si="13"/>
        <v>146.64000000000001</v>
      </c>
      <c r="G62" s="39">
        <f t="shared" si="14"/>
        <v>5448.3600000000006</v>
      </c>
      <c r="H62" s="222">
        <f t="shared" si="15"/>
        <v>2.6914521066889855E-2</v>
      </c>
      <c r="I62" s="39"/>
      <c r="J62" s="39">
        <v>197</v>
      </c>
      <c r="K62" s="39" t="s">
        <v>185</v>
      </c>
      <c r="L62" s="39"/>
    </row>
    <row r="63" spans="1:17" x14ac:dyDescent="0.25">
      <c r="B63" s="184">
        <v>43172</v>
      </c>
      <c r="C63" s="228">
        <v>100</v>
      </c>
      <c r="D63" s="229">
        <v>54.189599999999999</v>
      </c>
      <c r="E63" s="39">
        <v>51.99</v>
      </c>
      <c r="F63" s="39">
        <f t="shared" ref="F63:F74" si="16">C63*(E63-D63)</f>
        <v>-219.95999999999967</v>
      </c>
      <c r="G63" s="39">
        <f t="shared" ref="G63:G74" si="17">D63*C63</f>
        <v>5418.96</v>
      </c>
      <c r="H63" s="222">
        <f t="shared" ref="H63:H74" si="18">(E63-D63)/D63</f>
        <v>-4.0590814473625877E-2</v>
      </c>
      <c r="I63" s="193" t="s">
        <v>936</v>
      </c>
      <c r="J63" s="39">
        <v>-170</v>
      </c>
      <c r="K63" s="39"/>
      <c r="L63" s="39"/>
    </row>
    <row r="64" spans="1:17" x14ac:dyDescent="0.25">
      <c r="A64">
        <v>100</v>
      </c>
      <c r="B64" s="184">
        <v>43178</v>
      </c>
      <c r="C64" s="10">
        <v>150</v>
      </c>
      <c r="D64" s="39">
        <v>52.8431</v>
      </c>
      <c r="E64" s="39">
        <v>50.21</v>
      </c>
      <c r="F64" s="39">
        <f t="shared" si="16"/>
        <v>-394.9649999999998</v>
      </c>
      <c r="G64" s="39">
        <f t="shared" si="17"/>
        <v>7926.4650000000001</v>
      </c>
      <c r="H64" s="222">
        <f t="shared" si="18"/>
        <v>-4.9828643663978815E-2</v>
      </c>
      <c r="I64" s="39"/>
      <c r="J64" s="39">
        <v>-345</v>
      </c>
      <c r="K64" s="39"/>
      <c r="L64" s="39"/>
    </row>
    <row r="65" spans="1:12" x14ac:dyDescent="0.25">
      <c r="A65">
        <v>100</v>
      </c>
      <c r="B65" s="184">
        <v>43184</v>
      </c>
      <c r="C65" s="10">
        <v>150</v>
      </c>
      <c r="D65" s="39">
        <v>52.8431</v>
      </c>
      <c r="E65" s="39">
        <v>44.21</v>
      </c>
      <c r="F65" s="39">
        <f t="shared" si="16"/>
        <v>-1294.9649999999999</v>
      </c>
      <c r="G65" s="39">
        <f t="shared" si="17"/>
        <v>7926.4650000000001</v>
      </c>
      <c r="H65" s="222">
        <f t="shared" si="18"/>
        <v>-0.16337232297121099</v>
      </c>
      <c r="I65" s="39"/>
      <c r="J65" s="39">
        <v>-1245</v>
      </c>
      <c r="K65" s="39"/>
      <c r="L65" s="39"/>
    </row>
    <row r="66" spans="1:12" x14ac:dyDescent="0.25">
      <c r="A66">
        <v>100</v>
      </c>
      <c r="B66" s="184">
        <v>43185</v>
      </c>
      <c r="C66" s="10">
        <v>150</v>
      </c>
      <c r="D66" s="39">
        <v>52.8431</v>
      </c>
      <c r="E66" s="39">
        <v>45.3</v>
      </c>
      <c r="F66" s="39">
        <f t="shared" si="16"/>
        <v>-1131.4650000000004</v>
      </c>
      <c r="G66" s="39">
        <f t="shared" si="17"/>
        <v>7926.4650000000001</v>
      </c>
      <c r="H66" s="222">
        <f t="shared" si="18"/>
        <v>-0.14274522123039721</v>
      </c>
      <c r="I66" s="39"/>
      <c r="J66" s="39">
        <v>-1082</v>
      </c>
      <c r="K66" s="39"/>
      <c r="L66" s="39"/>
    </row>
    <row r="67" spans="1:12" x14ac:dyDescent="0.25">
      <c r="A67">
        <v>100</v>
      </c>
      <c r="B67" s="184">
        <v>43198</v>
      </c>
      <c r="C67" s="10">
        <v>150</v>
      </c>
      <c r="D67" s="39">
        <v>52.8431</v>
      </c>
      <c r="E67" s="39">
        <v>45.47</v>
      </c>
      <c r="F67" s="39">
        <f t="shared" si="16"/>
        <v>-1105.9650000000001</v>
      </c>
      <c r="G67" s="39">
        <f t="shared" si="17"/>
        <v>7926.4650000000001</v>
      </c>
      <c r="H67" s="222">
        <f t="shared" si="18"/>
        <v>-0.13952815031669227</v>
      </c>
      <c r="I67" s="39"/>
      <c r="J67" s="39">
        <v>-1056</v>
      </c>
      <c r="K67" s="39"/>
      <c r="L67" s="39">
        <v>14.76</v>
      </c>
    </row>
    <row r="68" spans="1:12" x14ac:dyDescent="0.25">
      <c r="A68">
        <v>150</v>
      </c>
      <c r="B68" s="184">
        <v>43222</v>
      </c>
      <c r="C68" s="10">
        <v>150</v>
      </c>
      <c r="D68" s="39">
        <v>52.353000000000002</v>
      </c>
      <c r="E68" s="39">
        <v>42.49</v>
      </c>
      <c r="F68" s="39">
        <f t="shared" si="16"/>
        <v>-1479.4499999999998</v>
      </c>
      <c r="G68" s="39">
        <f t="shared" si="17"/>
        <v>7852.95</v>
      </c>
      <c r="H68" s="222">
        <f t="shared" si="18"/>
        <v>-0.18839417034362882</v>
      </c>
      <c r="I68" s="39"/>
      <c r="J68" s="39">
        <v>-1430</v>
      </c>
      <c r="K68" s="39"/>
      <c r="L68" s="39">
        <v>13.8</v>
      </c>
    </row>
    <row r="69" spans="1:12" x14ac:dyDescent="0.25">
      <c r="A69">
        <v>150</v>
      </c>
      <c r="B69" s="184">
        <v>43279</v>
      </c>
      <c r="C69" s="10">
        <v>150</v>
      </c>
      <c r="D69" s="39">
        <v>52.353000000000002</v>
      </c>
      <c r="E69" s="39">
        <v>44.68</v>
      </c>
      <c r="F69" s="39">
        <f t="shared" si="16"/>
        <v>-1150.9500000000003</v>
      </c>
      <c r="G69" s="39">
        <f t="shared" si="17"/>
        <v>7852.95</v>
      </c>
      <c r="H69" s="222">
        <f t="shared" si="18"/>
        <v>-0.14656275667105995</v>
      </c>
      <c r="I69" s="39"/>
      <c r="J69" s="39">
        <v>-1101</v>
      </c>
      <c r="K69" s="39"/>
      <c r="L69" s="39">
        <v>14.5</v>
      </c>
    </row>
    <row r="70" spans="1:12" x14ac:dyDescent="0.25">
      <c r="A70">
        <v>150</v>
      </c>
      <c r="B70" s="184">
        <v>43299</v>
      </c>
      <c r="C70" s="7">
        <v>200</v>
      </c>
      <c r="D70" s="43">
        <v>50.134799999999998</v>
      </c>
      <c r="E70" s="39">
        <v>43.48</v>
      </c>
      <c r="F70" s="39">
        <f t="shared" si="16"/>
        <v>-1330.9600000000003</v>
      </c>
      <c r="G70" s="39">
        <f t="shared" si="17"/>
        <v>10026.959999999999</v>
      </c>
      <c r="H70" s="222">
        <f t="shared" si="18"/>
        <v>-0.13273813798000594</v>
      </c>
      <c r="I70" s="39"/>
      <c r="J70" s="39">
        <v>-1281</v>
      </c>
      <c r="K70" s="39"/>
      <c r="L70" s="39">
        <v>14.12</v>
      </c>
    </row>
    <row r="71" spans="1:12" x14ac:dyDescent="0.25">
      <c r="A71">
        <v>150</v>
      </c>
      <c r="B71" s="184">
        <v>43312</v>
      </c>
      <c r="C71" s="10">
        <v>200</v>
      </c>
      <c r="D71" s="39">
        <v>50.13</v>
      </c>
      <c r="E71" s="39">
        <v>46.06</v>
      </c>
      <c r="F71" s="39">
        <f t="shared" si="16"/>
        <v>-814</v>
      </c>
      <c r="G71" s="39">
        <f t="shared" si="17"/>
        <v>10026</v>
      </c>
      <c r="H71" s="222">
        <f t="shared" si="18"/>
        <v>-8.1188908837023746E-2</v>
      </c>
      <c r="I71" s="39"/>
      <c r="J71" s="39">
        <v>-765</v>
      </c>
      <c r="K71" s="39"/>
      <c r="L71" s="39">
        <v>14.95</v>
      </c>
    </row>
    <row r="72" spans="1:12" x14ac:dyDescent="0.25">
      <c r="A72">
        <v>150</v>
      </c>
      <c r="B72" s="184">
        <v>43313</v>
      </c>
      <c r="C72" s="7">
        <v>200</v>
      </c>
      <c r="D72" s="43">
        <v>49.767299999999999</v>
      </c>
      <c r="E72" s="39">
        <v>45.08</v>
      </c>
      <c r="F72" s="39">
        <f t="shared" si="16"/>
        <v>-937.46</v>
      </c>
      <c r="G72" s="39">
        <f t="shared" si="17"/>
        <v>9953.4599999999991</v>
      </c>
      <c r="H72" s="222">
        <f t="shared" si="18"/>
        <v>-9.4184333889923713E-2</v>
      </c>
      <c r="I72" s="39"/>
      <c r="J72" s="39">
        <v>-888</v>
      </c>
      <c r="K72" s="39"/>
      <c r="L72" s="39">
        <v>14.64</v>
      </c>
    </row>
    <row r="73" spans="1:12" x14ac:dyDescent="0.25">
      <c r="B73" s="184">
        <v>43316</v>
      </c>
      <c r="C73" s="10">
        <v>200</v>
      </c>
      <c r="D73" s="39">
        <v>49.77</v>
      </c>
      <c r="E73" s="39">
        <v>47.24</v>
      </c>
      <c r="F73" s="39">
        <f t="shared" si="16"/>
        <v>-506.00000000000023</v>
      </c>
      <c r="G73" s="39">
        <f t="shared" si="17"/>
        <v>9954</v>
      </c>
      <c r="H73" s="222">
        <f t="shared" si="18"/>
        <v>-5.0833835643962245E-2</v>
      </c>
      <c r="I73" s="39"/>
      <c r="J73" s="39">
        <v>-455.53</v>
      </c>
      <c r="K73" s="39"/>
      <c r="L73" s="39">
        <v>15.34</v>
      </c>
    </row>
    <row r="74" spans="1:12" x14ac:dyDescent="0.25">
      <c r="A74">
        <v>150</v>
      </c>
      <c r="B74" s="184">
        <v>43320</v>
      </c>
      <c r="C74" s="425">
        <v>300</v>
      </c>
      <c r="D74" s="426">
        <v>48.274900000000002</v>
      </c>
      <c r="E74" s="39">
        <v>45.22</v>
      </c>
      <c r="F74" s="39">
        <f t="shared" si="16"/>
        <v>-916.47000000000105</v>
      </c>
      <c r="G74" s="39">
        <f t="shared" si="17"/>
        <v>14482.470000000001</v>
      </c>
      <c r="H74" s="222">
        <f t="shared" si="18"/>
        <v>-6.3281332535127022E-2</v>
      </c>
      <c r="I74" s="193" t="s">
        <v>1239</v>
      </c>
      <c r="J74" s="39">
        <v>-867</v>
      </c>
      <c r="K74" s="39"/>
      <c r="L74" s="39">
        <v>14.68</v>
      </c>
    </row>
    <row r="75" spans="1:12" x14ac:dyDescent="0.25">
      <c r="B75" s="184"/>
      <c r="C75" s="10"/>
      <c r="D75" s="39"/>
      <c r="E75" s="39"/>
      <c r="F75" s="39"/>
      <c r="G75" s="39"/>
      <c r="H75" s="222"/>
      <c r="I75" s="39"/>
      <c r="J75" s="39"/>
      <c r="K75" s="39"/>
      <c r="L75" s="39"/>
    </row>
    <row r="76" spans="1:12" x14ac:dyDescent="0.25"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12" x14ac:dyDescent="0.25">
      <c r="B77" s="184"/>
      <c r="C77" s="10"/>
      <c r="D77" s="39"/>
      <c r="E77" s="39"/>
      <c r="F77" s="39"/>
      <c r="G77" s="39"/>
      <c r="H77" s="222"/>
      <c r="I77" s="39"/>
      <c r="J77" s="39"/>
      <c r="K77" s="39"/>
      <c r="L77" s="39"/>
    </row>
    <row r="78" spans="1:12" x14ac:dyDescent="0.25">
      <c r="B78" s="184"/>
      <c r="C78" s="10"/>
      <c r="D78" s="39"/>
      <c r="E78" s="39"/>
      <c r="F78" s="39"/>
      <c r="G78" s="39"/>
      <c r="H78" s="222"/>
      <c r="I78" s="39"/>
      <c r="J78" s="39"/>
      <c r="K78" s="39"/>
      <c r="L78" s="39"/>
    </row>
    <row r="79" spans="1:12" x14ac:dyDescent="0.25"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1" spans="1:13" x14ac:dyDescent="0.25">
      <c r="L81" t="s">
        <v>205</v>
      </c>
      <c r="M81" s="2">
        <f>M90+K90-F90</f>
        <v>49.949999999999818</v>
      </c>
    </row>
    <row r="82" spans="1:13" x14ac:dyDescent="0.25">
      <c r="A82" s="368" t="s">
        <v>1</v>
      </c>
      <c r="B82" s="368" t="s">
        <v>2</v>
      </c>
      <c r="C82" s="368" t="s">
        <v>4</v>
      </c>
      <c r="D82" s="370" t="s">
        <v>5</v>
      </c>
      <c r="E82" s="370" t="s">
        <v>94</v>
      </c>
      <c r="F82" s="370" t="s">
        <v>60</v>
      </c>
      <c r="G82" s="368" t="s">
        <v>3</v>
      </c>
      <c r="H82" s="368" t="s">
        <v>6</v>
      </c>
      <c r="I82" s="368" t="s">
        <v>7</v>
      </c>
      <c r="J82" s="368" t="s">
        <v>95</v>
      </c>
      <c r="K82" s="368" t="s">
        <v>61</v>
      </c>
      <c r="L82" s="368" t="s">
        <v>77</v>
      </c>
      <c r="M82" s="368" t="s">
        <v>38</v>
      </c>
    </row>
    <row r="83" spans="1:13" x14ac:dyDescent="0.25">
      <c r="A83" s="371" t="s">
        <v>171</v>
      </c>
      <c r="B83" s="373">
        <v>42376</v>
      </c>
      <c r="C83" s="362">
        <v>50</v>
      </c>
      <c r="D83" s="363">
        <v>55.15</v>
      </c>
      <c r="E83" s="363">
        <v>0</v>
      </c>
      <c r="F83" s="363">
        <f>C83*D83+E83</f>
        <v>2757.5</v>
      </c>
      <c r="G83" s="361">
        <v>42409</v>
      </c>
      <c r="H83" s="366">
        <v>50</v>
      </c>
      <c r="I83" s="363">
        <v>56.15</v>
      </c>
      <c r="J83" s="363">
        <v>0.05</v>
      </c>
      <c r="K83" s="362">
        <f>H83*I83-J83</f>
        <v>2807.45</v>
      </c>
      <c r="L83" s="361"/>
      <c r="M83" s="363"/>
    </row>
    <row r="84" spans="1:13" x14ac:dyDescent="0.25">
      <c r="A84" s="372" t="s">
        <v>71</v>
      </c>
      <c r="B84" s="373"/>
      <c r="C84" s="362"/>
      <c r="D84" s="363"/>
      <c r="E84" s="363"/>
      <c r="F84" s="363"/>
      <c r="G84" s="361"/>
      <c r="H84" s="362"/>
      <c r="I84" s="362"/>
      <c r="J84" s="362"/>
      <c r="K84" s="362"/>
      <c r="L84" s="362"/>
      <c r="M84" s="362"/>
    </row>
    <row r="85" spans="1:13" x14ac:dyDescent="0.25">
      <c r="A85" s="362"/>
      <c r="B85" s="361"/>
      <c r="C85" s="362"/>
      <c r="D85" s="363"/>
      <c r="E85" s="363"/>
      <c r="F85" s="363"/>
      <c r="G85" s="362"/>
      <c r="H85" s="362"/>
      <c r="I85" s="362"/>
      <c r="J85" s="362"/>
      <c r="K85" s="362"/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2"/>
      <c r="J86" s="362"/>
      <c r="K86" s="362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2"/>
      <c r="J87" s="362"/>
      <c r="K87" s="362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2"/>
      <c r="J88" s="362"/>
      <c r="K88" s="362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21" t="s">
        <v>81</v>
      </c>
      <c r="B90" s="12"/>
      <c r="C90" s="12">
        <f>SUM(C83:C89)</f>
        <v>50</v>
      </c>
      <c r="D90" s="13"/>
      <c r="E90" s="13"/>
      <c r="F90" s="13">
        <f>SUM(F83:F89)</f>
        <v>2757.5</v>
      </c>
      <c r="G90" s="12"/>
      <c r="H90" s="12">
        <f>SUM(H83:H86)</f>
        <v>50</v>
      </c>
      <c r="I90" s="12"/>
      <c r="J90" s="12"/>
      <c r="K90" s="12">
        <f>SUM(K83:K86)</f>
        <v>2807.45</v>
      </c>
      <c r="L90" s="12"/>
      <c r="M90" s="13">
        <f>SUM(M83:M86)</f>
        <v>0</v>
      </c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</sheetData>
  <mergeCells count="1">
    <mergeCell ref="O17:P17"/>
  </mergeCells>
  <conditionalFormatting sqref="O18:O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:F64 H28:H64 F73 H73 K73 J72:J73 J77:J78 K77 H77:H79 F77:F79">
    <cfRule type="expression" dxfId="83" priority="41">
      <formula>F28&gt;0</formula>
    </cfRule>
    <cfRule type="expression" dxfId="82" priority="42">
      <formula>F28&lt;0</formula>
    </cfRule>
  </conditionalFormatting>
  <conditionalFormatting sqref="Q8">
    <cfRule type="expression" dxfId="81" priority="35">
      <formula>Q8&gt;0</formula>
    </cfRule>
    <cfRule type="expression" dxfId="80" priority="36">
      <formula>Q8&lt;0</formula>
    </cfRule>
  </conditionalFormatting>
  <conditionalFormatting sqref="Q7">
    <cfRule type="expression" dxfId="79" priority="37">
      <formula>Q7&gt;0</formula>
    </cfRule>
    <cfRule type="expression" dxfId="78" priority="38">
      <formula>Q7&lt;0</formula>
    </cfRule>
  </conditionalFormatting>
  <conditionalFormatting sqref="M81">
    <cfRule type="expression" dxfId="77" priority="33">
      <formula>M81&gt;0</formula>
    </cfRule>
    <cfRule type="expression" dxfId="76" priority="34">
      <formula>M81&lt;0</formula>
    </cfRule>
  </conditionalFormatting>
  <conditionalFormatting sqref="J42">
    <cfRule type="expression" dxfId="75" priority="31">
      <formula>J42&gt;0</formula>
    </cfRule>
    <cfRule type="expression" dxfId="74" priority="32">
      <formula>J42&lt;0</formula>
    </cfRule>
  </conditionalFormatting>
  <conditionalFormatting sqref="J43:J55 J56:K64 K66:K68">
    <cfRule type="expression" dxfId="73" priority="29">
      <formula>J43&gt;0</formula>
    </cfRule>
    <cfRule type="expression" dxfId="72" priority="30">
      <formula>J43&lt;0</formula>
    </cfRule>
  </conditionalFormatting>
  <conditionalFormatting sqref="Q10">
    <cfRule type="expression" dxfId="71" priority="27">
      <formula>Q10&gt;0</formula>
    </cfRule>
    <cfRule type="expression" dxfId="70" priority="28">
      <formula>Q10&lt;0</formula>
    </cfRule>
  </conditionalFormatting>
  <conditionalFormatting sqref="Q9">
    <cfRule type="expression" dxfId="69" priority="25">
      <formula>Q9&gt;0</formula>
    </cfRule>
    <cfRule type="expression" dxfId="68" priority="26">
      <formula>Q9&lt;0</formula>
    </cfRule>
  </conditionalFormatting>
  <conditionalFormatting sqref="F65 H65">
    <cfRule type="expression" dxfId="67" priority="23">
      <formula>F65&gt;0</formula>
    </cfRule>
    <cfRule type="expression" dxfId="66" priority="24">
      <formula>F65&lt;0</formula>
    </cfRule>
  </conditionalFormatting>
  <conditionalFormatting sqref="J65:K65">
    <cfRule type="expression" dxfId="65" priority="21">
      <formula>J65&gt;0</formula>
    </cfRule>
    <cfRule type="expression" dxfId="64" priority="22">
      <formula>J65&lt;0</formula>
    </cfRule>
  </conditionalFormatting>
  <conditionalFormatting sqref="F66 H66">
    <cfRule type="expression" dxfId="63" priority="19">
      <formula>F66&gt;0</formula>
    </cfRule>
    <cfRule type="expression" dxfId="62" priority="20">
      <formula>F66&lt;0</formula>
    </cfRule>
  </conditionalFormatting>
  <conditionalFormatting sqref="J66">
    <cfRule type="expression" dxfId="61" priority="17">
      <formula>J66&gt;0</formula>
    </cfRule>
    <cfRule type="expression" dxfId="60" priority="18">
      <formula>J66&lt;0</formula>
    </cfRule>
  </conditionalFormatting>
  <conditionalFormatting sqref="F67:F69 H67:H69">
    <cfRule type="expression" dxfId="59" priority="15">
      <formula>F67&gt;0</formula>
    </cfRule>
    <cfRule type="expression" dxfId="58" priority="16">
      <formula>F67&lt;0</formula>
    </cfRule>
  </conditionalFormatting>
  <conditionalFormatting sqref="J67:J69">
    <cfRule type="expression" dxfId="57" priority="13">
      <formula>J67&gt;0</formula>
    </cfRule>
    <cfRule type="expression" dxfId="56" priority="14">
      <formula>J67&lt;0</formula>
    </cfRule>
  </conditionalFormatting>
  <conditionalFormatting sqref="L56:L60">
    <cfRule type="expression" dxfId="55" priority="11">
      <formula>L56&gt;0</formula>
    </cfRule>
    <cfRule type="expression" dxfId="54" priority="12">
      <formula>L56&lt;0</formula>
    </cfRule>
  </conditionalFormatting>
  <conditionalFormatting sqref="F70:F72 H70:H72">
    <cfRule type="expression" dxfId="53" priority="7">
      <formula>F70&gt;0</formula>
    </cfRule>
    <cfRule type="expression" dxfId="52" priority="8">
      <formula>F70&lt;0</formula>
    </cfRule>
  </conditionalFormatting>
  <conditionalFormatting sqref="J70:K70 K69 J71">
    <cfRule type="expression" dxfId="51" priority="5">
      <formula>J69&gt;0</formula>
    </cfRule>
    <cfRule type="expression" dxfId="50" priority="6">
      <formula>J69&lt;0</formula>
    </cfRule>
  </conditionalFormatting>
  <conditionalFormatting sqref="J74:J75 K74 H74:H76 F74:F76">
    <cfRule type="expression" dxfId="49" priority="1">
      <formula>F74&gt;0</formula>
    </cfRule>
    <cfRule type="expression" dxfId="48" priority="2">
      <formula>F74&lt;0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37.51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37.51</v>
      </c>
      <c r="R4" s="475">
        <v>-4.0000000000000001E-3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205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66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66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59" t="s">
        <v>78</v>
      </c>
      <c r="P41" s="859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41.261000000000003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40.885899999999999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40.510800000000003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40.1357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39.760599999999997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39.3855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39.010399999999997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38.635300000000001</v>
      </c>
      <c r="Q49" s="2"/>
      <c r="T49" s="10" t="s">
        <v>103</v>
      </c>
      <c r="U49" s="10" t="s">
        <v>518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38.260199999999998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37.885100000000001</v>
      </c>
      <c r="Q51" s="2"/>
      <c r="T51" s="10" t="s">
        <v>104</v>
      </c>
      <c r="U51" s="10" t="s">
        <v>637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37.51</v>
      </c>
      <c r="Q52" s="2"/>
      <c r="T52" s="10" t="s">
        <v>105</v>
      </c>
      <c r="U52" s="10" t="s">
        <v>473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37.134899999999995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36.759799999999998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36.384699999999995</v>
      </c>
      <c r="T55" s="10" t="s">
        <v>107</v>
      </c>
      <c r="U55" s="10" t="s">
        <v>638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36.009599999999999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35.634499999999996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35.259399999999999</v>
      </c>
      <c r="T58" s="10" t="s">
        <v>108</v>
      </c>
      <c r="U58" s="10" t="s">
        <v>543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34.884300000000003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34.5092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34.134099999999997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33.759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233.24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233.24</v>
      </c>
      <c r="R4" s="475">
        <v>-5.7000000000000002E-3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206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205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205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59" t="s">
        <v>78</v>
      </c>
      <c r="P45" s="859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256.56400000000002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254.23160000000001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251.89920000000004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249.56680000000003</v>
      </c>
      <c r="Q49" s="2"/>
      <c r="T49" s="91" t="s">
        <v>103</v>
      </c>
      <c r="U49" s="416" t="s">
        <v>544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247.23440000000002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244.90200000000002</v>
      </c>
      <c r="Q51" s="2"/>
      <c r="T51" s="91" t="s">
        <v>104</v>
      </c>
      <c r="U51" s="416" t="s">
        <v>639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242.56960000000001</v>
      </c>
      <c r="Q52" s="2"/>
      <c r="T52" s="91" t="s">
        <v>105</v>
      </c>
      <c r="U52" s="416" t="s">
        <v>519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240.2372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237.90480000000002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235.57240000000002</v>
      </c>
      <c r="Q55" s="2"/>
      <c r="T55" s="91" t="s">
        <v>107</v>
      </c>
      <c r="U55" s="416" t="s">
        <v>640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233.24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230.9076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228.5752</v>
      </c>
      <c r="Q58" s="2"/>
      <c r="T58" s="91" t="s">
        <v>108</v>
      </c>
      <c r="U58" s="416" t="s">
        <v>513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226.24280000000002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223.91040000000001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221.578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219.2456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216.91320000000002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214.58080000000001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212.2484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209.91600000000003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48.1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48.1</v>
      </c>
      <c r="R4" s="475">
        <v>-1.03E-2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205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52.910000000000004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52.429000000000002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51.948000000000008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51.467000000000006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50.986000000000004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50.505000000000003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50.024000000000001</v>
      </c>
      <c r="Q49" s="2"/>
      <c r="T49" s="91" t="s">
        <v>121</v>
      </c>
      <c r="U49" s="416" t="s">
        <v>366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49.542999999999999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49.062000000000005</v>
      </c>
      <c r="Q51" s="2"/>
      <c r="T51" s="91" t="s">
        <v>104</v>
      </c>
      <c r="U51" s="416" t="s">
        <v>641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48.581000000000003</v>
      </c>
      <c r="Q52" s="2"/>
      <c r="T52" s="91" t="s">
        <v>105</v>
      </c>
      <c r="U52" s="416" t="s">
        <v>441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48.1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47.619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47.137999999999998</v>
      </c>
      <c r="Q55" s="2"/>
      <c r="T55" s="91" t="s">
        <v>107</v>
      </c>
      <c r="U55" s="416" t="s">
        <v>642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46.657000000000004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46.176000000000002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45.695</v>
      </c>
      <c r="Q58" s="2"/>
      <c r="T58" s="91" t="s">
        <v>108</v>
      </c>
      <c r="U58" s="416" t="s">
        <v>545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45.213999999999999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44.733000000000004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44.252000000000002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43.771000000000001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43.29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134.24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134.24</v>
      </c>
      <c r="R4" s="475">
        <v>-3.5000000000000001E-3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206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205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205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209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59" t="s">
        <v>78</v>
      </c>
      <c r="Q39" s="859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147.66400000000002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146.32160000000002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144.97920000000002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143.63680000000002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142.29440000000002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140.95200000000003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139.6096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138.2672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136.9248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135.58240000000001</v>
      </c>
      <c r="T49" s="91" t="s">
        <v>121</v>
      </c>
      <c r="U49" s="86" t="s">
        <v>366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134.24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132.89760000000001</v>
      </c>
      <c r="T51" s="91" t="s">
        <v>104</v>
      </c>
      <c r="U51" s="86" t="s">
        <v>643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131.55520000000001</v>
      </c>
      <c r="T52" s="91" t="s">
        <v>105</v>
      </c>
      <c r="U52" s="86" t="s">
        <v>495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130.21280000000002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128.87040000000002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127.52800000000001</v>
      </c>
      <c r="T55" s="91" t="s">
        <v>107</v>
      </c>
      <c r="U55" s="86" t="s">
        <v>644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126.18560000000001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124.84320000000001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123.50080000000001</v>
      </c>
      <c r="T58" s="91" t="s">
        <v>108</v>
      </c>
      <c r="U58" s="86" t="s">
        <v>546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122.15840000000001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120.81600000000002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261.58999999999997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261.58999999999997</v>
      </c>
      <c r="R4" s="475">
        <v>1.0699999999999999E-2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206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205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525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205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59" t="s">
        <v>78</v>
      </c>
      <c r="P41" s="859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287.74900000000002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285.13310000000001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282.5172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279.90129999999999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277.28539999999998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274.66949999999997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272.05359999999996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269.43770000000001</v>
      </c>
      <c r="Q49" s="81"/>
      <c r="T49" s="91" t="s">
        <v>103</v>
      </c>
      <c r="U49" s="86" t="s">
        <v>508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266.8218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264.20589999999999</v>
      </c>
      <c r="Q51" s="81"/>
      <c r="T51" s="91" t="s">
        <v>104</v>
      </c>
      <c r="U51" s="86" t="s">
        <v>645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261.58999999999997</v>
      </c>
      <c r="Q52" s="81"/>
      <c r="T52" s="91" t="s">
        <v>105</v>
      </c>
      <c r="U52" s="86" t="s">
        <v>503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258.97409999999996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256.35819999999995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253.74229999999997</v>
      </c>
      <c r="Q55" s="81"/>
      <c r="T55" s="91" t="s">
        <v>107</v>
      </c>
      <c r="U55" s="86" t="s">
        <v>646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251.12639999999996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248.51049999999995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245.89459999999997</v>
      </c>
      <c r="Q58" s="81"/>
      <c r="T58" s="91" t="s">
        <v>108</v>
      </c>
      <c r="U58" s="86" t="s">
        <v>547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243.27869999999999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240.66279999999998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238.04689999999999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235.43099999999998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90</vt:i4>
      </vt:variant>
      <vt:variant>
        <vt:lpstr>Named Ranges</vt:lpstr>
      </vt:variant>
      <vt:variant>
        <vt:i4>70</vt:i4>
      </vt:variant>
    </vt:vector>
  </HeadingPairs>
  <TitlesOfParts>
    <vt:vector size="160" baseType="lpstr">
      <vt:lpstr>ACTIVE</vt:lpstr>
      <vt:lpstr>CLOSED</vt:lpstr>
      <vt:lpstr>Balance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IEMG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2018-08-13T02:59:12Z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