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2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omments3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3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5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6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7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8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state="hidden" r:id="rId50"/>
    <sheet name="FTR" sheetId="40" state="hidden" r:id="rId51"/>
    <sheet name="GILD" sheetId="31" state="hidden" r:id="rId52"/>
    <sheet name="WWD" sheetId="28" state="hidden" r:id="rId53"/>
    <sheet name="GIS" sheetId="43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2">ALL!$X$1:$AD$69</definedName>
    <definedName name="hp?s_AVGO" localSheetId="44">AVGO!$W$1:$AC$69</definedName>
    <definedName name="hp?s_AXP_Historical_Prices" localSheetId="7">AXP!$W$1:$AC$70</definedName>
    <definedName name="hp?s_BIIB" localSheetId="3">BIIB!$W$1:$AC$68</definedName>
    <definedName name="hp?s_CAH" localSheetId="46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3">EW!$W$1:$AC$68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ORS" localSheetId="41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1">UNP!$W$1:$AC$69</definedName>
    <definedName name="hp?s_UTX" localSheetId="57">UTX!$W$1:$AC$69</definedName>
    <definedName name="hp?s_vgk" localSheetId="26">VGK!$W$1:$AC$69</definedName>
    <definedName name="hp?s_WFC" localSheetId="36">WFC!$W$1:$AC$69</definedName>
    <definedName name="hp?s_WWD" localSheetId="52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39">#REF!</definedName>
    <definedName name="PL" localSheetId="45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ORS" localSheetId="41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3">NSC!$T$43:$U$58</definedName>
    <definedName name="q?s_NSC" localSheetId="31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KS" localSheetId="34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6">VGK!$T$43:$U$56</definedName>
    <definedName name="q?s_WFC" localSheetId="36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19" i="38" l="1"/>
  <c r="E419" i="38"/>
  <c r="G419" i="38"/>
  <c r="H419" i="38"/>
  <c r="K419" i="38"/>
  <c r="L419" i="38"/>
  <c r="M419" i="38"/>
  <c r="T419" i="38" s="1"/>
  <c r="R419" i="38"/>
  <c r="U419" i="38"/>
  <c r="V419" i="38"/>
  <c r="F264" i="7"/>
  <c r="G264" i="7"/>
  <c r="H264" i="7"/>
  <c r="L78" i="25"/>
  <c r="F78" i="25"/>
  <c r="H78" i="25"/>
  <c r="G78" i="25"/>
  <c r="K31" i="64"/>
  <c r="L31" i="64" s="1"/>
  <c r="F31" i="64"/>
  <c r="H31" i="64"/>
  <c r="G31" i="64"/>
  <c r="N53" i="35"/>
  <c r="N55" i="35"/>
  <c r="N50" i="35"/>
  <c r="N51" i="35"/>
  <c r="N35" i="35"/>
  <c r="N7" i="35"/>
  <c r="N57" i="35"/>
  <c r="N6" i="35"/>
  <c r="N8" i="35"/>
  <c r="N31" i="35"/>
  <c r="N15" i="35"/>
  <c r="N30" i="35"/>
  <c r="N26" i="35"/>
  <c r="N52" i="35"/>
  <c r="N22" i="35"/>
  <c r="N45" i="35"/>
  <c r="N20" i="35"/>
  <c r="N40" i="35"/>
  <c r="N46" i="35"/>
  <c r="N13" i="35"/>
  <c r="N10" i="35"/>
  <c r="N17" i="35"/>
  <c r="N12" i="35"/>
  <c r="N28" i="35"/>
  <c r="N49" i="35"/>
  <c r="N48" i="35"/>
  <c r="N43" i="35"/>
  <c r="N54" i="35"/>
  <c r="N36" i="35"/>
  <c r="N37" i="35"/>
  <c r="N38" i="35"/>
  <c r="N11" i="35"/>
  <c r="N56" i="35"/>
  <c r="N9" i="35"/>
  <c r="N44" i="35"/>
  <c r="N32" i="35"/>
  <c r="N3" i="35"/>
  <c r="N39" i="35"/>
  <c r="N33" i="35"/>
  <c r="N4" i="35"/>
  <c r="N2" i="35"/>
  <c r="N29" i="35"/>
  <c r="N16" i="35"/>
  <c r="N19" i="35"/>
  <c r="N25" i="35"/>
  <c r="N27" i="35"/>
  <c r="N41" i="35"/>
  <c r="N21" i="35"/>
  <c r="N34" i="35"/>
  <c r="N47" i="35"/>
  <c r="N14" i="35"/>
  <c r="N23" i="35"/>
  <c r="N18" i="35"/>
  <c r="N5" i="35"/>
  <c r="N42" i="35"/>
  <c r="N24" i="35"/>
  <c r="F36" i="75"/>
  <c r="G36" i="75"/>
  <c r="H36" i="75"/>
  <c r="F5" i="75"/>
  <c r="F44" i="57"/>
  <c r="G44" i="57"/>
  <c r="H44" i="57"/>
  <c r="F14" i="57"/>
  <c r="O419" i="38" l="1"/>
  <c r="P419" i="38" s="1"/>
  <c r="N419" i="38"/>
  <c r="W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N158" i="1" s="1"/>
  <c r="O158" i="1" s="1"/>
  <c r="F165" i="1"/>
  <c r="N165" i="1" s="1"/>
  <c r="O165" i="1" s="1"/>
  <c r="N161" i="1"/>
  <c r="O161" i="1" s="1"/>
  <c r="D418" i="38"/>
  <c r="E418" i="38"/>
  <c r="G418" i="38"/>
  <c r="H418" i="38"/>
  <c r="K418" i="38"/>
  <c r="L418" i="38" s="1"/>
  <c r="M418" i="38"/>
  <c r="N418" i="38" s="1"/>
  <c r="R418" i="38"/>
  <c r="U418" i="38"/>
  <c r="F263" i="7"/>
  <c r="H263" i="7"/>
  <c r="G263" i="7"/>
  <c r="K100" i="7"/>
  <c r="F43" i="57"/>
  <c r="G43" i="57"/>
  <c r="H43" i="57"/>
  <c r="F13" i="57"/>
  <c r="O418" i="38" l="1"/>
  <c r="P418" i="38" s="1"/>
  <c r="V418" i="38"/>
  <c r="W418" i="38" s="1"/>
  <c r="T418" i="38"/>
  <c r="L413" i="38"/>
  <c r="L414" i="38"/>
  <c r="L415" i="38"/>
  <c r="L416" i="38"/>
  <c r="G413" i="38"/>
  <c r="G414" i="38"/>
  <c r="G415" i="38"/>
  <c r="G416" i="38"/>
  <c r="G417" i="38"/>
  <c r="D415" i="38"/>
  <c r="D416" i="38"/>
  <c r="D417" i="38"/>
  <c r="E417" i="38"/>
  <c r="H417" i="38"/>
  <c r="K417" i="38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K6" i="17"/>
  <c r="K5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L417" i="38" l="1"/>
  <c r="O417" i="38" s="1"/>
  <c r="T417" i="38"/>
  <c r="U417" i="38"/>
  <c r="E416" i="38"/>
  <c r="H416" i="38"/>
  <c r="K416" i="38"/>
  <c r="M416" i="38"/>
  <c r="T416" i="38" s="1"/>
  <c r="R416" i="38"/>
  <c r="F77" i="25"/>
  <c r="H77" i="25"/>
  <c r="G77" i="25"/>
  <c r="L77" i="25" s="1"/>
  <c r="K8" i="25"/>
  <c r="O416" i="38" l="1"/>
  <c r="V417" i="38"/>
  <c r="W417" i="38" s="1"/>
  <c r="N416" i="38"/>
  <c r="L76" i="25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O415" i="38"/>
  <c r="M415" i="38"/>
  <c r="T415" i="38" s="1"/>
  <c r="N415" i="38"/>
  <c r="R415" i="38"/>
  <c r="F75" i="25"/>
  <c r="H75" i="25"/>
  <c r="G75" i="25"/>
  <c r="L75" i="25" s="1"/>
  <c r="F30" i="25"/>
  <c r="F29" i="25"/>
  <c r="F41" i="61"/>
  <c r="G41" i="61"/>
  <c r="H41" i="61"/>
  <c r="K5" i="61"/>
  <c r="D414" i="38" l="1"/>
  <c r="E414" i="38"/>
  <c r="H414" i="38"/>
  <c r="K414" i="38"/>
  <c r="M414" i="38"/>
  <c r="T414" i="38" s="1"/>
  <c r="R414" i="38"/>
  <c r="N414" i="38" l="1"/>
  <c r="O414" i="38"/>
  <c r="D413" i="38"/>
  <c r="E413" i="38"/>
  <c r="H413" i="38"/>
  <c r="K413" i="38"/>
  <c r="O413" i="38" s="1"/>
  <c r="P417" i="38" s="1"/>
  <c r="M413" i="38"/>
  <c r="T413" i="38" s="1"/>
  <c r="N413" i="38"/>
  <c r="R413" i="38"/>
  <c r="F33" i="58"/>
  <c r="H33" i="58"/>
  <c r="G33" i="58"/>
  <c r="F6" i="58"/>
  <c r="D412" i="38" l="1"/>
  <c r="E412" i="38"/>
  <c r="G412" i="38"/>
  <c r="H412" i="38"/>
  <c r="K412" i="38"/>
  <c r="L412" i="38" s="1"/>
  <c r="M412" i="38"/>
  <c r="T412" i="38" s="1"/>
  <c r="N412" i="38"/>
  <c r="R412" i="38"/>
  <c r="F39" i="43"/>
  <c r="H39" i="43"/>
  <c r="G39" i="43"/>
  <c r="F32" i="58"/>
  <c r="H32" i="58"/>
  <c r="G32" i="58"/>
  <c r="F5" i="58"/>
  <c r="F260" i="7"/>
  <c r="H260" i="7"/>
  <c r="G260" i="7"/>
  <c r="F112" i="7"/>
  <c r="O412" i="38" l="1"/>
  <c r="G409" i="38"/>
  <c r="G410" i="38"/>
  <c r="G411" i="38"/>
  <c r="D410" i="38"/>
  <c r="D411" i="38"/>
  <c r="E411" i="38"/>
  <c r="H411" i="38"/>
  <c r="K411" i="38"/>
  <c r="L411" i="38" s="1"/>
  <c r="M411" i="38"/>
  <c r="T411" i="38" s="1"/>
  <c r="N411" i="38"/>
  <c r="R411" i="38"/>
  <c r="F59" i="17"/>
  <c r="H59" i="17"/>
  <c r="G59" i="17"/>
  <c r="L59" i="17" s="1"/>
  <c r="F3" i="17"/>
  <c r="K4" i="17"/>
  <c r="F259" i="7"/>
  <c r="H259" i="7"/>
  <c r="G259" i="7"/>
  <c r="K98" i="7"/>
  <c r="T283" i="1"/>
  <c r="O411" i="38" l="1"/>
  <c r="F74" i="25"/>
  <c r="H74" i="25"/>
  <c r="G74" i="25"/>
  <c r="L74" i="25" s="1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M77" i="69"/>
  <c r="K77" i="69"/>
  <c r="C77" i="69"/>
  <c r="H77" i="69"/>
  <c r="F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73" i="25" l="1"/>
  <c r="H73" i="25"/>
  <c r="G73" i="25"/>
  <c r="L73" i="25" s="1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N403" i="38"/>
  <c r="R403" i="38"/>
  <c r="O403" i="38" l="1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2" i="76"/>
  <c r="F18" i="76" s="1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H19" i="76"/>
  <c r="F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L72" i="25" s="1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H53" i="17"/>
  <c r="L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L71" i="25" s="1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L70" i="25" s="1"/>
  <c r="K6" i="25"/>
  <c r="N389" i="38" l="1"/>
  <c r="O389" i="38"/>
  <c r="F69" i="25"/>
  <c r="G69" i="25"/>
  <c r="L69" i="25" s="1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L68" i="25" s="1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L67" i="25" s="1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L66" i="25" s="1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L65" i="25" s="1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L64" i="25" s="1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L63" i="25" s="1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L62" i="25" s="1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L61" i="25" s="1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L60" i="25" s="1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L59" i="25" s="1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L58" i="25" s="1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L57" i="25" s="1"/>
  <c r="H57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H93" i="68"/>
  <c r="F93" i="68"/>
  <c r="K93" i="68"/>
  <c r="M93" i="68"/>
  <c r="C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L56" i="25" s="1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H613" i="25"/>
  <c r="C613" i="25"/>
  <c r="F613" i="25"/>
  <c r="M613" i="25"/>
  <c r="K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M49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71" i="1" s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57"/>
  <c r="F24" i="40"/>
  <c r="F23" i="17"/>
  <c r="C30" i="49"/>
  <c r="K19" i="34"/>
  <c r="M119" i="7"/>
  <c r="M65" i="63"/>
  <c r="K19" i="64"/>
  <c r="K19" i="66"/>
  <c r="C19" i="72"/>
  <c r="F50" i="25"/>
  <c r="H19" i="73"/>
  <c r="H50" i="25"/>
  <c r="K32" i="31"/>
  <c r="C90" i="72"/>
  <c r="H19" i="45"/>
  <c r="K19" i="3"/>
  <c r="H19" i="60"/>
  <c r="K19" i="59"/>
  <c r="F19" i="55"/>
  <c r="H19" i="68"/>
  <c r="C111" i="54"/>
  <c r="K19" i="71"/>
  <c r="M19" i="72"/>
  <c r="K19" i="61"/>
  <c r="H19" i="61"/>
  <c r="C119" i="7"/>
  <c r="F84" i="61"/>
  <c r="C29" i="51"/>
  <c r="K77" i="70"/>
  <c r="C19" i="64"/>
  <c r="M19" i="52"/>
  <c r="K65" i="63"/>
  <c r="K100" i="34"/>
  <c r="K19" i="60"/>
  <c r="H19" i="41"/>
  <c r="M19" i="41"/>
  <c r="M19" i="3"/>
  <c r="M23" i="17"/>
  <c r="M94" i="52"/>
  <c r="F100" i="34"/>
  <c r="K19" i="45"/>
  <c r="H19" i="62"/>
  <c r="H23" i="17"/>
  <c r="K65" i="71"/>
  <c r="H103" i="58"/>
  <c r="K19" i="54"/>
  <c r="F19" i="73"/>
  <c r="H85" i="64"/>
  <c r="M100" i="34"/>
  <c r="M19" i="45"/>
  <c r="K119" i="7"/>
  <c r="M19" i="50"/>
  <c r="F19" i="69"/>
  <c r="F19" i="68"/>
  <c r="M156" i="49"/>
  <c r="C407" i="17"/>
  <c r="F120" i="57"/>
  <c r="M30" i="49"/>
  <c r="M19" i="60"/>
  <c r="K19" i="62"/>
  <c r="K19" i="41"/>
  <c r="F19" i="34"/>
  <c r="C50" i="25"/>
  <c r="K86" i="53"/>
  <c r="M86" i="53"/>
  <c r="F94" i="52"/>
  <c r="F19" i="63"/>
  <c r="H19" i="71"/>
  <c r="C100" i="34"/>
  <c r="F29" i="51"/>
  <c r="K50" i="25"/>
  <c r="F75" i="41"/>
  <c r="F30" i="49"/>
  <c r="H148" i="45"/>
  <c r="H100" i="34"/>
  <c r="M111" i="54"/>
  <c r="F19" i="60"/>
  <c r="C19" i="66"/>
  <c r="H86" i="53"/>
  <c r="C19" i="45"/>
  <c r="K19" i="58"/>
  <c r="K407" i="17"/>
  <c r="K67" i="60"/>
  <c r="H19" i="69"/>
  <c r="F19" i="64"/>
  <c r="C156" i="49"/>
  <c r="H19" i="66"/>
  <c r="M103" i="58"/>
  <c r="K23" i="17"/>
  <c r="H77" i="70"/>
  <c r="K19" i="57"/>
  <c r="H84" i="61"/>
  <c r="M19" i="68"/>
  <c r="F148" i="45"/>
  <c r="C19" i="54"/>
  <c r="C19" i="52"/>
  <c r="K24" i="40"/>
  <c r="M19" i="53"/>
  <c r="F90" i="72"/>
  <c r="M19" i="69"/>
  <c r="M55" i="50"/>
  <c r="K19" i="73"/>
  <c r="C65" i="63"/>
  <c r="C77" i="70"/>
  <c r="C19" i="71"/>
  <c r="M19" i="57"/>
  <c r="K103" i="58"/>
  <c r="K19" i="72"/>
  <c r="C75" i="41"/>
  <c r="K19" i="50"/>
  <c r="K19" i="68"/>
  <c r="F19" i="66"/>
  <c r="C32" i="31"/>
  <c r="H19" i="34"/>
  <c r="H19" i="54"/>
  <c r="H30" i="49"/>
  <c r="F19" i="53"/>
  <c r="M19" i="58"/>
  <c r="C19" i="63"/>
  <c r="C72" i="59"/>
  <c r="H119" i="7"/>
  <c r="K19" i="52"/>
  <c r="H19" i="72"/>
  <c r="H75" i="41"/>
  <c r="H29" i="51"/>
  <c r="F119" i="7"/>
  <c r="K29" i="51"/>
  <c r="M29" i="51"/>
  <c r="C19" i="61"/>
  <c r="F67" i="60"/>
  <c r="H120" i="57"/>
  <c r="C85" i="64"/>
  <c r="H19" i="59"/>
  <c r="C19" i="59"/>
  <c r="H90" i="72"/>
  <c r="H24" i="40"/>
  <c r="F63" i="66"/>
  <c r="K90" i="72"/>
  <c r="F19" i="41"/>
  <c r="M50" i="25"/>
  <c r="C94" i="52"/>
  <c r="H65" i="71"/>
  <c r="F19" i="58"/>
  <c r="H32" i="31"/>
  <c r="H72" i="59"/>
  <c r="F19" i="71"/>
  <c r="H19" i="63"/>
  <c r="H63" i="66"/>
  <c r="M19" i="66"/>
  <c r="C19" i="60"/>
  <c r="K30" i="49"/>
  <c r="M19" i="70"/>
  <c r="K19" i="70"/>
  <c r="K19" i="55"/>
  <c r="C19" i="50"/>
  <c r="M148" i="45"/>
  <c r="M84" i="61"/>
  <c r="M90" i="72"/>
  <c r="C86" i="53"/>
  <c r="M120" i="57"/>
  <c r="F19" i="72"/>
  <c r="K19" i="63"/>
  <c r="M24" i="40"/>
  <c r="K120" i="57"/>
  <c r="M65" i="71"/>
  <c r="M72" i="59"/>
  <c r="F19" i="3"/>
  <c r="H111" i="54"/>
  <c r="C65" i="71"/>
  <c r="H19" i="53"/>
  <c r="M19" i="54"/>
  <c r="C84" i="61"/>
  <c r="M19" i="61"/>
  <c r="F19" i="61"/>
  <c r="M67" i="60"/>
  <c r="C120" i="57"/>
  <c r="M75" i="41"/>
  <c r="K148" i="45"/>
  <c r="K19" i="53"/>
  <c r="F156" i="49"/>
  <c r="H19" i="50"/>
  <c r="F86" i="53"/>
  <c r="M19" i="73"/>
  <c r="C19" i="70"/>
  <c r="H19" i="70"/>
  <c r="M32" i="31"/>
  <c r="C19" i="55"/>
  <c r="M19" i="71"/>
  <c r="F65" i="63"/>
  <c r="M19" i="55"/>
  <c r="C67" i="60"/>
  <c r="K94" i="52"/>
  <c r="F19" i="70"/>
  <c r="M407" i="17"/>
  <c r="H19" i="64"/>
  <c r="M19" i="34"/>
  <c r="F19" i="59"/>
  <c r="C19" i="41"/>
  <c r="H65" i="63"/>
  <c r="F55" i="50"/>
  <c r="M77" i="70"/>
  <c r="H407" i="17"/>
  <c r="K85" i="64"/>
  <c r="K63" i="66"/>
  <c r="C148" i="45"/>
  <c r="H19" i="3"/>
  <c r="F103" i="58"/>
  <c r="H19" i="52"/>
  <c r="K156" i="49"/>
  <c r="C19" i="34"/>
  <c r="C19" i="3"/>
  <c r="M19" i="64"/>
  <c r="C23" i="17"/>
  <c r="C19" i="62"/>
  <c r="C19" i="73"/>
  <c r="F407" i="17"/>
  <c r="C19" i="58"/>
  <c r="M19" i="62"/>
  <c r="C63" i="66"/>
  <c r="C24" i="40"/>
  <c r="F19" i="52"/>
  <c r="H94" i="52"/>
  <c r="K111" i="54"/>
  <c r="F85" i="64"/>
  <c r="F72" i="59"/>
  <c r="K75" i="41"/>
  <c r="F32" i="31"/>
  <c r="K84" i="61"/>
  <c r="M85" i="64"/>
  <c r="C19" i="69"/>
  <c r="H19" i="58"/>
  <c r="K55" i="50"/>
  <c r="F77" i="70"/>
  <c r="H67" i="60"/>
  <c r="F111" i="54"/>
  <c r="F19" i="62"/>
  <c r="K19" i="69"/>
  <c r="C55" i="50"/>
  <c r="F19" i="50"/>
  <c r="M63" i="66"/>
  <c r="M19" i="63"/>
  <c r="C19" i="53"/>
  <c r="F65" i="71"/>
  <c r="F19" i="45"/>
  <c r="H55" i="50"/>
  <c r="K72" i="59"/>
  <c r="H156" i="49"/>
  <c r="C103" i="58"/>
  <c r="M19" i="59"/>
  <c r="F19" i="54"/>
  <c r="C19" i="68"/>
  <c r="H19" i="55"/>
  <c r="M19" i="75"/>
  <c r="K19" i="75"/>
  <c r="H19" i="75"/>
  <c r="F19" i="75"/>
  <c r="C19" i="75"/>
  <c r="F19" i="57"/>
  <c r="C19" i="57"/>
  <c r="U416" i="38" l="1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10" i="38" s="1"/>
  <c r="W41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15" i="38" l="1"/>
  <c r="W415" i="38" s="1"/>
  <c r="V416" i="38"/>
  <c r="W416" i="38" s="1"/>
  <c r="V413" i="38"/>
  <c r="W413" i="38" s="1"/>
  <c r="P412" i="38"/>
  <c r="V414" i="38"/>
  <c r="W414" i="38" s="1"/>
  <c r="P411" i="38"/>
  <c r="V411" i="38"/>
  <c r="W411" i="38" s="1"/>
  <c r="V412" i="38"/>
  <c r="W412" i="38" s="1"/>
  <c r="P413" i="38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14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06" i="38" l="1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3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4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6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7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8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9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0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1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2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3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4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5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6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7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8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9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0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1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2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3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4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5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4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5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6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7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8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9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0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1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2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3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4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5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6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7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8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9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0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1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2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4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5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6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7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8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9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1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2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4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6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7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8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4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5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6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7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8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9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0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<sst xmlns="http://schemas.openxmlformats.org/spreadsheetml/2006/main" count="5468" uniqueCount="770">
  <si>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</si>
  <si>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</si>
  <si>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</si>
  <si>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</si>
  <si>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</si>
  <si>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</si>
  <si>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</si>
  <si>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</si>
  <si>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</si>
  <si>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</si>
  <si>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</si>
  <si>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</si>
  <si>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</si>
  <si>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</si>
  <si>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</si>
  <si>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</si>
  <si>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</si>
  <si>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</si>
  <si>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</si>
  <si>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</si>
  <si>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</si>
  <si>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</si>
  <si>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</si>
  <si>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</si>
  <si>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</si>
  <si>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</si>
  <si>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</si>
  <si>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</si>
  <si>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</si>
  <si>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</si>
  <si>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</si>
  <si>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</si>
  <si>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</si>
  <si>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</si>
  <si>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</si>
  <si>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</si>
  <si>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</si>
  <si>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</si>
  <si>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</si>
  <si>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</si>
  <si>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</si>
  <si>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</si>
  <si>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</si>
  <si>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</si>
  <si>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</si>
  <si>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</si>
  <si>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</si>
  <si>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</si>
  <si>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</si>
  <si>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</si>
  <si>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</si>
  <si>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</si>
  <si>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</si>
  <si>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</si>
  <si>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</si>
  <si>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</si>
  <si>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</si>
  <si>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</si>
  <si>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</si>
  <si>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</si>
  <si>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</si>
  <si>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</si>
  <si>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</si>
  <si>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</si>
  <si>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</si>
  <si>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</si>
  <si>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</si>
  <si>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</si>
  <si>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</si>
  <si>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</si>
  <si>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</si>
  <si>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</si>
  <si>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</si>
  <si>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</si>
  <si>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</si>
  <si>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</si>
  <si>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</si>
  <si>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</si>
  <si>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</si>
  <si>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</si>
  <si>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</si>
  <si>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</si>
  <si>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</si>
  <si>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</si>
  <si>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</si>
  <si>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</si>
  <si>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</si>
  <si>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</si>
  <si>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</si>
  <si>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</si>
  <si>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</si>
  <si>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</si>
  <si>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</si>
  <si>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</si>
  <si>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</si>
  <si>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</si>
  <si>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</si>
  <si>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</si>
  <si>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</si>
  <si>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</si>
  <si>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</si>
  <si>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</si>
  <si>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</si>
  <si>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</si>
  <si>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</si>
  <si>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</si>
  <si>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</si>
  <si>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</si>
  <si>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</si>
  <si>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</si>
  <si>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</si>
  <si>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</si>
  <si>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</si>
  <si>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</si>
  <si>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</si>
  <si>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</si>
  <si>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</si>
  <si>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</si>
  <si>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</si>
  <si>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</si>
  <si>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</si>
  <si>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</si>
  <si>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</si>
  <si>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</si>
  <si>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</si>
  <si>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</si>
  <si>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</si>
  <si>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</si>
  <si>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</si>
  <si>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</si>
  <si>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</si>
  <si>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</si>
  <si>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</si>
  <si>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</si>
  <si>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</si>
  <si>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</si>
  <si>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</si>
  <si>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</si>
  <si>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</si>
  <si>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</si>
  <si>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</si>
  <si>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</si>
  <si>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</si>
  <si>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</si>
  <si>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</si>
  <si>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</si>
  <si>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</si>
  <si>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</si>
  <si>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</si>
  <si>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</si>
  <si>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</si>
  <si>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</si>
  <si>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</si>
  <si>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</si>
  <si>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</si>
  <si>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</si>
  <si>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</si>
  <si>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</si>
  <si>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</si>
  <si>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</si>
  <si>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</si>
  <si>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</si>
  <si>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</si>
  <si>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</si>
  <si>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</si>
  <si>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</si>
  <si>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</si>
  <si>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</si>
  <si>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</si>
  <si>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</si>
  <si>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</si>
  <si>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</si>
  <si>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</si>
  <si>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</si>
  <si>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</si>
  <si>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</si>
  <si>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</si>
  <si>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</si>
  <si>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</si>
  <si>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</si>
  <si>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</si>
  <si>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</si>
  <si>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</si>
  <si>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</si>
  <si>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</si>
  <si>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</si>
  <si>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</si>
  <si>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</si>
  <si>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</si>
  <si>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</si>
  <si>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</si>
  <si>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</si>
  <si>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</si>
  <si>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</si>
  <si>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</si>
  <si>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</si>
  <si>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</si>
  <si>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</si>
  <si>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</si>
  <si>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</si>
  <si>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</si>
  <si>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</si>
  <si>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</si>
  <si>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</si>
  <si>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</si>
  <si>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</si>
  <si>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</si>
  <si>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</si>
  <si>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</si>
  <si>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</si>
  <si>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</si>
  <si>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</si>
  <si>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</si>
  <si>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</si>
  <si>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</si>
  <si>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</si>
  <si>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</si>
  <si>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</si>
  <si>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</si>
  <si>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</si>
  <si>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</si>
  <si>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</si>
  <si>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</si>
  <si>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</si>
  <si>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</si>
  <si>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</si>
  <si>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</si>
  <si>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</si>
  <si>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</si>
  <si>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</si>
  <si>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</si>
  <si>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</si>
  <si>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</si>
  <si>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</si>
  <si>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</si>
  <si>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</si>
  <si>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</si>
  <si>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</si>
  <si>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</si>
  <si>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</si>
  <si>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</si>
  <si>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</si>
  <si>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</si>
  <si>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</si>
  <si>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</si>
  <si>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</si>
  <si>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</si>
  <si>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</si>
  <si>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</si>
  <si>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</si>
  <si>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</si>
  <si>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</si>
  <si>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</si>
  <si>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</si>
  <si>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</si>
  <si>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</si>
  <si>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</si>
  <si>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</si>
  <si>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</si>
  <si>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</si>
  <si>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</si>
  <si>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</si>
  <si>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</si>
  <si>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</si>
  <si>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</si>
  <si>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</si>
  <si>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</si>
  <si>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</si>
  <si>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</si>
  <si>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</si>
  <si>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</si>
  <si>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</si>
  <si>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</si>
  <si>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</si>
  <si>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</si>
  <si>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</si>
  <si>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</si>
  <si>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</si>
  <si>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</si>
  <si>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</si>
  <si>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</si>
  <si>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</si>
  <si>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</si>
  <si>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</si>
  <si>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</si>
  <si>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</si>
  <si>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</si>
  <si>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</si>
  <si>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</si>
  <si>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</si>
  <si>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</si>
  <si>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</si>
  <si>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</si>
  <si>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</si>
  <si>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</si>
  <si>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</si>
  <si>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</si>
  <si>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</si>
  <si>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</si>
  <si>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</si>
  <si>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</si>
  <si>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</si>
  <si>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</si>
  <si>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</si>
  <si>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</si>
  <si>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</si>
  <si>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</si>
  <si>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</si>
  <si>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</si>
  <si>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</si>
  <si>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</si>
  <si>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</si>
  <si>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</si>
  <si>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</si>
  <si>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</si>
  <si>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</si>
  <si>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</si>
  <si>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</si>
  <si>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</si>
  <si>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</si>
  <si>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</si>
  <si>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</si>
  <si>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</si>
  <si>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</si>
  <si>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</si>
  <si>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</si>
  <si>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</si>
  <si>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</si>
  <si>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</si>
  <si>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</si>
  <si>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</si>
  <si>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</si>
  <si>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</si>
  <si>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</si>
  <si>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</si>
  <si>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</si>
  <si>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</si>
  <si>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</si>
  <si>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</si>
  <si>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</si>
  <si>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</si>
  <si>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</si>
  <si>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</si>
  <si>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</si>
  <si>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</si>
  <si>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</si>
  <si>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</si>
  <si>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</si>
  <si>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</si>
  <si>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</si>
  <si>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</si>
  <si>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</si>
  <si>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</si>
  <si>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</si>
  <si>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</si>
  <si>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</si>
  <si>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</si>
  <si>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</si>
  <si>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</si>
  <si>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</si>
  <si>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</si>
  <si>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</si>
  <si>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</si>
  <si>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</si>
  <si>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</si>
  <si>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</si>
  <si>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</si>
  <si>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</si>
  <si>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</si>
  <si>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</si>
  <si>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</si>
  <si>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</si>
  <si>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</si>
  <si>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</si>
  <si>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</si>
  <si>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</si>
  <si>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</si>
  <si>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</si>
  <si>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</si>
  <si>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</si>
  <si>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</si>
  <si>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</si>
  <si>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</si>
  <si>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</si>
  <si>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</si>
  <si>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</si>
  <si>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</si>
  <si>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</si>
  <si>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</si>
  <si>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</si>
  <si>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</si>
  <si>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</si>
  <si>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</si>
  <si>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</si>
  <si>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</si>
  <si>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</si>
  <si>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</si>
  <si>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</si>
  <si>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</si>
  <si>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</si>
  <si>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</si>
  <si>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</si>
  <si>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</si>
  <si>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</si>
  <si>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</si>
  <si>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</si>
  <si>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</si>
  <si>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</si>
  <si>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</si>
  <si>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</si>
  <si>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</si>
  <si>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</si>
  <si>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</si>
  <si>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</si>
  <si>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</si>
  <si>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</si>
  <si>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</si>
  <si>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</si>
  <si>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</si>
  <si>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</si>
  <si>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</si>
  <si>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</si>
  <si>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</si>
  <si>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</si>
  <si>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</si>
  <si>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</si>
  <si>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</si>
  <si>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</si>
  <si>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</si>
  <si>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</si>
  <si>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</si>
  <si>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</si>
  <si>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</si>
  <si>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</si>
  <si>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</si>
  <si>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</si>
  <si>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</si>
  <si>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</si>
  <si>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</si>
  <si>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</si>
  <si>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</si>
  <si>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</si>
  <si>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</si>
  <si>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</si>
  <si>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</si>
  <si>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</si>
  <si>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</si>
  <si>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</si>
  <si>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</si>
  <si>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</si>
  <si>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</si>
  <si>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</si>
  <si>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</si>
  <si>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</si>
  <si>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</si>
  <si>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</si>
  <si>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</si>
  <si>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</si>
  <si>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</si>
  <si>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</si>
  <si>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</si>
  <si>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</si>
  <si>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</si>
  <si>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</si>
  <si>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</si>
  <si>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</si>
  <si>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</si>
  <si>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</si>
  <si>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</si>
  <si>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</si>
  <si>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</si>
  <si>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</si>
  <si>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</si>
  <si>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</si>
  <si>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</si>
  <si>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</si>
  <si>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</si>
  <si>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</si>
  <si>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</si>
  <si>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</si>
  <si>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</si>
  <si>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</si>
  <si>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</si>
  <si>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</si>
  <si>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</si>
  <si>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</si>
  <si>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</si>
  <si>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</si>
  <si>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</si>
  <si>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</si>
  <si>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</si>
  <si>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</si>
  <si>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</si>
  <si>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</si>
  <si>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</si>
  <si>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</si>
  <si>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</si>
  <si>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</si>
  <si>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</si>
  <si>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</si>
  <si>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</si>
  <si>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</si>
  <si>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</si>
  <si>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</si>
  <si>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</si>
  <si>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</si>
  <si>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</si>
  <si>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</si>
  <si>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</si>
  <si>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</si>
  <si>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</si>
  <si>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</si>
  <si>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</si>
  <si>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</si>
  <si>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</si>
  <si>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</si>
  <si>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</si>
  <si>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</si>
  <si>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</si>
  <si>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</si>
  <si>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</si>
  <si>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</si>
  <si>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</si>
  <si>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</si>
  <si>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</si>
  <si>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</si>
  <si>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</si>
  <si>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</si>
  <si>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</si>
  <si>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</si>
  <si>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</si>
  <si>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</si>
  <si>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</si>
  <si>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</si>
  <si>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</si>
  <si>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</si>
  <si>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</si>
  <si>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</si>
  <si>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</si>
  <si>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~6/6</t>
  </si>
  <si>
    <t>ex ~5/3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</si>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</sst>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3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37"/>
      <tableStyleElement type="headerRow" dxfId="1336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676680"/>
        <c:axId val="379677072"/>
      </c:scatterChart>
      <c:valAx>
        <c:axId val="37967668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77072"/>
        <c:crosses val="autoZero"/>
        <c:crossBetween val="midCat"/>
      </c:valAx>
      <c:valAx>
        <c:axId val="379677072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7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677856"/>
        <c:axId val="379678248"/>
      </c:scatterChart>
      <c:valAx>
        <c:axId val="37967785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78248"/>
        <c:crosses val="autoZero"/>
        <c:crossBetween val="midCat"/>
      </c:valAx>
      <c:valAx>
        <c:axId val="37967824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7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679032"/>
        <c:axId val="379679424"/>
      </c:scatterChart>
      <c:valAx>
        <c:axId val="37967903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79424"/>
        <c:crosses val="autoZero"/>
        <c:crossBetween val="midCat"/>
      </c:valAx>
      <c:valAx>
        <c:axId val="37967942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79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680208"/>
        <c:axId val="379680600"/>
      </c:scatterChart>
      <c:valAx>
        <c:axId val="37968020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80600"/>
        <c:crosses val="autoZero"/>
        <c:crossBetween val="midCat"/>
      </c:valAx>
      <c:valAx>
        <c:axId val="37968060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80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682952"/>
        <c:axId val="379683344"/>
      </c:scatterChart>
      <c:valAx>
        <c:axId val="37968295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83344"/>
        <c:crosses val="autoZero"/>
        <c:crossBetween val="midCat"/>
      </c:valAx>
      <c:valAx>
        <c:axId val="37968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82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684520"/>
        <c:axId val="379684912"/>
      </c:scatterChart>
      <c:valAx>
        <c:axId val="37968452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84912"/>
        <c:crosses val="autoZero"/>
        <c:crossBetween val="midCat"/>
      </c:valAx>
      <c:valAx>
        <c:axId val="37968491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84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685696"/>
        <c:axId val="377903904"/>
      </c:scatterChart>
      <c:valAx>
        <c:axId val="37968569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903904"/>
        <c:crosses val="autoZero"/>
        <c:crossBetween val="midCat"/>
      </c:valAx>
      <c:valAx>
        <c:axId val="3779039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856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905864"/>
        <c:axId val="377906256"/>
      </c:lineChart>
      <c:dateAx>
        <c:axId val="377905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906256"/>
        <c:crosses val="autoZero"/>
        <c:auto val="1"/>
        <c:lblOffset val="100"/>
        <c:baseTimeUnit val="days"/>
      </c:dateAx>
      <c:valAx>
        <c:axId val="37790625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90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684128"/>
        <c:axId val="379682560"/>
      </c:lineChart>
      <c:dateAx>
        <c:axId val="379684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82560"/>
        <c:crosses val="autoZero"/>
        <c:auto val="1"/>
        <c:lblOffset val="100"/>
        <c:baseTimeUnit val="days"/>
      </c:dateAx>
      <c:valAx>
        <c:axId val="37968256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8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908608"/>
        <c:axId val="377909000"/>
      </c:lineChart>
      <c:dateAx>
        <c:axId val="377908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909000"/>
        <c:crosses val="autoZero"/>
        <c:auto val="1"/>
        <c:lblOffset val="100"/>
        <c:baseTimeUnit val="days"/>
      </c:dateAx>
      <c:valAx>
        <c:axId val="3779090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90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910960"/>
        <c:axId val="377911352"/>
      </c:lineChart>
      <c:dateAx>
        <c:axId val="377910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911352"/>
        <c:crosses val="autoZero"/>
        <c:auto val="1"/>
        <c:lblOffset val="100"/>
        <c:baseTimeUnit val="days"/>
      </c:dateAx>
      <c:valAx>
        <c:axId val="3779113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91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494104"/>
        <c:axId val="517494496"/>
      </c:lineChart>
      <c:dateAx>
        <c:axId val="517494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494496"/>
        <c:crosses val="autoZero"/>
        <c:auto val="1"/>
        <c:lblOffset val="100"/>
        <c:baseTimeUnit val="days"/>
      </c:dateAx>
      <c:valAx>
        <c:axId val="51749449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49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496064"/>
        <c:axId val="517496456"/>
      </c:lineChart>
      <c:dateAx>
        <c:axId val="517496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496456"/>
        <c:crosses val="autoZero"/>
        <c:auto val="1"/>
        <c:lblOffset val="100"/>
        <c:baseTimeUnit val="days"/>
      </c:dateAx>
      <c:valAx>
        <c:axId val="5174964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49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498416"/>
        <c:axId val="517498808"/>
      </c:lineChart>
      <c:dateAx>
        <c:axId val="517498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498808"/>
        <c:crosses val="autoZero"/>
        <c:auto val="1"/>
        <c:lblOffset val="100"/>
        <c:baseTimeUnit val="days"/>
      </c:dateAx>
      <c:valAx>
        <c:axId val="517498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49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500768"/>
        <c:axId val="517501160"/>
      </c:lineChart>
      <c:dateAx>
        <c:axId val="517500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01160"/>
        <c:crosses val="autoZero"/>
        <c:auto val="1"/>
        <c:lblOffset val="100"/>
        <c:baseTimeUnit val="days"/>
      </c:dateAx>
      <c:valAx>
        <c:axId val="5175011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00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503120"/>
        <c:axId val="517503512"/>
      </c:lineChart>
      <c:dateAx>
        <c:axId val="517503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03512"/>
        <c:crosses val="autoZero"/>
        <c:auto val="1"/>
        <c:lblOffset val="100"/>
        <c:baseTimeUnit val="days"/>
      </c:dateAx>
      <c:valAx>
        <c:axId val="51750351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0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505472"/>
        <c:axId val="517505864"/>
      </c:lineChart>
      <c:dateAx>
        <c:axId val="517505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05864"/>
        <c:crosses val="autoZero"/>
        <c:auto val="1"/>
        <c:lblOffset val="100"/>
        <c:baseTimeUnit val="days"/>
      </c:dateAx>
      <c:valAx>
        <c:axId val="51750586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0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507824"/>
        <c:axId val="517508216"/>
      </c:lineChart>
      <c:dateAx>
        <c:axId val="517507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08216"/>
        <c:crosses val="autoZero"/>
        <c:auto val="1"/>
        <c:lblOffset val="100"/>
        <c:baseTimeUnit val="days"/>
      </c:dateAx>
      <c:valAx>
        <c:axId val="5175082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0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749576"/>
        <c:axId val="519749968"/>
      </c:lineChart>
      <c:dateAx>
        <c:axId val="519749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49968"/>
        <c:crosses val="autoZero"/>
        <c:auto val="1"/>
        <c:lblOffset val="100"/>
        <c:baseTimeUnit val="days"/>
      </c:dateAx>
      <c:valAx>
        <c:axId val="5197499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4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751144"/>
        <c:axId val="519751536"/>
      </c:lineChart>
      <c:catAx>
        <c:axId val="519751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51536"/>
        <c:crosses val="autoZero"/>
        <c:auto val="1"/>
        <c:lblAlgn val="ctr"/>
        <c:lblOffset val="100"/>
        <c:noMultiLvlLbl val="0"/>
      </c:catAx>
      <c:valAx>
        <c:axId val="5197515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5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753888"/>
        <c:axId val="519754280"/>
      </c:lineChart>
      <c:dateAx>
        <c:axId val="519753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54280"/>
        <c:crosses val="autoZero"/>
        <c:auto val="1"/>
        <c:lblOffset val="100"/>
        <c:baseTimeUnit val="days"/>
      </c:dateAx>
      <c:valAx>
        <c:axId val="5197542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5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756632"/>
        <c:axId val="519757024"/>
      </c:lineChart>
      <c:dateAx>
        <c:axId val="519756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57024"/>
        <c:crosses val="autoZero"/>
        <c:auto val="1"/>
        <c:lblOffset val="100"/>
        <c:baseTimeUnit val="days"/>
      </c:dateAx>
      <c:valAx>
        <c:axId val="51975702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56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758592"/>
        <c:axId val="519758984"/>
      </c:lineChart>
      <c:catAx>
        <c:axId val="519758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58984"/>
        <c:crosses val="autoZero"/>
        <c:auto val="1"/>
        <c:lblAlgn val="ctr"/>
        <c:lblOffset val="100"/>
        <c:noMultiLvlLbl val="1"/>
      </c:catAx>
      <c:valAx>
        <c:axId val="51975898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5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760552"/>
        <c:axId val="519760944"/>
      </c:lineChart>
      <c:dateAx>
        <c:axId val="519760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60944"/>
        <c:crosses val="autoZero"/>
        <c:auto val="1"/>
        <c:lblOffset val="100"/>
        <c:baseTimeUnit val="days"/>
      </c:dateAx>
      <c:valAx>
        <c:axId val="51976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60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762904"/>
        <c:axId val="519763296"/>
      </c:lineChart>
      <c:dateAx>
        <c:axId val="519762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63296"/>
        <c:crosses val="autoZero"/>
        <c:auto val="1"/>
        <c:lblOffset val="100"/>
        <c:baseTimeUnit val="days"/>
      </c:dateAx>
      <c:valAx>
        <c:axId val="51976329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6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334704"/>
        <c:axId val="530335096"/>
      </c:lineChart>
      <c:dateAx>
        <c:axId val="530334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35096"/>
        <c:crosses val="autoZero"/>
        <c:auto val="1"/>
        <c:lblOffset val="100"/>
        <c:baseTimeUnit val="days"/>
      </c:dateAx>
      <c:valAx>
        <c:axId val="5303350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3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337056"/>
        <c:axId val="530337448"/>
      </c:lineChart>
      <c:dateAx>
        <c:axId val="530337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37448"/>
        <c:crosses val="autoZero"/>
        <c:auto val="1"/>
        <c:lblOffset val="100"/>
        <c:baseTimeUnit val="days"/>
      </c:dateAx>
      <c:valAx>
        <c:axId val="53033744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3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339408"/>
        <c:axId val="530339800"/>
      </c:lineChart>
      <c:dateAx>
        <c:axId val="530339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39800"/>
        <c:crosses val="autoZero"/>
        <c:auto val="1"/>
        <c:lblOffset val="100"/>
        <c:baseTimeUnit val="days"/>
      </c:dateAx>
      <c:valAx>
        <c:axId val="5303398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3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61232"/>
        <c:axId val="549461624"/>
      </c:lineChart>
      <c:catAx>
        <c:axId val="549461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61624"/>
        <c:crosses val="autoZero"/>
        <c:auto val="1"/>
        <c:lblAlgn val="ctr"/>
        <c:lblOffset val="100"/>
        <c:noMultiLvlLbl val="0"/>
      </c:catAx>
      <c:valAx>
        <c:axId val="5494616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6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63584"/>
        <c:axId val="549463976"/>
      </c:lineChart>
      <c:dateAx>
        <c:axId val="549463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63976"/>
        <c:crosses val="autoZero"/>
        <c:auto val="1"/>
        <c:lblOffset val="100"/>
        <c:baseTimeUnit val="days"/>
      </c:dateAx>
      <c:valAx>
        <c:axId val="54946397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6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65936"/>
        <c:axId val="549466328"/>
      </c:lineChart>
      <c:dateAx>
        <c:axId val="549465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66328"/>
        <c:crosses val="autoZero"/>
        <c:auto val="1"/>
        <c:lblOffset val="100"/>
        <c:baseTimeUnit val="days"/>
      </c:dateAx>
      <c:valAx>
        <c:axId val="5494663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6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68288"/>
        <c:axId val="549468680"/>
      </c:lineChart>
      <c:catAx>
        <c:axId val="549468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68680"/>
        <c:crosses val="autoZero"/>
        <c:auto val="1"/>
        <c:lblAlgn val="ctr"/>
        <c:lblOffset val="100"/>
        <c:noMultiLvlLbl val="0"/>
      </c:catAx>
      <c:valAx>
        <c:axId val="5494686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6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70640"/>
        <c:axId val="549471032"/>
      </c:lineChart>
      <c:dateAx>
        <c:axId val="549470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71032"/>
        <c:crosses val="autoZero"/>
        <c:auto val="1"/>
        <c:lblOffset val="100"/>
        <c:baseTimeUnit val="days"/>
      </c:dateAx>
      <c:valAx>
        <c:axId val="5494710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7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72992"/>
        <c:axId val="549473384"/>
      </c:lineChart>
      <c:catAx>
        <c:axId val="549472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73384"/>
        <c:crosses val="autoZero"/>
        <c:auto val="1"/>
        <c:lblAlgn val="ctr"/>
        <c:lblOffset val="100"/>
        <c:noMultiLvlLbl val="0"/>
      </c:catAx>
      <c:valAx>
        <c:axId val="5494733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7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75344"/>
        <c:axId val="549475736"/>
      </c:lineChart>
      <c:dateAx>
        <c:axId val="549475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75736"/>
        <c:crosses val="autoZero"/>
        <c:auto val="1"/>
        <c:lblOffset val="100"/>
        <c:baseTimeUnit val="days"/>
      </c:dateAx>
      <c:valAx>
        <c:axId val="54947573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7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760504"/>
        <c:axId val="587760896"/>
      </c:lineChart>
      <c:dateAx>
        <c:axId val="587760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60896"/>
        <c:crosses val="autoZero"/>
        <c:auto val="1"/>
        <c:lblOffset val="100"/>
        <c:baseTimeUnit val="days"/>
      </c:dateAx>
      <c:valAx>
        <c:axId val="5877608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6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762856"/>
        <c:axId val="587763248"/>
      </c:lineChart>
      <c:dateAx>
        <c:axId val="587762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63248"/>
        <c:crosses val="autoZero"/>
        <c:auto val="1"/>
        <c:lblOffset val="100"/>
        <c:baseTimeUnit val="days"/>
      </c:dateAx>
      <c:valAx>
        <c:axId val="5877632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6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765208"/>
        <c:axId val="587765600"/>
      </c:lineChart>
      <c:dateAx>
        <c:axId val="587765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65600"/>
        <c:crosses val="autoZero"/>
        <c:auto val="1"/>
        <c:lblOffset val="100"/>
        <c:baseTimeUnit val="days"/>
      </c:dateAx>
      <c:valAx>
        <c:axId val="5877656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65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767560"/>
        <c:axId val="587767952"/>
      </c:lineChart>
      <c:dateAx>
        <c:axId val="587767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67952"/>
        <c:crosses val="autoZero"/>
        <c:auto val="1"/>
        <c:lblOffset val="100"/>
        <c:baseTimeUnit val="days"/>
      </c:dateAx>
      <c:valAx>
        <c:axId val="58776795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6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769912"/>
        <c:axId val="587770304"/>
      </c:lineChart>
      <c:dateAx>
        <c:axId val="58776991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70304"/>
        <c:crosses val="autoZero"/>
        <c:auto val="0"/>
        <c:lblOffset val="100"/>
        <c:baseTimeUnit val="days"/>
      </c:dateAx>
      <c:valAx>
        <c:axId val="58777030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69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771872"/>
        <c:axId val="587772264"/>
      </c:lineChart>
      <c:catAx>
        <c:axId val="587771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72264"/>
        <c:crosses val="autoZero"/>
        <c:auto val="1"/>
        <c:lblAlgn val="ctr"/>
        <c:lblOffset val="100"/>
        <c:noMultiLvlLbl val="1"/>
      </c:catAx>
      <c:valAx>
        <c:axId val="587772264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774224"/>
        <c:axId val="587774616"/>
      </c:lineChart>
      <c:dateAx>
        <c:axId val="587774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74616"/>
        <c:crosses val="autoZero"/>
        <c:auto val="1"/>
        <c:lblOffset val="100"/>
        <c:baseTimeUnit val="days"/>
      </c:dateAx>
      <c:valAx>
        <c:axId val="58777461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7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997408"/>
        <c:axId val="587997800"/>
      </c:lineChart>
      <c:dateAx>
        <c:axId val="587997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97800"/>
        <c:crosses val="autoZero"/>
        <c:auto val="1"/>
        <c:lblOffset val="100"/>
        <c:baseTimeUnit val="days"/>
      </c:dateAx>
      <c:valAx>
        <c:axId val="58799780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9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999760"/>
        <c:axId val="588000152"/>
      </c:lineChart>
      <c:dateAx>
        <c:axId val="5879997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00152"/>
        <c:crosses val="autoZero"/>
        <c:auto val="1"/>
        <c:lblOffset val="100"/>
        <c:baseTimeUnit val="days"/>
      </c:dateAx>
      <c:valAx>
        <c:axId val="5880001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99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002112"/>
        <c:axId val="588002504"/>
      </c:lineChart>
      <c:catAx>
        <c:axId val="588002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02504"/>
        <c:crosses val="autoZero"/>
        <c:auto val="1"/>
        <c:lblAlgn val="ctr"/>
        <c:lblOffset val="100"/>
        <c:noMultiLvlLbl val="0"/>
      </c:catAx>
      <c:valAx>
        <c:axId val="5880025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0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004464"/>
        <c:axId val="588004856"/>
      </c:lineChart>
      <c:catAx>
        <c:axId val="588004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04856"/>
        <c:crosses val="autoZero"/>
        <c:auto val="1"/>
        <c:lblAlgn val="ctr"/>
        <c:lblOffset val="100"/>
        <c:noMultiLvlLbl val="0"/>
      </c:catAx>
      <c:valAx>
        <c:axId val="58800485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0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006816"/>
        <c:axId val="588007208"/>
      </c:lineChart>
      <c:catAx>
        <c:axId val="588006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07208"/>
        <c:crosses val="autoZero"/>
        <c:auto val="1"/>
        <c:lblAlgn val="ctr"/>
        <c:lblOffset val="100"/>
        <c:noMultiLvlLbl val="0"/>
      </c:catAx>
      <c:valAx>
        <c:axId val="5880072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0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009168"/>
        <c:axId val="588009560"/>
      </c:lineChart>
      <c:dateAx>
        <c:axId val="588009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09560"/>
        <c:crosses val="autoZero"/>
        <c:auto val="1"/>
        <c:lblOffset val="100"/>
        <c:baseTimeUnit val="days"/>
      </c:dateAx>
      <c:valAx>
        <c:axId val="5880095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0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011520"/>
        <c:axId val="588011912"/>
      </c:lineChart>
      <c:dateAx>
        <c:axId val="588011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11912"/>
        <c:crosses val="autoZero"/>
        <c:auto val="1"/>
        <c:lblOffset val="100"/>
        <c:baseTimeUnit val="days"/>
      </c:dateAx>
      <c:valAx>
        <c:axId val="58801191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1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782704"/>
        <c:axId val="598783096"/>
      </c:lineChart>
      <c:dateAx>
        <c:axId val="598782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83096"/>
        <c:crosses val="autoZero"/>
        <c:auto val="1"/>
        <c:lblOffset val="100"/>
        <c:baseTimeUnit val="days"/>
      </c:dateAx>
      <c:valAx>
        <c:axId val="59878309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8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784664"/>
        <c:axId val="598785056"/>
      </c:lineChart>
      <c:catAx>
        <c:axId val="5987846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85056"/>
        <c:crosses val="autoZero"/>
        <c:auto val="1"/>
        <c:lblAlgn val="ctr"/>
        <c:lblOffset val="100"/>
        <c:noMultiLvlLbl val="1"/>
      </c:catAx>
      <c:valAx>
        <c:axId val="59878505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84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787016"/>
        <c:axId val="598787408"/>
      </c:lineChart>
      <c:dateAx>
        <c:axId val="598787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87408"/>
        <c:crosses val="autoZero"/>
        <c:auto val="1"/>
        <c:lblOffset val="100"/>
        <c:baseTimeUnit val="days"/>
      </c:dateAx>
      <c:valAx>
        <c:axId val="5987874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8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789368"/>
        <c:axId val="598789760"/>
      </c:lineChart>
      <c:dateAx>
        <c:axId val="598789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89760"/>
        <c:crosses val="autoZero"/>
        <c:auto val="1"/>
        <c:lblOffset val="100"/>
        <c:baseTimeUnit val="days"/>
      </c:dateAx>
      <c:valAx>
        <c:axId val="598789760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8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791720"/>
        <c:axId val="598792112"/>
      </c:lineChart>
      <c:catAx>
        <c:axId val="598791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92112"/>
        <c:crosses val="autoZero"/>
        <c:auto val="1"/>
        <c:lblAlgn val="ctr"/>
        <c:lblOffset val="100"/>
        <c:noMultiLvlLbl val="0"/>
      </c:catAx>
      <c:valAx>
        <c:axId val="598792112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9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794072"/>
        <c:axId val="598794464"/>
      </c:lineChart>
      <c:dateAx>
        <c:axId val="598794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94464"/>
        <c:crosses val="autoZero"/>
        <c:auto val="1"/>
        <c:lblOffset val="100"/>
        <c:baseTimeUnit val="days"/>
      </c:dateAx>
      <c:valAx>
        <c:axId val="59879446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9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796424"/>
        <c:axId val="598796816"/>
      </c:lineChart>
      <c:dateAx>
        <c:axId val="598796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96816"/>
        <c:crosses val="autoZero"/>
        <c:auto val="1"/>
        <c:lblOffset val="100"/>
        <c:baseTimeUnit val="days"/>
      </c:dateAx>
      <c:valAx>
        <c:axId val="5987968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96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798776"/>
        <c:axId val="598799168"/>
      </c:lineChart>
      <c:catAx>
        <c:axId val="598798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99168"/>
        <c:crosses val="autoZero"/>
        <c:auto val="1"/>
        <c:lblAlgn val="ctr"/>
        <c:lblOffset val="100"/>
        <c:noMultiLvlLbl val="0"/>
      </c:catAx>
      <c:valAx>
        <c:axId val="5987991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9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801128"/>
        <c:axId val="598801520"/>
      </c:lineChart>
      <c:catAx>
        <c:axId val="598801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01520"/>
        <c:crosses val="autoZero"/>
        <c:auto val="1"/>
        <c:lblAlgn val="ctr"/>
        <c:lblOffset val="100"/>
        <c:noMultiLvlLbl val="0"/>
      </c:catAx>
      <c:valAx>
        <c:axId val="5988015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0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803480"/>
        <c:axId val="598803872"/>
      </c:lineChart>
      <c:catAx>
        <c:axId val="598803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03872"/>
        <c:crosses val="autoZero"/>
        <c:auto val="1"/>
        <c:lblAlgn val="ctr"/>
        <c:lblOffset val="100"/>
        <c:noMultiLvlLbl val="0"/>
      </c:catAx>
      <c:valAx>
        <c:axId val="5988038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0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805832"/>
        <c:axId val="598806224"/>
      </c:lineChart>
      <c:dateAx>
        <c:axId val="598805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06224"/>
        <c:crosses val="autoZero"/>
        <c:auto val="1"/>
        <c:lblOffset val="100"/>
        <c:baseTimeUnit val="days"/>
      </c:dateAx>
      <c:valAx>
        <c:axId val="5988062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0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808184"/>
        <c:axId val="598808576"/>
      </c:lineChart>
      <c:dateAx>
        <c:axId val="598808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08576"/>
        <c:crosses val="autoZero"/>
        <c:auto val="1"/>
        <c:lblOffset val="100"/>
        <c:baseTimeUnit val="days"/>
      </c:dateAx>
      <c:valAx>
        <c:axId val="5988085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08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KAM" backgroundRefresh="0" connectionId="8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KR" backgroundRefresh="0" adjustColumnWidth="0" connectionId="2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KR" backgroundRefres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7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10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CPN" backgroundRefresh="0" connectionId="4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PN+Historical+Prices" backgroundRefresh="0" adjustColumnWidth="0" connectionId="5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KE" backgroundRefresh="0" connectionId="1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ke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MOS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MOS" backgroundRefresh="0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vgk" backgroundRefresh="0" connectionId="8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backgroundRefresh="0" connectionId="8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U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backgroundRefresh="0" connectionId="7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IP" backgroundRefresh="0" connectionId="5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IP" backgroundRefresh="0" adjustColumnWidth="0" connectionId="6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2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HES" backgroundRefresh="0" connectionId="8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1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clh" backgroundRefres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SPY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SPY" backgroundRefresh="0" connectionId="7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FC" backgroundRefresh="0" adjustColumnWidth="0" connectionId="6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FC" backgroundRefresh="0" connectionId="6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F" backgroundRefresh="0" connectionId="4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6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KORS" backgroundRefresh="0" adjustColumnWidth="0" connectionId="3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ALL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ALL" backgroundRefres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3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AL" connectionId="2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ual" backgroundRefresh="0" adjustColumnWidth="0" connectionId="2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CAH" backgroundRefresh="0" connectionId="4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CAH" backgroundRefresh="0" adjustColumnWidth="0" connectionId="4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DAL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IS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TR" backgroundRefresh="0" adjustColumnWidth="0" connectionId="5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34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LD" backgroundRefresh="0" adjustColumnWidth="0" connectionId="3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WWD" backgroundRefresh="0" adjustColumnWidth="0" connectionId="5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backgroundRefresh="0" adjustColumnWidth="0" connectionId="7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S" adjustColumnWidth="0" connectionId="7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M" backgroundRefresh="0" connectionId="3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GM" backgroundRefresh="0" adjustColumnWidth="0" connectionId="3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adjustColumnWidth="0" connectionId="5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mo" backgroundRefresh="0" adjustColumnWidth="0" connectionId="56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TKR" backgroundRefresh="0" adjustColumnWidth="0" connectionId="2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NH" backgroundRefresh="0" adjustColumnWidth="0" connectionId="4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NH" backgroundRefresh="0" adjustColumnWidth="0" connectionId="4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3.xml"/><Relationship Id="rId4" Type="http://schemas.openxmlformats.org/officeDocument/2006/relationships/queryTable" Target="../queryTables/queryTable4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7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9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1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3.xml"/><Relationship Id="rId4" Type="http://schemas.openxmlformats.org/officeDocument/2006/relationships/queryTable" Target="../queryTables/queryTable62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66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68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6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8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0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2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4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87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89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2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queryTable" Target="../queryTables/queryTable94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7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9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0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queryTable" Target="../queryTables/queryTable102.xml"/><Relationship Id="rId1" Type="http://schemas.openxmlformats.org/officeDocument/2006/relationships/drawing" Target="../drawings/drawing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T11" sqref="T11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2" ht="21.95" customHeight="1" x14ac:dyDescent="0.25">
      <c r="A2" s="61"/>
      <c r="B2" s="62"/>
      <c r="C2" s="61"/>
      <c r="E2" s="23" t="s">
        <v>50</v>
      </c>
      <c r="F2" s="246">
        <v>14.48</v>
      </c>
      <c r="G2" s="246">
        <v>16.317604687499998</v>
      </c>
      <c r="H2" s="334">
        <v>6400</v>
      </c>
      <c r="I2" s="49">
        <v>104432.66999999998</v>
      </c>
      <c r="J2" s="372">
        <v>-11760.669999999984</v>
      </c>
      <c r="K2" s="358">
        <v>-0.11261485510233515</v>
      </c>
      <c r="L2" s="372">
        <v>2854.9010000016424</v>
      </c>
      <c r="M2">
        <v>5700</v>
      </c>
      <c r="N2" s="369" t="str">
        <f>HYPERLINK("http://finance.yahoo.com/q?s=" &amp; E2, "Link")</f>
        <v>Link</v>
      </c>
      <c r="O2" s="368">
        <v>1.34E-2</v>
      </c>
      <c r="P2" s="368">
        <v>-1.4999999999999999E-2</v>
      </c>
      <c r="R2" s="49"/>
    </row>
    <row r="3" spans="1:22" ht="21.95" customHeight="1" x14ac:dyDescent="0.25">
      <c r="A3" s="51"/>
      <c r="B3" s="51"/>
      <c r="C3" s="52"/>
      <c r="E3" s="23" t="s">
        <v>17</v>
      </c>
      <c r="F3" s="246">
        <v>12.47</v>
      </c>
      <c r="G3" s="246">
        <v>24.307700000000072</v>
      </c>
      <c r="H3" s="334">
        <v>2000</v>
      </c>
      <c r="I3" s="49">
        <v>48615.40000000014</v>
      </c>
      <c r="J3" s="372">
        <v>-23675.40000000014</v>
      </c>
      <c r="K3" s="358">
        <v>-0.48699383322980111</v>
      </c>
      <c r="L3" s="372">
        <v>-23675.40000000014</v>
      </c>
      <c r="M3">
        <v>1400</v>
      </c>
      <c r="N3" s="369" t="str">
        <f>HYPERLINK("http://finance.yahoo.com/q?s=" &amp; E3, "Link")</f>
        <v>Link</v>
      </c>
      <c r="O3" s="368">
        <v>0</v>
      </c>
      <c r="P3" s="368">
        <v>4.8800000000000003E-2</v>
      </c>
      <c r="Q3" s="445"/>
      <c r="R3" s="49"/>
      <c r="S3" s="49"/>
    </row>
    <row r="4" spans="1:22" ht="21.95" customHeight="1" x14ac:dyDescent="0.25">
      <c r="A4" s="52"/>
      <c r="B4" s="52"/>
      <c r="C4" s="52"/>
      <c r="E4" s="23" t="s">
        <v>198</v>
      </c>
      <c r="F4" s="246">
        <v>30.43</v>
      </c>
      <c r="G4" s="246">
        <v>31.859253333333331</v>
      </c>
      <c r="H4" s="50">
        <v>1500</v>
      </c>
      <c r="I4" s="49">
        <v>47788.88</v>
      </c>
      <c r="J4" s="372">
        <v>-2143.8799999999974</v>
      </c>
      <c r="K4" s="358">
        <v>-4.4861482420178032E-2</v>
      </c>
      <c r="L4" s="49">
        <v>-395.91000000000349</v>
      </c>
      <c r="M4">
        <v>1500</v>
      </c>
      <c r="N4" s="369" t="str">
        <f>HYPERLINK("http://finance.yahoo.com/q?s=" &amp; E4, "Link")</f>
        <v>Link</v>
      </c>
      <c r="O4" s="358">
        <v>1.6299999999999999E-2</v>
      </c>
      <c r="P4" s="358">
        <v>1.7000000000000001E-2</v>
      </c>
      <c r="Q4" s="150"/>
      <c r="R4" s="49"/>
      <c r="S4" s="49"/>
      <c r="T4" s="49"/>
    </row>
    <row r="5" spans="1:22" ht="21.95" customHeight="1" x14ac:dyDescent="0.25">
      <c r="A5" s="51"/>
      <c r="B5" s="51"/>
      <c r="C5" s="52"/>
      <c r="E5" s="23" t="s">
        <v>217</v>
      </c>
      <c r="F5" s="246">
        <v>61.68</v>
      </c>
      <c r="G5" s="246">
        <v>67.884828571428585</v>
      </c>
      <c r="H5" s="334">
        <v>350</v>
      </c>
      <c r="I5" s="49">
        <v>23759.690000000006</v>
      </c>
      <c r="J5" s="372">
        <v>-2171.690000000006</v>
      </c>
      <c r="K5" s="358">
        <v>-9.1402286814348352E-2</v>
      </c>
      <c r="L5" s="372">
        <v>-1495.7400000000052</v>
      </c>
      <c r="M5">
        <v>200</v>
      </c>
      <c r="N5" s="369" t="str">
        <f>HYPERLINK("http://finance.yahoo.com/q?s=" &amp; E5, "Link")</f>
        <v>Link</v>
      </c>
      <c r="O5" s="368">
        <v>1.7899999999999999E-2</v>
      </c>
      <c r="P5" s="368">
        <v>-2.1600000000000001E-2</v>
      </c>
      <c r="R5" s="49"/>
    </row>
    <row r="6" spans="1:22" ht="21.95" customHeight="1" x14ac:dyDescent="0.25">
      <c r="A6" s="51"/>
      <c r="B6" s="52"/>
      <c r="C6" s="52"/>
      <c r="E6" s="23" t="s">
        <v>55</v>
      </c>
      <c r="F6" s="246">
        <v>66.709999999999994</v>
      </c>
      <c r="G6" s="246">
        <v>78.163960000000031</v>
      </c>
      <c r="H6" s="334">
        <v>250</v>
      </c>
      <c r="I6" s="49">
        <v>19540.990000000009</v>
      </c>
      <c r="J6" s="372">
        <v>-2863.4900000000052</v>
      </c>
      <c r="K6" s="358">
        <v>-0.14653761145162084</v>
      </c>
      <c r="L6" s="372">
        <v>-2863.4900000000052</v>
      </c>
      <c r="M6">
        <v>250</v>
      </c>
      <c r="N6" s="369" t="str">
        <f>HYPERLINK("http://finance.yahoo.com/q?s=" &amp; E6, "Link")</f>
        <v>Link</v>
      </c>
      <c r="O6" s="368">
        <v>3.0599999999999999E-2</v>
      </c>
      <c r="P6" s="368">
        <v>-3.0999999999999999E-3</v>
      </c>
      <c r="Q6" s="150"/>
      <c r="R6" s="49"/>
    </row>
    <row r="7" spans="1:22" ht="21.95" customHeight="1" x14ac:dyDescent="0.25">
      <c r="A7" s="51"/>
      <c r="B7" s="52"/>
      <c r="C7" s="52"/>
      <c r="E7" s="23" t="s">
        <v>172</v>
      </c>
      <c r="F7" s="246">
        <v>56.26</v>
      </c>
      <c r="G7" s="246">
        <v>58.896450000000002</v>
      </c>
      <c r="H7" s="334">
        <v>200</v>
      </c>
      <c r="I7" s="49">
        <v>11779.29</v>
      </c>
      <c r="J7" s="372">
        <v>-527.29000000000087</v>
      </c>
      <c r="K7" s="358">
        <v>-4.4764158111397265E-2</v>
      </c>
      <c r="L7" s="372">
        <v>-477.34000000000106</v>
      </c>
      <c r="M7">
        <v>100</v>
      </c>
      <c r="N7" s="369" t="str">
        <f>HYPERLINK("http://finance.yahoo.com/q?s=" &amp; E7, "Link")</f>
        <v>Link</v>
      </c>
      <c r="O7" s="368">
        <v>3.2500000000000001E-2</v>
      </c>
      <c r="P7" s="368">
        <v>-1.4E-3</v>
      </c>
      <c r="Q7" s="150"/>
      <c r="S7" s="49"/>
    </row>
    <row r="8" spans="1:22" ht="21.95" customHeight="1" x14ac:dyDescent="0.25">
      <c r="A8" s="51"/>
      <c r="B8" s="51"/>
      <c r="C8" s="52"/>
      <c r="E8" s="23" t="s">
        <v>9</v>
      </c>
      <c r="F8" s="246">
        <v>1.2</v>
      </c>
      <c r="G8" s="246">
        <v>2.7060874999999998</v>
      </c>
      <c r="H8" s="50">
        <v>4000</v>
      </c>
      <c r="I8" s="49">
        <v>10824.349999999999</v>
      </c>
      <c r="J8" s="372">
        <v>-6024.3499999999985</v>
      </c>
      <c r="K8" s="358">
        <v>-0.55655535898229458</v>
      </c>
      <c r="L8" s="49">
        <v>-5589.4199999999983</v>
      </c>
      <c r="M8">
        <v>4000</v>
      </c>
      <c r="N8" s="369" t="str">
        <f>HYPERLINK("http://finance.yahoo.com/q?s=" &amp; E8, "Link")</f>
        <v>Link</v>
      </c>
      <c r="O8" s="358">
        <v>0.1963</v>
      </c>
      <c r="P8" s="358">
        <v>-9.0899999999999995E-2</v>
      </c>
      <c r="R8" s="49"/>
      <c r="S8" s="49"/>
      <c r="T8" s="49"/>
    </row>
    <row r="9" spans="1:22" ht="21.95" customHeight="1" x14ac:dyDescent="0.25">
      <c r="A9" s="51"/>
      <c r="B9" s="52"/>
      <c r="C9" s="52"/>
      <c r="E9" s="23" t="s">
        <v>229</v>
      </c>
      <c r="F9" s="246">
        <v>23.7</v>
      </c>
      <c r="G9" s="246">
        <v>26.953899999999997</v>
      </c>
      <c r="H9" s="334">
        <v>400</v>
      </c>
      <c r="I9" s="49">
        <v>10781.56</v>
      </c>
      <c r="J9" s="372">
        <v>-1301.5599999999995</v>
      </c>
      <c r="K9" s="358">
        <v>-0.12072093463283601</v>
      </c>
      <c r="L9" s="372">
        <v>150.69999999999891</v>
      </c>
      <c r="M9">
        <v>100</v>
      </c>
      <c r="N9" s="369" t="str">
        <f>HYPERLINK("http://finance.yahoo.com/q?s=" &amp; E9, "Link")</f>
        <v>Link</v>
      </c>
      <c r="O9" s="368">
        <v>2.06E-2</v>
      </c>
      <c r="P9" s="368">
        <v>1.0200000000000001E-2</v>
      </c>
      <c r="S9" s="49"/>
    </row>
    <row r="10" spans="1:22" ht="21.95" customHeight="1" x14ac:dyDescent="0.25">
      <c r="A10" s="51"/>
      <c r="B10" s="51"/>
      <c r="C10" s="52"/>
      <c r="E10" s="23" t="s">
        <v>226</v>
      </c>
      <c r="F10" s="246">
        <v>27.2</v>
      </c>
      <c r="G10" s="246">
        <v>31.670120000000004</v>
      </c>
      <c r="H10" s="334">
        <v>250</v>
      </c>
      <c r="I10" s="49">
        <v>7917.5300000000007</v>
      </c>
      <c r="J10" s="372">
        <v>-1117.5300000000007</v>
      </c>
      <c r="K10" s="358">
        <v>-0.14114629183596414</v>
      </c>
      <c r="L10" s="372">
        <v>2192.9399999999932</v>
      </c>
      <c r="M10">
        <v>50</v>
      </c>
      <c r="N10" s="369" t="str">
        <f>HYPERLINK("http://finance.yahoo.com/q?s=" &amp; E10, "Link")</f>
        <v>Link</v>
      </c>
      <c r="O10" s="368">
        <v>4.0899999999999999E-2</v>
      </c>
      <c r="P10" s="368">
        <v>-4.4000000000000003E-3</v>
      </c>
      <c r="R10" s="49"/>
      <c r="S10" s="49"/>
      <c r="T10" s="49"/>
    </row>
    <row r="11" spans="1:22" ht="21.95" customHeight="1" x14ac:dyDescent="0.25">
      <c r="A11" s="51"/>
      <c r="B11" s="51"/>
      <c r="C11" s="52"/>
      <c r="E11" s="23" t="s">
        <v>34</v>
      </c>
      <c r="F11" s="246">
        <v>29.03</v>
      </c>
      <c r="G11" s="246">
        <v>19.737075000000015</v>
      </c>
      <c r="H11" s="334">
        <v>400</v>
      </c>
      <c r="I11" s="49">
        <v>7894.8300000000063</v>
      </c>
      <c r="J11" s="372">
        <v>3717.1699999999946</v>
      </c>
      <c r="K11" s="358">
        <v>0.47083597746879813</v>
      </c>
      <c r="L11" s="372">
        <v>19213.036999999847</v>
      </c>
      <c r="M11">
        <v>100</v>
      </c>
      <c r="N11" s="369" t="str">
        <f>HYPERLINK("http://finance.yahoo.com/q?s=" &amp; E11, "Link")</f>
        <v>Link</v>
      </c>
      <c r="O11" s="368">
        <v>0</v>
      </c>
      <c r="P11" s="368">
        <v>-9.9000000000000008E-3</v>
      </c>
      <c r="R11" s="49"/>
      <c r="S11" s="49"/>
    </row>
    <row r="12" spans="1:22" ht="21.95" customHeight="1" x14ac:dyDescent="0.25">
      <c r="A12" s="51"/>
      <c r="B12" s="51"/>
      <c r="C12" s="52"/>
      <c r="E12" s="23" t="s">
        <v>174</v>
      </c>
      <c r="F12" s="246">
        <v>53.74</v>
      </c>
      <c r="G12" s="246">
        <v>56.243333333333332</v>
      </c>
      <c r="H12" s="50">
        <v>120</v>
      </c>
      <c r="I12" s="49">
        <v>6749.2</v>
      </c>
      <c r="J12" s="372">
        <v>-300.39999999999964</v>
      </c>
      <c r="K12" s="358">
        <v>-4.4508978841936768E-2</v>
      </c>
      <c r="L12" s="49">
        <v>904.48000000000138</v>
      </c>
      <c r="M12">
        <v>80</v>
      </c>
      <c r="N12" s="369" t="str">
        <f>HYPERLINK("http://finance.yahoo.com/q?s=" &amp; E12, "Link")</f>
        <v>Link</v>
      </c>
      <c r="O12" s="358">
        <v>2.7300000000000001E-2</v>
      </c>
      <c r="P12" s="358">
        <v>-1.7899999999999999E-2</v>
      </c>
      <c r="Q12" s="150"/>
      <c r="S12" s="49"/>
      <c r="U12" s="49"/>
    </row>
    <row r="13" spans="1:22" ht="21.95" customHeight="1" x14ac:dyDescent="0.25">
      <c r="A13" s="51"/>
      <c r="B13" s="51"/>
      <c r="C13" s="52"/>
      <c r="E13" s="23" t="s">
        <v>359</v>
      </c>
      <c r="F13" s="246">
        <v>56.06</v>
      </c>
      <c r="G13" s="246">
        <v>56.995000000000005</v>
      </c>
      <c r="H13" s="334">
        <v>80</v>
      </c>
      <c r="I13" s="49">
        <v>4559.6000000000004</v>
      </c>
      <c r="J13" s="372">
        <v>-74.800000000000182</v>
      </c>
      <c r="K13" s="358">
        <v>-1.6404947802438848E-2</v>
      </c>
      <c r="L13" s="372">
        <v>-74.800000000000182</v>
      </c>
      <c r="M13">
        <v>50</v>
      </c>
      <c r="N13" s="369" t="str">
        <f>HYPERLINK("http://finance.yahoo.com/q?s=" &amp; E13, "Link")</f>
        <v>Link</v>
      </c>
      <c r="O13" s="368">
        <v>4.3499999999999997E-2</v>
      </c>
      <c r="P13" s="368">
        <v>-4.02E-2</v>
      </c>
      <c r="R13" s="49"/>
      <c r="S13" s="49"/>
    </row>
    <row r="14" spans="1:22" ht="21.95" customHeight="1" x14ac:dyDescent="0.25">
      <c r="A14" s="51"/>
      <c r="B14" s="51"/>
      <c r="C14" s="52"/>
      <c r="E14" s="23" t="s">
        <v>274</v>
      </c>
      <c r="F14" s="246">
        <v>72.06</v>
      </c>
      <c r="G14" s="246">
        <v>70.221599999999995</v>
      </c>
      <c r="H14" s="50">
        <v>50</v>
      </c>
      <c r="I14" s="49">
        <v>3511.08</v>
      </c>
      <c r="J14" s="372">
        <v>91.920000000000073</v>
      </c>
      <c r="K14" s="358">
        <v>2.6179978809938925E-2</v>
      </c>
      <c r="L14" s="49">
        <v>250.21999999999935</v>
      </c>
      <c r="M14">
        <v>50</v>
      </c>
      <c r="N14" s="369" t="str">
        <f>HYPERLINK("http://finance.yahoo.com/q?s=" &amp; E14, "Link")</f>
        <v>Link</v>
      </c>
      <c r="O14" s="358">
        <v>1.49E-2</v>
      </c>
      <c r="P14" s="358">
        <v>-2.5000000000000001E-2</v>
      </c>
      <c r="S14" s="49"/>
    </row>
    <row r="15" spans="1:22" ht="21.95" customHeight="1" x14ac:dyDescent="0.25">
      <c r="A15" s="51"/>
      <c r="B15" s="51"/>
      <c r="C15" s="52"/>
      <c r="E15" s="23" t="s">
        <v>345</v>
      </c>
      <c r="F15" s="246">
        <v>32</v>
      </c>
      <c r="G15" s="246">
        <v>31.661124999999991</v>
      </c>
      <c r="H15" s="334">
        <v>80</v>
      </c>
      <c r="I15" s="49">
        <v>2532.8899999999994</v>
      </c>
      <c r="J15" s="372">
        <v>27.110000000000582</v>
      </c>
      <c r="K15" s="358">
        <v>1.0703188847522279E-2</v>
      </c>
      <c r="L15" s="372">
        <v>27.110000000000582</v>
      </c>
      <c r="M15" s="30">
        <v>42874</v>
      </c>
      <c r="N15" s="369" t="str">
        <f>HYPERLINK("http://finance.yahoo.com/q?s=" &amp; E15, "Link")</f>
        <v>Link</v>
      </c>
      <c r="O15" s="368">
        <v>4.24E-2</v>
      </c>
      <c r="P15" s="368">
        <v>2.0400000000000001E-2</v>
      </c>
      <c r="Q15" s="445"/>
      <c r="R15" s="49"/>
      <c r="S15" s="49"/>
      <c r="U15" s="49"/>
    </row>
    <row r="16" spans="1:22" ht="21.95" customHeight="1" x14ac:dyDescent="0.25">
      <c r="A16" s="51"/>
      <c r="B16" s="51"/>
      <c r="C16" s="52"/>
      <c r="E16" s="23" t="s">
        <v>764</v>
      </c>
      <c r="F16" s="246">
        <v>27.21</v>
      </c>
      <c r="G16" s="246">
        <v>24.68</v>
      </c>
      <c r="H16" s="50">
        <v>100</v>
      </c>
      <c r="I16" s="49">
        <v>2468</v>
      </c>
      <c r="J16" s="372">
        <v>253</v>
      </c>
      <c r="K16" s="358">
        <v>0.10251215559157217</v>
      </c>
      <c r="L16" s="49">
        <v>253</v>
      </c>
      <c r="M16" s="30">
        <v>42874</v>
      </c>
      <c r="N16" s="369" t="str">
        <f>HYPERLINK("http://finance.yahoo.com/q?s=" &amp; E16, "Link")</f>
        <v>Link</v>
      </c>
      <c r="O16" s="358">
        <v>8.8000000000000005E-3</v>
      </c>
      <c r="P16" s="358">
        <v>-2.5999999999999999E-3</v>
      </c>
      <c r="Q16" s="445"/>
      <c r="R16" s="49"/>
      <c r="S16" s="49"/>
      <c r="T16" s="49"/>
      <c r="V16" s="49"/>
    </row>
    <row r="17" spans="1:21" ht="21.95" customHeight="1" x14ac:dyDescent="0.25">
      <c r="A17" s="51"/>
      <c r="B17" s="51"/>
      <c r="C17" s="52"/>
      <c r="E17" s="23" t="s">
        <v>10</v>
      </c>
      <c r="F17" s="246">
        <v>31.16</v>
      </c>
      <c r="G17" s="246">
        <v>31.16</v>
      </c>
      <c r="H17" s="50">
        <v>0</v>
      </c>
      <c r="I17" s="49">
        <v>0</v>
      </c>
      <c r="J17" s="372">
        <v>0</v>
      </c>
      <c r="K17" s="358">
        <v>0</v>
      </c>
      <c r="L17" s="49">
        <v>1128.3800000000047</v>
      </c>
      <c r="M17">
        <v>0</v>
      </c>
      <c r="N17" s="369" t="str">
        <f>HYPERLINK("http://finance.yahoo.com/q?s=" &amp; E17, "Link")</f>
        <v>Link</v>
      </c>
      <c r="O17" s="358">
        <v>1.2500000000000001E-2</v>
      </c>
      <c r="P17" s="358">
        <v>2.5999999999999999E-3</v>
      </c>
      <c r="S17" s="49"/>
    </row>
    <row r="18" spans="1:21" ht="21.95" customHeight="1" x14ac:dyDescent="0.25">
      <c r="A18" s="51"/>
      <c r="B18" s="51"/>
      <c r="C18" s="52"/>
      <c r="E18" s="23" t="s">
        <v>205</v>
      </c>
      <c r="F18" s="246">
        <v>153.94999999999999</v>
      </c>
      <c r="G18" s="246">
        <v>153.94999999999999</v>
      </c>
      <c r="H18" s="334">
        <v>0</v>
      </c>
      <c r="I18" s="49">
        <v>0</v>
      </c>
      <c r="J18" s="372">
        <v>0</v>
      </c>
      <c r="K18" s="358">
        <v>0</v>
      </c>
      <c r="L18" s="372">
        <v>363.09999999999945</v>
      </c>
      <c r="M18">
        <v>0</v>
      </c>
      <c r="N18" s="369" t="str">
        <f>HYPERLINK("http://finance.yahoo.com/q?s=" &amp; E18, "Link")</f>
        <v>Link</v>
      </c>
      <c r="O18" s="368">
        <v>1.5900000000000001E-2</v>
      </c>
      <c r="P18" s="368">
        <v>8.6E-3</v>
      </c>
      <c r="Q18" s="150"/>
      <c r="R18" s="49"/>
      <c r="S18" s="49"/>
    </row>
    <row r="19" spans="1:21" ht="21.95" customHeight="1" x14ac:dyDescent="0.25">
      <c r="A19" s="51"/>
      <c r="B19" s="51"/>
      <c r="C19" s="52"/>
      <c r="E19" s="23" t="s">
        <v>254</v>
      </c>
      <c r="F19" s="246">
        <v>49.85</v>
      </c>
      <c r="G19" s="50">
        <v>49.85</v>
      </c>
      <c r="H19" s="334">
        <v>0</v>
      </c>
      <c r="I19" s="49">
        <v>0</v>
      </c>
      <c r="J19" s="372">
        <v>0</v>
      </c>
      <c r="K19" s="358">
        <v>0</v>
      </c>
      <c r="L19" s="372">
        <v>92.650000000000091</v>
      </c>
      <c r="M19">
        <v>0</v>
      </c>
      <c r="N19" s="369" t="str">
        <f>HYPERLINK("http://finance.yahoo.com/q?s=" &amp; E19, "Link")</f>
        <v>Link</v>
      </c>
      <c r="O19" s="368">
        <v>0</v>
      </c>
      <c r="P19" s="368">
        <v>0</v>
      </c>
      <c r="Q19" s="49"/>
      <c r="R19" s="49"/>
      <c r="U19" s="49"/>
    </row>
    <row r="20" spans="1:21" ht="21.95" customHeight="1" x14ac:dyDescent="0.25">
      <c r="A20" s="51"/>
      <c r="B20" s="51"/>
      <c r="C20" s="52"/>
      <c r="E20" s="23" t="s">
        <v>45</v>
      </c>
      <c r="F20" s="246">
        <v>83.91</v>
      </c>
      <c r="G20" s="246">
        <v>83.91</v>
      </c>
      <c r="H20" s="334">
        <v>0</v>
      </c>
      <c r="I20" s="49">
        <v>0</v>
      </c>
      <c r="J20" s="372">
        <v>0</v>
      </c>
      <c r="K20" s="358">
        <v>0</v>
      </c>
      <c r="L20" s="372">
        <v>523.61999999999898</v>
      </c>
      <c r="M20">
        <v>0</v>
      </c>
      <c r="N20" s="369" t="str">
        <f>HYPERLINK("http://finance.yahoo.com/q?s=" &amp; E20, "Link")</f>
        <v>Link</v>
      </c>
      <c r="O20" s="368">
        <v>1.67E-2</v>
      </c>
      <c r="P20" s="368">
        <v>-4.4999999999999997E-3</v>
      </c>
      <c r="R20" s="49"/>
      <c r="S20" s="49"/>
      <c r="T20" s="49"/>
    </row>
    <row r="21" spans="1:21" ht="21.95" customHeight="1" x14ac:dyDescent="0.25">
      <c r="A21" s="51"/>
      <c r="B21" s="51"/>
      <c r="C21" s="52"/>
      <c r="E21" s="23" t="s">
        <v>341</v>
      </c>
      <c r="F21" s="246">
        <v>22.77</v>
      </c>
      <c r="G21" s="246">
        <v>22.77</v>
      </c>
      <c r="H21" s="334">
        <v>0</v>
      </c>
      <c r="I21" s="49">
        <v>0</v>
      </c>
      <c r="J21" s="372">
        <v>0</v>
      </c>
      <c r="K21" s="358">
        <v>0</v>
      </c>
      <c r="L21" s="372">
        <v>1283.4199999999946</v>
      </c>
      <c r="M21">
        <v>0</v>
      </c>
      <c r="N21" s="369" t="str">
        <f>HYPERLINK("http://finance.yahoo.com/q?s=" &amp; E21, "Link")</f>
        <v>Link</v>
      </c>
      <c r="O21" s="368">
        <v>0</v>
      </c>
      <c r="P21" s="368">
        <v>1.2E-2</v>
      </c>
    </row>
    <row r="22" spans="1:21" ht="21.95" customHeight="1" x14ac:dyDescent="0.25">
      <c r="A22" s="157"/>
      <c r="B22" s="51"/>
      <c r="C22" s="52"/>
      <c r="E22" s="23" t="s">
        <v>33</v>
      </c>
      <c r="F22" s="246">
        <v>231.09</v>
      </c>
      <c r="G22" s="246">
        <v>231.09</v>
      </c>
      <c r="H22" s="334">
        <v>0</v>
      </c>
      <c r="I22" s="49">
        <v>0</v>
      </c>
      <c r="J22" s="372">
        <v>0</v>
      </c>
      <c r="K22" s="358">
        <v>0</v>
      </c>
      <c r="L22" s="372">
        <v>780.73999999999796</v>
      </c>
      <c r="M22">
        <v>0</v>
      </c>
      <c r="N22" s="369" t="str">
        <f>HYPERLINK("http://finance.yahoo.com/q?s=" &amp; E22, "Link")</f>
        <v>Link</v>
      </c>
      <c r="O22" s="368">
        <v>1.8599999999999998E-2</v>
      </c>
      <c r="P22" s="368">
        <v>-1E-3</v>
      </c>
      <c r="Q22" s="49"/>
      <c r="R22" s="49"/>
      <c r="S22" s="49"/>
      <c r="T22" s="49"/>
    </row>
    <row r="23" spans="1:21" ht="21.95" customHeight="1" x14ac:dyDescent="0.25">
      <c r="A23" s="51"/>
      <c r="B23" s="51"/>
      <c r="C23" s="52"/>
      <c r="E23" s="23" t="s">
        <v>228</v>
      </c>
      <c r="F23" s="246">
        <v>77.92</v>
      </c>
      <c r="G23" s="246">
        <v>77.92</v>
      </c>
      <c r="H23" s="50">
        <v>0</v>
      </c>
      <c r="I23" s="49">
        <v>0</v>
      </c>
      <c r="J23" s="372">
        <v>0</v>
      </c>
      <c r="K23" s="358">
        <v>0</v>
      </c>
      <c r="L23" s="49">
        <v>231.53999999999996</v>
      </c>
      <c r="M23">
        <v>0</v>
      </c>
      <c r="N23" s="369" t="str">
        <f>HYPERLINK("http://finance.yahoo.com/q?s=" &amp; E23, "Link")</f>
        <v>Link</v>
      </c>
      <c r="O23" s="358">
        <v>1.6199999999999999E-2</v>
      </c>
      <c r="P23" s="358">
        <v>-9.2999999999999992E-3</v>
      </c>
      <c r="Q23" s="150"/>
      <c r="S23" s="49"/>
      <c r="T23" s="49"/>
    </row>
    <row r="24" spans="1:21" ht="21.95" customHeight="1" x14ac:dyDescent="0.25">
      <c r="A24" s="52"/>
      <c r="B24" s="52"/>
      <c r="C24" s="52"/>
      <c r="E24" s="23" t="s">
        <v>62</v>
      </c>
      <c r="F24" s="246">
        <v>254.15</v>
      </c>
      <c r="G24" s="246">
        <v>254.15</v>
      </c>
      <c r="H24" s="334">
        <v>0</v>
      </c>
      <c r="I24" s="49">
        <v>0</v>
      </c>
      <c r="J24" s="372">
        <v>0</v>
      </c>
      <c r="K24" s="358">
        <v>0</v>
      </c>
      <c r="L24" s="372">
        <v>1659.3600000000079</v>
      </c>
      <c r="M24">
        <v>0</v>
      </c>
      <c r="N24" s="369" t="str">
        <f>HYPERLINK("http://finance.yahoo.com/q?s=" &amp; E24, "Link")</f>
        <v>Link</v>
      </c>
      <c r="O24" s="368">
        <v>0</v>
      </c>
      <c r="P24" s="368">
        <v>-1.46E-2</v>
      </c>
      <c r="R24" s="49"/>
      <c r="T24" s="49"/>
    </row>
    <row r="25" spans="1:21" ht="21.95" customHeight="1" x14ac:dyDescent="0.25">
      <c r="A25" s="157"/>
      <c r="B25" s="51"/>
      <c r="C25" s="52"/>
      <c r="E25" s="23" t="s">
        <v>310</v>
      </c>
      <c r="F25" s="246">
        <v>55.14</v>
      </c>
      <c r="G25" s="246">
        <v>55.14</v>
      </c>
      <c r="H25" s="334">
        <v>0</v>
      </c>
      <c r="I25" s="49">
        <v>0</v>
      </c>
      <c r="J25" s="372">
        <v>0</v>
      </c>
      <c r="K25" s="358">
        <v>0</v>
      </c>
      <c r="L25" s="372">
        <v>910.79999999999927</v>
      </c>
      <c r="M25">
        <v>0</v>
      </c>
      <c r="N25" s="369" t="str">
        <f>HYPERLINK("http://finance.yahoo.com/q?s=" &amp; E25, "Link")</f>
        <v>Link</v>
      </c>
      <c r="O25" s="368">
        <v>2.87E-2</v>
      </c>
      <c r="P25" s="368">
        <v>0</v>
      </c>
      <c r="R25" s="49"/>
      <c r="S25" s="49"/>
      <c r="T25" s="49"/>
    </row>
    <row r="26" spans="1:21" ht="21.95" customHeight="1" x14ac:dyDescent="0.25">
      <c r="A26" s="51"/>
      <c r="B26" s="51"/>
      <c r="C26" s="52"/>
      <c r="E26" s="23" t="s">
        <v>52</v>
      </c>
      <c r="F26" s="246">
        <v>72.78</v>
      </c>
      <c r="G26" s="246">
        <v>72.78</v>
      </c>
      <c r="H26" s="50">
        <v>0</v>
      </c>
      <c r="I26" s="49">
        <v>0</v>
      </c>
      <c r="J26" s="372">
        <v>0</v>
      </c>
      <c r="K26" s="358">
        <v>0</v>
      </c>
      <c r="L26" s="49">
        <v>1056.739999999998</v>
      </c>
      <c r="M26">
        <v>0</v>
      </c>
      <c r="N26" s="369" t="str">
        <f>HYPERLINK("http://finance.yahoo.com/q?s=" &amp; E26, "Link")</f>
        <v>Link</v>
      </c>
      <c r="O26" s="358">
        <v>2.1999999999999999E-2</v>
      </c>
      <c r="P26" s="358">
        <v>1.0800000000000001E-2</v>
      </c>
      <c r="S26" s="49"/>
    </row>
    <row r="27" spans="1:21" ht="21.95" customHeight="1" x14ac:dyDescent="0.25">
      <c r="A27" s="51"/>
      <c r="B27" s="51"/>
      <c r="C27" s="52"/>
      <c r="E27" s="23" t="s">
        <v>328</v>
      </c>
      <c r="F27" s="246">
        <v>40</v>
      </c>
      <c r="G27" s="246">
        <v>40</v>
      </c>
      <c r="H27" s="334">
        <v>0</v>
      </c>
      <c r="I27" s="435">
        <v>0</v>
      </c>
      <c r="J27" s="372">
        <v>0</v>
      </c>
      <c r="K27" s="358">
        <v>0</v>
      </c>
      <c r="L27" s="372">
        <v>264.92000000000007</v>
      </c>
      <c r="M27">
        <v>0</v>
      </c>
      <c r="N27" s="369" t="str">
        <f>HYPERLINK("http://finance.yahoo.com/q?s=" &amp; E27, "Link")</f>
        <v>Link</v>
      </c>
      <c r="O27" s="368">
        <v>3.4200000000000001E-2</v>
      </c>
      <c r="P27" s="368">
        <v>-1.1999999999999999E-3</v>
      </c>
      <c r="S27" s="49"/>
    </row>
    <row r="28" spans="1:21" ht="21.95" customHeight="1" x14ac:dyDescent="0.25">
      <c r="A28" s="52"/>
      <c r="B28" s="52"/>
      <c r="C28" s="52"/>
      <c r="E28" s="23" t="s">
        <v>8</v>
      </c>
      <c r="F28" s="246">
        <v>73.930000000000007</v>
      </c>
      <c r="G28" s="246">
        <v>73.930000000000007</v>
      </c>
      <c r="H28" s="334">
        <v>0</v>
      </c>
      <c r="I28" s="49">
        <v>0</v>
      </c>
      <c r="J28" s="372">
        <v>0</v>
      </c>
      <c r="K28" s="358">
        <v>0</v>
      </c>
      <c r="L28" s="372">
        <v>121.94999999999982</v>
      </c>
      <c r="M28">
        <v>0</v>
      </c>
      <c r="N28" s="369" t="str">
        <f>HYPERLINK("http://finance.yahoo.com/q?s=" &amp; E28, "Link")</f>
        <v>Link</v>
      </c>
      <c r="O28" s="368">
        <v>1.67E-2</v>
      </c>
      <c r="P28" s="368">
        <v>-1.0200000000000001E-2</v>
      </c>
      <c r="S28" s="49"/>
    </row>
    <row r="29" spans="1:21" ht="21.95" customHeight="1" x14ac:dyDescent="0.25">
      <c r="A29" s="51"/>
      <c r="B29" s="51"/>
      <c r="C29" s="52"/>
      <c r="E29" s="23" t="s">
        <v>284</v>
      </c>
      <c r="F29" s="246">
        <v>82.28</v>
      </c>
      <c r="G29" s="246">
        <v>82.28</v>
      </c>
      <c r="H29" s="50">
        <v>0</v>
      </c>
      <c r="I29" s="49">
        <v>0</v>
      </c>
      <c r="J29" s="372">
        <v>0</v>
      </c>
      <c r="K29" s="358">
        <v>0</v>
      </c>
      <c r="L29" s="49">
        <v>197.20999999999549</v>
      </c>
      <c r="M29">
        <v>0</v>
      </c>
      <c r="N29" s="369" t="str">
        <f>HYPERLINK("http://finance.yahoo.com/q?s=" &amp; E29, "Link")</f>
        <v>Link</v>
      </c>
      <c r="O29" s="358">
        <v>2.5499999999999998E-2</v>
      </c>
      <c r="P29" s="358">
        <v>1.66E-2</v>
      </c>
    </row>
    <row r="30" spans="1:21" ht="21.95" customHeight="1" x14ac:dyDescent="0.25">
      <c r="A30" s="52"/>
      <c r="B30" s="51"/>
      <c r="C30" s="52"/>
      <c r="E30" s="23" t="s">
        <v>32</v>
      </c>
      <c r="F30" s="246">
        <v>49.69</v>
      </c>
      <c r="G30" s="246">
        <v>49.69</v>
      </c>
      <c r="H30" s="334">
        <v>0</v>
      </c>
      <c r="I30" s="49">
        <v>0</v>
      </c>
      <c r="J30" s="372">
        <v>0</v>
      </c>
      <c r="K30" s="358">
        <v>0</v>
      </c>
      <c r="L30" s="372">
        <v>1198.4699999999971</v>
      </c>
      <c r="M30">
        <v>0</v>
      </c>
      <c r="N30" s="369" t="str">
        <f>HYPERLINK("http://finance.yahoo.com/q?s=" &amp; E30, "Link")</f>
        <v>Link</v>
      </c>
      <c r="O30" s="368">
        <v>1.7600000000000001E-2</v>
      </c>
      <c r="P30" s="368">
        <v>-5.5999999999999999E-3</v>
      </c>
      <c r="Q30" s="445"/>
      <c r="R30" s="49"/>
      <c r="S30" s="49"/>
    </row>
    <row r="31" spans="1:21" ht="21.95" customHeight="1" x14ac:dyDescent="0.25">
      <c r="A31" s="51"/>
      <c r="B31" s="51"/>
      <c r="C31" s="52"/>
      <c r="E31" s="23" t="s">
        <v>63</v>
      </c>
      <c r="F31" s="246">
        <v>109.58</v>
      </c>
      <c r="G31" s="246">
        <v>109.58</v>
      </c>
      <c r="H31" s="334">
        <v>0</v>
      </c>
      <c r="I31" s="49">
        <v>0</v>
      </c>
      <c r="J31" s="372">
        <v>0</v>
      </c>
      <c r="K31" s="358">
        <v>0</v>
      </c>
      <c r="L31" s="372">
        <v>257.30999999999949</v>
      </c>
      <c r="M31">
        <v>0</v>
      </c>
      <c r="N31" s="369" t="str">
        <f>HYPERLINK("http://finance.yahoo.com/q?s=" &amp; E31, "Link")</f>
        <v>Link</v>
      </c>
      <c r="O31" s="368">
        <v>1.38E-2</v>
      </c>
      <c r="P31" s="368">
        <v>-6.9999999999999999E-4</v>
      </c>
      <c r="Q31" s="150"/>
      <c r="R31" s="49"/>
      <c r="S31" s="49"/>
    </row>
    <row r="32" spans="1:21" ht="21.95" customHeight="1" x14ac:dyDescent="0.25">
      <c r="A32" s="51"/>
      <c r="B32" s="51"/>
      <c r="C32" s="52"/>
      <c r="E32" s="23" t="s">
        <v>320</v>
      </c>
      <c r="F32" s="246">
        <v>110.25</v>
      </c>
      <c r="G32" s="246">
        <v>110.25</v>
      </c>
      <c r="H32" s="334">
        <v>0</v>
      </c>
      <c r="I32" s="49">
        <v>0</v>
      </c>
      <c r="J32" s="372">
        <v>0</v>
      </c>
      <c r="K32" s="358">
        <v>0</v>
      </c>
      <c r="L32" s="372">
        <v>720.56000000000131</v>
      </c>
      <c r="M32">
        <v>0</v>
      </c>
      <c r="N32" s="369" t="str">
        <f>HYPERLINK("http://finance.yahoo.com/q?s=" &amp; E32, "Link")</f>
        <v>Link</v>
      </c>
      <c r="O32" s="368">
        <v>0</v>
      </c>
      <c r="P32" s="368">
        <v>-3.3E-3</v>
      </c>
      <c r="R32" s="49"/>
    </row>
    <row r="33" spans="1:22" ht="21.95" customHeight="1" x14ac:dyDescent="0.25">
      <c r="A33" s="51"/>
      <c r="B33" s="51"/>
      <c r="C33" s="51"/>
      <c r="E33" s="23" t="s">
        <v>199</v>
      </c>
      <c r="F33" s="246">
        <v>11.01</v>
      </c>
      <c r="G33" s="246">
        <v>11.01</v>
      </c>
      <c r="H33" s="334">
        <v>0</v>
      </c>
      <c r="I33" s="49">
        <v>0</v>
      </c>
      <c r="J33" s="372">
        <v>0</v>
      </c>
      <c r="K33" s="358">
        <v>0</v>
      </c>
      <c r="L33" s="372">
        <v>251.26000000000022</v>
      </c>
      <c r="M33">
        <v>0</v>
      </c>
      <c r="N33" s="369" t="str">
        <f>HYPERLINK("http://finance.yahoo.com/q?s=" &amp; E33, "Link")</f>
        <v>Link</v>
      </c>
      <c r="O33" s="368">
        <v>5.1499999999999997E-2</v>
      </c>
      <c r="P33" s="368">
        <v>-2.7000000000000001E-3</v>
      </c>
      <c r="S33" s="49"/>
    </row>
    <row r="34" spans="1:22" ht="21.95" customHeight="1" x14ac:dyDescent="0.25">
      <c r="A34" s="52"/>
      <c r="B34" s="52"/>
      <c r="C34" s="52"/>
      <c r="E34" s="23" t="s">
        <v>275</v>
      </c>
      <c r="F34" s="246">
        <v>28.52</v>
      </c>
      <c r="G34" s="246">
        <v>28.52</v>
      </c>
      <c r="H34" s="50">
        <v>0</v>
      </c>
      <c r="I34" s="49">
        <v>0</v>
      </c>
      <c r="J34" s="372">
        <v>0</v>
      </c>
      <c r="K34" s="358">
        <v>0</v>
      </c>
      <c r="L34" s="49">
        <v>98.449999999999818</v>
      </c>
      <c r="M34">
        <v>0</v>
      </c>
      <c r="N34" s="369" t="str">
        <f>HYPERLINK("http://finance.yahoo.com/q?s=" &amp; E34, "Link")</f>
        <v>Link</v>
      </c>
      <c r="O34" s="358">
        <v>1.11E-2</v>
      </c>
      <c r="P34" s="358">
        <v>2.2200000000000001E-2</v>
      </c>
      <c r="Q34" s="49"/>
      <c r="S34" s="49"/>
    </row>
    <row r="35" spans="1:22" ht="21.95" customHeight="1" x14ac:dyDescent="0.25">
      <c r="A35" s="51"/>
      <c r="B35" s="51"/>
      <c r="C35" s="51"/>
      <c r="E35" s="23" t="s">
        <v>56</v>
      </c>
      <c r="F35" s="246">
        <v>34.11</v>
      </c>
      <c r="G35" s="246">
        <v>34.11</v>
      </c>
      <c r="H35" s="334">
        <v>0</v>
      </c>
      <c r="I35" s="49">
        <v>0</v>
      </c>
      <c r="J35" s="372">
        <v>0</v>
      </c>
      <c r="K35" s="358">
        <v>0</v>
      </c>
      <c r="L35" s="372">
        <v>36.819999999999709</v>
      </c>
      <c r="M35">
        <v>0</v>
      </c>
      <c r="N35" s="369" t="str">
        <f>HYPERLINK("http://finance.yahoo.com/q?s=" &amp; E35, "Link")</f>
        <v>Link</v>
      </c>
      <c r="O35" s="368">
        <v>4.2999999999999997E-2</v>
      </c>
      <c r="P35" s="368">
        <v>-3.5000000000000001E-3</v>
      </c>
    </row>
    <row r="36" spans="1:22" ht="21.95" customHeight="1" x14ac:dyDescent="0.25">
      <c r="A36" s="51"/>
      <c r="B36" s="51"/>
      <c r="C36" s="52"/>
      <c r="E36" s="23" t="s">
        <v>22</v>
      </c>
      <c r="F36" s="246">
        <v>49.66</v>
      </c>
      <c r="G36" s="246">
        <v>49.66</v>
      </c>
      <c r="H36" s="334">
        <v>0</v>
      </c>
      <c r="I36" s="49">
        <v>0</v>
      </c>
      <c r="J36" s="372">
        <v>0</v>
      </c>
      <c r="K36" s="358">
        <v>0</v>
      </c>
      <c r="L36" s="372">
        <v>3178.8000000000466</v>
      </c>
      <c r="M36">
        <v>0</v>
      </c>
      <c r="N36" s="369" t="str">
        <f>HYPERLINK("http://finance.yahoo.com/q?s=" &amp; E36, "Link")</f>
        <v>Link</v>
      </c>
      <c r="O36" s="368">
        <v>2.07E-2</v>
      </c>
      <c r="P36" s="368">
        <v>8.6999999999999994E-3</v>
      </c>
      <c r="Q36" s="150"/>
      <c r="R36" s="49"/>
      <c r="S36" s="49"/>
    </row>
    <row r="37" spans="1:22" ht="21.95" customHeight="1" x14ac:dyDescent="0.25">
      <c r="A37" s="51"/>
      <c r="B37" s="51"/>
      <c r="C37" s="52"/>
      <c r="E37" s="23" t="s">
        <v>27</v>
      </c>
      <c r="F37" s="246">
        <v>35.69</v>
      </c>
      <c r="G37" s="246">
        <v>35.69</v>
      </c>
      <c r="H37" s="334">
        <v>0</v>
      </c>
      <c r="I37" s="49">
        <v>0</v>
      </c>
      <c r="J37" s="372">
        <v>0</v>
      </c>
      <c r="K37" s="358">
        <v>0</v>
      </c>
      <c r="L37" s="372">
        <v>1407.5400000000009</v>
      </c>
      <c r="M37">
        <v>0</v>
      </c>
      <c r="N37" s="369" t="str">
        <f>HYPERLINK("http://finance.yahoo.com/q?s=" &amp; E37, "Link")</f>
        <v>Link</v>
      </c>
      <c r="O37" s="368">
        <v>3.0200000000000001E-2</v>
      </c>
      <c r="P37" s="368">
        <v>-8.8999999999999999E-3</v>
      </c>
      <c r="R37" s="49"/>
      <c r="S37" s="49"/>
    </row>
    <row r="38" spans="1:22" ht="21.95" customHeight="1" x14ac:dyDescent="0.25">
      <c r="A38" s="51"/>
      <c r="B38" s="51"/>
      <c r="C38" s="52"/>
      <c r="E38" s="23" t="s">
        <v>173</v>
      </c>
      <c r="F38" s="246">
        <v>52.55</v>
      </c>
      <c r="G38" s="246">
        <v>52.55</v>
      </c>
      <c r="H38" s="50">
        <v>0</v>
      </c>
      <c r="I38" s="49">
        <v>0</v>
      </c>
      <c r="J38" s="372">
        <v>0</v>
      </c>
      <c r="K38" s="358">
        <v>0</v>
      </c>
      <c r="L38" s="49">
        <v>119.92000000000053</v>
      </c>
      <c r="M38">
        <v>0</v>
      </c>
      <c r="N38" s="369" t="str">
        <f>HYPERLINK("http://finance.yahoo.com/q?s=" &amp; E38, "Link")</f>
        <v>Link</v>
      </c>
      <c r="O38" s="358">
        <v>3.6400000000000002E-2</v>
      </c>
      <c r="P38" s="358">
        <v>-9.7999999999999997E-3</v>
      </c>
      <c r="Q38" s="445"/>
      <c r="R38" s="49"/>
      <c r="S38" s="49"/>
      <c r="T38" s="49"/>
    </row>
    <row r="39" spans="1:22" ht="21.95" customHeight="1" x14ac:dyDescent="0.25">
      <c r="A39" s="52"/>
      <c r="B39" s="157"/>
      <c r="C39" s="335"/>
      <c r="E39" s="23" t="s">
        <v>278</v>
      </c>
      <c r="F39" s="246">
        <v>123.2</v>
      </c>
      <c r="G39" s="246">
        <v>123.2</v>
      </c>
      <c r="H39" s="334">
        <v>0</v>
      </c>
      <c r="I39" s="49">
        <v>0</v>
      </c>
      <c r="J39" s="372">
        <v>0</v>
      </c>
      <c r="K39" s="358">
        <v>0</v>
      </c>
      <c r="L39" s="372">
        <v>154.77999999999975</v>
      </c>
      <c r="M39">
        <v>0</v>
      </c>
      <c r="N39" s="369" t="str">
        <f>HYPERLINK("http://finance.yahoo.com/q?s=" &amp; E39, "Link")</f>
        <v>Link</v>
      </c>
      <c r="O39" s="368">
        <v>2.5700000000000001E-2</v>
      </c>
      <c r="P39" s="368">
        <v>3.2000000000000002E-3</v>
      </c>
      <c r="R39" s="49"/>
    </row>
    <row r="40" spans="1:22" ht="21.95" customHeight="1" x14ac:dyDescent="0.25">
      <c r="A40" s="51"/>
      <c r="B40" s="51"/>
      <c r="C40" s="52"/>
      <c r="E40" s="23" t="s">
        <v>24</v>
      </c>
      <c r="F40" s="246">
        <v>37.18</v>
      </c>
      <c r="G40" s="246">
        <v>37.18</v>
      </c>
      <c r="H40" s="50">
        <v>0</v>
      </c>
      <c r="I40" s="49">
        <v>0</v>
      </c>
      <c r="J40" s="372">
        <v>0</v>
      </c>
      <c r="K40" s="358">
        <v>0</v>
      </c>
      <c r="L40" s="49">
        <v>937.36999999999534</v>
      </c>
      <c r="M40">
        <v>0</v>
      </c>
      <c r="N40" s="369" t="str">
        <f>HYPERLINK("http://finance.yahoo.com/q?s=" &amp; E40, "Link")</f>
        <v>Link</v>
      </c>
      <c r="O40" s="358">
        <v>0</v>
      </c>
      <c r="P40" s="358">
        <v>-2.75E-2</v>
      </c>
      <c r="Q40" s="150"/>
      <c r="R40" s="49"/>
      <c r="S40" s="49"/>
    </row>
    <row r="41" spans="1:22" ht="21.95" customHeight="1" x14ac:dyDescent="0.25">
      <c r="A41" s="51"/>
      <c r="B41" s="51"/>
      <c r="C41" s="52"/>
      <c r="E41" s="23" t="s">
        <v>36</v>
      </c>
      <c r="F41" s="246">
        <v>58.09</v>
      </c>
      <c r="G41" s="246">
        <v>58.09</v>
      </c>
      <c r="H41" s="334">
        <v>0</v>
      </c>
      <c r="I41" s="49">
        <v>0</v>
      </c>
      <c r="J41" s="372">
        <v>0</v>
      </c>
      <c r="K41" s="358">
        <v>0</v>
      </c>
      <c r="L41" s="372">
        <v>117.73999999999978</v>
      </c>
      <c r="M41">
        <v>0</v>
      </c>
      <c r="N41" s="369" t="str">
        <f>HYPERLINK("http://finance.yahoo.com/q?s=" &amp; E41, "Link")</f>
        <v>Link</v>
      </c>
      <c r="O41" s="368">
        <v>7.4000000000000003E-3</v>
      </c>
      <c r="P41" s="368">
        <v>-4.7999999999999996E-3</v>
      </c>
      <c r="Q41" s="445"/>
      <c r="R41" s="49"/>
      <c r="S41" s="49"/>
      <c r="T41" s="49"/>
    </row>
    <row r="42" spans="1:22" ht="21.95" customHeight="1" x14ac:dyDescent="0.25">
      <c r="A42" s="51"/>
      <c r="B42" s="51"/>
      <c r="C42" s="52"/>
      <c r="E42" s="23" t="s">
        <v>206</v>
      </c>
      <c r="F42" s="246">
        <v>39.43</v>
      </c>
      <c r="G42" s="246">
        <v>39.43</v>
      </c>
      <c r="H42" s="334">
        <v>0</v>
      </c>
      <c r="I42" s="49">
        <v>0</v>
      </c>
      <c r="J42" s="372">
        <v>0</v>
      </c>
      <c r="K42" s="358">
        <v>0</v>
      </c>
      <c r="L42" s="372">
        <v>439.77999999999975</v>
      </c>
      <c r="M42">
        <v>0</v>
      </c>
      <c r="N42" s="369" t="str">
        <f>HYPERLINK("http://finance.yahoo.com/q?s=" &amp; E42, "Link")</f>
        <v>Link</v>
      </c>
      <c r="O42" s="368">
        <v>0</v>
      </c>
      <c r="P42" s="368">
        <v>3.1899999999999998E-2</v>
      </c>
      <c r="Q42" s="150"/>
      <c r="S42" s="49"/>
      <c r="T42" s="49"/>
    </row>
    <row r="43" spans="1:22" ht="21.95" customHeight="1" x14ac:dyDescent="0.25">
      <c r="A43" s="51"/>
      <c r="B43" s="51"/>
      <c r="C43" s="52"/>
      <c r="E43" s="23" t="s">
        <v>276</v>
      </c>
      <c r="F43" s="246">
        <v>52.95</v>
      </c>
      <c r="G43" s="246">
        <v>52.95</v>
      </c>
      <c r="H43" s="334">
        <v>0</v>
      </c>
      <c r="I43" s="49">
        <v>0</v>
      </c>
      <c r="J43" s="372">
        <v>0</v>
      </c>
      <c r="K43" s="358">
        <v>0</v>
      </c>
      <c r="L43" s="372">
        <v>427.92000000000007</v>
      </c>
      <c r="M43">
        <v>0</v>
      </c>
      <c r="N43" s="369" t="str">
        <f>HYPERLINK("http://finance.yahoo.com/q?s=" &amp; E43, "Link")</f>
        <v>Link</v>
      </c>
      <c r="O43" s="368">
        <v>0</v>
      </c>
      <c r="P43" s="368">
        <v>-2.07E-2</v>
      </c>
      <c r="Q43" s="150"/>
    </row>
    <row r="44" spans="1:22" ht="21.95" customHeight="1" x14ac:dyDescent="0.25">
      <c r="A44" s="52"/>
      <c r="B44" s="52"/>
      <c r="C44" s="52"/>
      <c r="E44" s="23" t="s">
        <v>197</v>
      </c>
      <c r="F44" s="246">
        <v>54.24</v>
      </c>
      <c r="G44" s="246">
        <v>54.24</v>
      </c>
      <c r="H44" s="334">
        <v>0</v>
      </c>
      <c r="I44" s="49">
        <v>0</v>
      </c>
      <c r="J44" s="372">
        <v>0</v>
      </c>
      <c r="K44" s="358">
        <v>0</v>
      </c>
      <c r="L44" s="372">
        <v>475.47999999999956</v>
      </c>
      <c r="M44">
        <v>0</v>
      </c>
      <c r="N44" s="369" t="str">
        <f>HYPERLINK("http://finance.yahoo.com/q?s=" &amp; E44, "Link")</f>
        <v>Link</v>
      </c>
      <c r="O44" s="368">
        <v>1.29E-2</v>
      </c>
      <c r="P44" s="368">
        <v>-5.8999999999999999E-3</v>
      </c>
      <c r="Q44" s="49"/>
      <c r="R44" s="49"/>
      <c r="S44" s="49"/>
      <c r="T44" s="49"/>
    </row>
    <row r="45" spans="1:22" ht="21.95" customHeight="1" x14ac:dyDescent="0.25">
      <c r="A45" s="51"/>
      <c r="B45" s="51"/>
      <c r="C45" s="52"/>
      <c r="E45" s="23" t="s">
        <v>47</v>
      </c>
      <c r="F45" s="246">
        <v>116.73</v>
      </c>
      <c r="G45" s="246">
        <v>116.73</v>
      </c>
      <c r="H45" s="334">
        <v>0</v>
      </c>
      <c r="I45" s="49">
        <v>0</v>
      </c>
      <c r="J45" s="372">
        <v>0</v>
      </c>
      <c r="K45" s="358">
        <v>0</v>
      </c>
      <c r="L45" s="372">
        <v>-168.6200000000008</v>
      </c>
      <c r="M45">
        <v>0</v>
      </c>
      <c r="N45" s="369" t="str">
        <f>HYPERLINK("http://finance.yahoo.com/q?s=" &amp; E45, "Link")</f>
        <v>Link</v>
      </c>
      <c r="O45" s="368">
        <v>2.18E-2</v>
      </c>
      <c r="P45" s="368">
        <v>-1.5E-3</v>
      </c>
      <c r="Q45" s="49"/>
      <c r="R45" s="49"/>
      <c r="S45" s="49"/>
      <c r="T45" s="49"/>
    </row>
    <row r="46" spans="1:22" ht="21.95" customHeight="1" x14ac:dyDescent="0.25">
      <c r="A46" s="52"/>
      <c r="B46" s="52"/>
      <c r="C46" s="52"/>
      <c r="E46" s="23" t="s">
        <v>175</v>
      </c>
      <c r="F46" s="246">
        <v>53.46</v>
      </c>
      <c r="G46" s="246">
        <v>53.46</v>
      </c>
      <c r="H46" s="334">
        <v>0</v>
      </c>
      <c r="I46" s="49">
        <v>0</v>
      </c>
      <c r="J46" s="372">
        <v>0</v>
      </c>
      <c r="K46" s="358">
        <v>0</v>
      </c>
      <c r="L46" s="372">
        <v>75.019999999999982</v>
      </c>
      <c r="M46">
        <v>0</v>
      </c>
      <c r="N46" s="369" t="str">
        <f>HYPERLINK("http://finance.yahoo.com/q?s=" &amp; E46, "Link")</f>
        <v>Link</v>
      </c>
      <c r="O46" s="368">
        <v>1.61E-2</v>
      </c>
      <c r="P46" s="368">
        <v>7.1999999999999998E-3</v>
      </c>
      <c r="T46" s="49"/>
    </row>
    <row r="47" spans="1:22" ht="21.95" customHeight="1" x14ac:dyDescent="0.25">
      <c r="A47" s="52"/>
      <c r="B47" s="52"/>
      <c r="C47" s="52"/>
      <c r="E47" s="23" t="s">
        <v>23</v>
      </c>
      <c r="F47" s="246">
        <v>34.92</v>
      </c>
      <c r="G47" s="246">
        <v>34.92</v>
      </c>
      <c r="H47" s="334">
        <v>0</v>
      </c>
      <c r="I47" s="49">
        <v>0</v>
      </c>
      <c r="J47" s="372">
        <v>0</v>
      </c>
      <c r="K47" s="358">
        <v>0</v>
      </c>
      <c r="L47" s="372">
        <v>171.89999999999964</v>
      </c>
      <c r="M47">
        <v>0</v>
      </c>
      <c r="N47" s="369" t="str">
        <f>HYPERLINK("http://finance.yahoo.com/q?s=" &amp; E47, "Link")</f>
        <v>Link</v>
      </c>
      <c r="O47" s="368">
        <v>0</v>
      </c>
      <c r="P47" s="368">
        <v>2.1899999999999999E-2</v>
      </c>
      <c r="R47" s="49"/>
      <c r="T47" s="49"/>
    </row>
    <row r="48" spans="1:22" ht="21.95" customHeight="1" x14ac:dyDescent="0.25">
      <c r="A48" s="52"/>
      <c r="B48" s="52"/>
      <c r="C48" s="52"/>
      <c r="E48" s="23" t="s">
        <v>176</v>
      </c>
      <c r="F48" s="246">
        <v>239.38</v>
      </c>
      <c r="G48" s="246">
        <v>239.38</v>
      </c>
      <c r="H48" s="334">
        <v>0</v>
      </c>
      <c r="I48" s="49">
        <v>0</v>
      </c>
      <c r="J48" s="372">
        <v>0</v>
      </c>
      <c r="K48" s="358">
        <v>0</v>
      </c>
      <c r="L48" s="372">
        <v>160.82999999999993</v>
      </c>
      <c r="M48">
        <v>0</v>
      </c>
      <c r="N48" s="369" t="str">
        <f>HYPERLINK("http://finance.yahoo.com/q?s=" &amp; E48, "Link")</f>
        <v>Link</v>
      </c>
      <c r="O48" s="368">
        <v>0</v>
      </c>
      <c r="P48" s="368">
        <v>-2E-3</v>
      </c>
      <c r="Q48" s="49"/>
      <c r="R48" s="49"/>
      <c r="T48" s="49"/>
      <c r="V48" s="49"/>
    </row>
    <row r="49" spans="1:21" ht="21.95" customHeight="1" x14ac:dyDescent="0.25">
      <c r="A49" s="52"/>
      <c r="B49" s="52"/>
      <c r="C49" s="52"/>
      <c r="E49" s="23" t="s">
        <v>171</v>
      </c>
      <c r="F49" s="246">
        <v>102.61</v>
      </c>
      <c r="G49" s="246">
        <v>102.61</v>
      </c>
      <c r="H49" s="334">
        <v>0</v>
      </c>
      <c r="I49" s="49">
        <v>0</v>
      </c>
      <c r="J49" s="372">
        <v>0</v>
      </c>
      <c r="K49" s="358">
        <v>0</v>
      </c>
      <c r="L49" s="372">
        <v>1368.9000000000015</v>
      </c>
      <c r="M49">
        <v>0</v>
      </c>
      <c r="N49" s="369" t="str">
        <f>HYPERLINK("http://finance.yahoo.com/q?s=" &amp; E49, "Link")</f>
        <v>Link</v>
      </c>
      <c r="O49" s="368">
        <v>1.14E-2</v>
      </c>
      <c r="P49" s="368">
        <v>1.1000000000000001E-3</v>
      </c>
      <c r="R49" s="49"/>
      <c r="S49" s="49"/>
    </row>
    <row r="50" spans="1:21" ht="21.95" customHeight="1" x14ac:dyDescent="0.25">
      <c r="A50" s="52"/>
      <c r="B50" s="157"/>
      <c r="C50" s="335"/>
      <c r="E50" s="23" t="s">
        <v>39</v>
      </c>
      <c r="F50" s="246">
        <v>48.2</v>
      </c>
      <c r="G50" s="246">
        <v>48.2</v>
      </c>
      <c r="H50" s="50">
        <v>0</v>
      </c>
      <c r="I50" s="49">
        <v>0</v>
      </c>
      <c r="J50" s="372">
        <v>0</v>
      </c>
      <c r="K50" s="358">
        <v>0</v>
      </c>
      <c r="L50" s="49">
        <v>529.88000000000284</v>
      </c>
      <c r="M50">
        <v>0</v>
      </c>
      <c r="N50" s="369" t="str">
        <f>HYPERLINK("http://finance.yahoo.com/q?s=" &amp; E50, "Link")</f>
        <v>Link</v>
      </c>
      <c r="O50" s="358">
        <v>2.3E-2</v>
      </c>
      <c r="P50" s="358">
        <v>3.0999999999999999E-3</v>
      </c>
      <c r="Q50" s="150"/>
      <c r="R50" s="49"/>
      <c r="S50" s="49"/>
      <c r="T50" s="49"/>
    </row>
    <row r="51" spans="1:21" ht="21.95" customHeight="1" x14ac:dyDescent="0.25">
      <c r="A51" s="51"/>
      <c r="B51" s="52"/>
      <c r="C51" s="52"/>
      <c r="E51" s="23" t="s">
        <v>0</v>
      </c>
      <c r="F51" s="246">
        <v>171.01</v>
      </c>
      <c r="G51" s="246">
        <v>171.01</v>
      </c>
      <c r="H51" s="334">
        <v>0</v>
      </c>
      <c r="I51" s="49">
        <v>0</v>
      </c>
      <c r="J51" s="372">
        <v>0</v>
      </c>
      <c r="K51" s="358">
        <v>0</v>
      </c>
      <c r="L51" s="372">
        <v>465.57999999999993</v>
      </c>
      <c r="M51">
        <v>0</v>
      </c>
      <c r="N51" s="369" t="str">
        <f>HYPERLINK("http://finance.yahoo.com/q?s=" &amp; E51, "Link")</f>
        <v>Link</v>
      </c>
      <c r="O51" s="368">
        <v>3.8999999999999998E-3</v>
      </c>
      <c r="P51" s="368">
        <v>2.0000000000000001E-4</v>
      </c>
      <c r="R51" s="49"/>
      <c r="T51" s="49"/>
    </row>
    <row r="52" spans="1:21" ht="21.95" customHeight="1" x14ac:dyDescent="0.25">
      <c r="A52" s="51"/>
      <c r="B52" s="51"/>
      <c r="C52" s="52"/>
      <c r="E52" s="23" t="s">
        <v>13</v>
      </c>
      <c r="F52" s="246">
        <v>77.36</v>
      </c>
      <c r="G52" s="246">
        <v>77.36</v>
      </c>
      <c r="H52" s="334">
        <v>0</v>
      </c>
      <c r="I52" s="49">
        <v>0</v>
      </c>
      <c r="J52" s="372">
        <v>0</v>
      </c>
      <c r="K52" s="358">
        <v>0</v>
      </c>
      <c r="L52" s="372">
        <v>1461.5600000000013</v>
      </c>
      <c r="M52">
        <v>0</v>
      </c>
      <c r="N52" s="369" t="str">
        <f>HYPERLINK("http://finance.yahoo.com/q?s=" &amp; E52, "Link")</f>
        <v>Link</v>
      </c>
      <c r="O52" s="368">
        <v>0</v>
      </c>
      <c r="P52" s="368">
        <v>-1.5100000000000001E-2</v>
      </c>
      <c r="Q52" s="150"/>
      <c r="T52" s="49"/>
    </row>
    <row r="53" spans="1:21" ht="21.95" customHeight="1" x14ac:dyDescent="0.25">
      <c r="A53" s="61"/>
      <c r="B53" s="62"/>
      <c r="C53" s="61"/>
      <c r="E53" s="23" t="s">
        <v>51</v>
      </c>
      <c r="F53" s="246">
        <v>173.32</v>
      </c>
      <c r="G53" s="246">
        <v>173.32</v>
      </c>
      <c r="H53" s="334">
        <v>0</v>
      </c>
      <c r="I53" s="49">
        <v>0</v>
      </c>
      <c r="J53" s="372">
        <v>0</v>
      </c>
      <c r="K53" s="358">
        <v>0</v>
      </c>
      <c r="L53" s="372">
        <v>176.70000000000073</v>
      </c>
      <c r="M53">
        <v>0</v>
      </c>
      <c r="N53" s="369" t="str">
        <f>HYPERLINK("http://finance.yahoo.com/q?s=" &amp; E53, "Link")</f>
        <v>Link</v>
      </c>
      <c r="O53" s="368">
        <v>1.52E-2</v>
      </c>
      <c r="P53" s="368">
        <v>-4.0000000000000002E-4</v>
      </c>
      <c r="Q53" s="150"/>
      <c r="R53" s="49"/>
      <c r="S53" s="49"/>
      <c r="T53" s="49"/>
    </row>
    <row r="54" spans="1:21" ht="21.95" customHeight="1" x14ac:dyDescent="0.25">
      <c r="A54" s="51"/>
      <c r="B54" s="51"/>
      <c r="C54" s="52"/>
      <c r="E54" s="23" t="s">
        <v>42</v>
      </c>
      <c r="F54" s="246">
        <v>110.1</v>
      </c>
      <c r="G54" s="246">
        <v>110.1</v>
      </c>
      <c r="H54" s="334">
        <v>0</v>
      </c>
      <c r="I54" s="49">
        <v>0</v>
      </c>
      <c r="J54" s="372">
        <v>0</v>
      </c>
      <c r="K54" s="358">
        <v>0</v>
      </c>
      <c r="L54" s="372">
        <v>128.08999999999833</v>
      </c>
      <c r="M54">
        <v>0</v>
      </c>
      <c r="N54" s="369" t="str">
        <f>HYPERLINK("http://finance.yahoo.com/q?s=" &amp; E54, "Link")</f>
        <v>Link</v>
      </c>
      <c r="O54" s="368">
        <v>2.18E-2</v>
      </c>
      <c r="P54" s="368">
        <v>7.1000000000000004E-3</v>
      </c>
      <c r="Q54" s="150"/>
      <c r="R54" s="49"/>
      <c r="S54" s="49"/>
      <c r="T54" s="49"/>
    </row>
    <row r="55" spans="1:21" ht="21.95" customHeight="1" x14ac:dyDescent="0.25">
      <c r="A55" s="51"/>
      <c r="B55" s="51"/>
      <c r="C55" s="52"/>
      <c r="E55" s="23" t="s">
        <v>54</v>
      </c>
      <c r="F55" s="246">
        <v>121.28</v>
      </c>
      <c r="G55" s="246">
        <v>121.28</v>
      </c>
      <c r="H55" s="334">
        <v>0</v>
      </c>
      <c r="I55" s="49">
        <v>0</v>
      </c>
      <c r="J55" s="372">
        <v>0</v>
      </c>
      <c r="K55" s="358">
        <v>0</v>
      </c>
      <c r="L55" s="372">
        <v>114.84999999999991</v>
      </c>
      <c r="M55">
        <v>0</v>
      </c>
      <c r="N55" s="369" t="str">
        <f>HYPERLINK("http://finance.yahoo.com/q?s=" &amp; E55, "Link")</f>
        <v>Link</v>
      </c>
      <c r="O55" s="368">
        <v>2.35E-2</v>
      </c>
      <c r="P55" s="368">
        <v>2.0999999999999999E-3</v>
      </c>
      <c r="Q55" s="49"/>
      <c r="R55" s="49"/>
      <c r="S55" s="49"/>
      <c r="T55" s="356"/>
      <c r="U55" s="356"/>
    </row>
    <row r="56" spans="1:21" ht="21.95" customHeight="1" x14ac:dyDescent="0.25">
      <c r="A56" s="51"/>
      <c r="B56" s="51"/>
      <c r="C56" s="52"/>
      <c r="E56" s="23" t="s">
        <v>227</v>
      </c>
      <c r="F56" s="246">
        <v>54.91</v>
      </c>
      <c r="G56" s="246">
        <v>54.91</v>
      </c>
      <c r="H56" s="50">
        <v>0</v>
      </c>
      <c r="I56" s="49">
        <v>0</v>
      </c>
      <c r="J56" s="372">
        <v>0</v>
      </c>
      <c r="K56" s="358">
        <v>0</v>
      </c>
      <c r="L56" s="49">
        <v>257.64999999999964</v>
      </c>
      <c r="M56">
        <v>0</v>
      </c>
      <c r="N56" s="369" t="str">
        <f>HYPERLINK("http://finance.yahoo.com/q?s=" &amp; E56, "Link")</f>
        <v>Link</v>
      </c>
      <c r="O56" s="358">
        <v>0</v>
      </c>
      <c r="P56" s="358">
        <v>-2.3999999999999998E-3</v>
      </c>
      <c r="Q56" s="49"/>
      <c r="R56" s="49"/>
      <c r="S56" s="49"/>
      <c r="T56" s="49"/>
    </row>
    <row r="57" spans="1:21" ht="21.95" customHeight="1" x14ac:dyDescent="0.25">
      <c r="A57" s="51"/>
      <c r="B57" s="51"/>
      <c r="C57" s="52"/>
      <c r="E57" s="23" t="s">
        <v>53</v>
      </c>
      <c r="F57" s="246">
        <v>66.760000000000005</v>
      </c>
      <c r="G57" s="246">
        <v>66.760000000000005</v>
      </c>
      <c r="H57" s="334">
        <v>0</v>
      </c>
      <c r="I57" s="49">
        <v>0</v>
      </c>
      <c r="J57" s="372">
        <v>0</v>
      </c>
      <c r="K57" s="358">
        <v>0</v>
      </c>
      <c r="L57" s="372">
        <v>33.940000000000055</v>
      </c>
      <c r="M57">
        <v>0</v>
      </c>
      <c r="N57" s="369" t="str">
        <f>HYPERLINK("http://finance.yahoo.com/q?s=" &amp; E57, "Link")</f>
        <v>Link</v>
      </c>
      <c r="O57" s="368">
        <v>7.4000000000000003E-3</v>
      </c>
      <c r="P57" s="368">
        <v>-4.0000000000000002E-4</v>
      </c>
    </row>
    <row r="58" spans="1:21" ht="21.95" customHeight="1" x14ac:dyDescent="0.25">
      <c r="A58" s="51"/>
      <c r="B58" s="51"/>
      <c r="C58" s="52"/>
      <c r="E58" s="23"/>
      <c r="J58" s="372"/>
      <c r="K58" s="358"/>
      <c r="N58" s="369"/>
      <c r="Q58" s="150"/>
      <c r="S58" s="49"/>
    </row>
    <row r="59" spans="1:21" ht="21.95" customHeight="1" x14ac:dyDescent="0.25">
      <c r="A59" s="51"/>
      <c r="B59" s="51"/>
      <c r="C59" s="52"/>
      <c r="E59" s="23"/>
      <c r="H59" s="334"/>
      <c r="J59" s="372"/>
      <c r="K59" s="358"/>
      <c r="L59" s="372"/>
      <c r="N59" s="369"/>
      <c r="O59" s="368"/>
      <c r="P59" s="368"/>
      <c r="R59" s="49"/>
      <c r="S59" s="49"/>
    </row>
    <row r="60" spans="1:21" ht="21.95" customHeight="1" x14ac:dyDescent="0.25">
      <c r="A60" s="51"/>
      <c r="B60" s="51"/>
      <c r="C60" s="52"/>
      <c r="E60" s="23"/>
      <c r="H60" s="334"/>
      <c r="J60" s="372"/>
      <c r="K60" s="358"/>
      <c r="L60" s="372"/>
      <c r="N60" s="369"/>
      <c r="O60" s="368"/>
      <c r="P60" s="368"/>
      <c r="S60" s="49"/>
      <c r="T60" s="49"/>
    </row>
  </sheetData>
  <sortState ref="E2:P57">
    <sortCondition descending="1" ref="I1"/>
  </sortState>
  <dataConsolidate/>
  <conditionalFormatting sqref="O1:O1048576">
    <cfRule type="expression" dxfId="133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34" priority="13">
      <formula>$H2=0</formula>
    </cfRule>
  </conditionalFormatting>
  <conditionalFormatting sqref="J2:K200">
    <cfRule type="expression" dxfId="1333" priority="14">
      <formula>$J2=0</formula>
    </cfRule>
  </conditionalFormatting>
  <conditionalFormatting sqref="L1:L1048576">
    <cfRule type="expression" dxfId="1332" priority="12">
      <formula>$L2=0</formula>
    </cfRule>
  </conditionalFormatting>
  <conditionalFormatting sqref="M1">
    <cfRule type="expression" dxfId="1331" priority="8">
      <formula>$L2=0</formula>
    </cfRule>
  </conditionalFormatting>
  <conditionalFormatting sqref="J2:K58">
    <cfRule type="expression" dxfId="1330" priority="56">
      <formula>$J2&gt;0</formula>
    </cfRule>
  </conditionalFormatting>
  <conditionalFormatting sqref="L2:L58">
    <cfRule type="expression" dxfId="1329" priority="10">
      <formula>$L2&lt;0</formula>
    </cfRule>
    <cfRule type="expression" dxfId="1328" priority="11">
      <formula>$L2&gt;0</formula>
    </cfRule>
  </conditionalFormatting>
  <conditionalFormatting sqref="J2:K458">
    <cfRule type="expression" dxfId="1327" priority="55">
      <formula>$J2&lt;0</formula>
    </cfRule>
  </conditionalFormatting>
  <conditionalFormatting sqref="P1:P1048576">
    <cfRule type="expression" dxfId="132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4" location="BIIB!A1" display="BIIB"/>
    <hyperlink ref="E42" location="MYL!A1" display="MYL"/>
    <hyperlink ref="E5" location="SIG!A1" display="SIG"/>
    <hyperlink ref="E18" location="AAPL!A1" display="AAPL"/>
    <hyperlink ref="E23" location="AXP!A1" display="AXP"/>
    <hyperlink ref="E14" location="DG!A1" display="DG"/>
    <hyperlink ref="E47" location="PINC!A1" display="PINC"/>
    <hyperlink ref="E34" location="FOXA!A1" display="FOXA"/>
    <hyperlink ref="E21" location="AOBC!A1" display="AOBC"/>
    <hyperlink ref="E41" location="LUV!A1" display="LUV"/>
    <hyperlink ref="E27" location="CCE!A1" display="CCE"/>
    <hyperlink ref="E25" location="BMY!A1" display="BMY"/>
    <hyperlink ref="E19" location="AKAM!A1" display="AKAM"/>
    <hyperlink ref="E16" location="ARNC!A1" display="ARNC"/>
    <hyperlink ref="E29" location="CVS!A1" display="CVS"/>
    <hyperlink ref="E2" location="MRO!A1" display="MRO"/>
    <hyperlink ref="E4" location="KR!A1" display="KR"/>
    <hyperlink ref="E33" location="F!A1" display="F"/>
    <hyperlink ref="E39" location="JNJ!A1" display="JNJ"/>
    <hyperlink ref="E3" location="CPN!A1" display="CPN"/>
    <hyperlink ref="E32" location="EW!A1" display="EW"/>
    <hyperlink ref="E44" location="NKE!A1" display="NKE"/>
    <hyperlink ref="E9" location="MOS!A1" display="MOS"/>
    <hyperlink ref="E56" location="VGK!A1" display="VGK"/>
    <hyperlink ref="E11" location="MU!A1" display="MU"/>
    <hyperlink ref="E38" location="IP!A1" display="IP"/>
    <hyperlink ref="E37" location="INTC!A1" display="INTC"/>
    <hyperlink ref="E36" location="HES!A1" display="HES"/>
    <hyperlink ref="E54" location="UNP!A1" display="UNP"/>
    <hyperlink ref="E43" location="NCLH!A1" display="NCLH"/>
    <hyperlink ref="E48" location="SPY!A1" display="SPY"/>
    <hyperlink ref="E49" location="SWKS!A1" display="SWKS"/>
    <hyperlink ref="E28" location="CNI!A1" display="CNI"/>
    <hyperlink ref="E12" location="WFC!A1" display="WFC"/>
    <hyperlink ref="E17" location="AA!A1" display="AA"/>
    <hyperlink ref="E10" location="CF!A1" display="CF"/>
    <hyperlink ref="E13" location="TGT!A1" display="TGT"/>
    <hyperlink ref="E46" location="NWL!A1" display="NWL"/>
    <hyperlink ref="E40" location="KORS!A1" display="KORS"/>
    <hyperlink ref="E20" location="ALL!A1" display="ALL"/>
    <hyperlink ref="E45" location="NSC!A1" display="NSC"/>
    <hyperlink ref="E22" location="AVGO!A1" display="AVGO"/>
    <hyperlink ref="E52" location="UAL!A1" display="UAL"/>
    <hyperlink ref="E26" location="CAH!A1" display="CAH"/>
    <hyperlink ref="E30" location="DAL!A1" display="DAL"/>
    <hyperlink ref="E15" location="TEVA!A1" display="TEVA"/>
    <hyperlink ref="E31" location="DIS!A1" display="DIS"/>
    <hyperlink ref="E8" location="FTR!A1" display="FTR"/>
    <hyperlink ref="E6" location="GILD!A1" display="GILD"/>
    <hyperlink ref="E57" location="WWD!A1" display="WWD"/>
    <hyperlink ref="E7" location="GIS!A1" display="GIS"/>
    <hyperlink ref="E35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3" activePane="bottomLeft" state="frozen"/>
      <selection activeCell="E5" sqref="E5"/>
      <selection pane="bottomLeft" activeCell="R149" sqref="R149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3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3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3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3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702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92" t="s">
        <v>405</v>
      </c>
      <c r="B167" s="693">
        <v>42767</v>
      </c>
      <c r="C167" s="694">
        <v>35</v>
      </c>
      <c r="D167" s="695">
        <v>69.58</v>
      </c>
      <c r="E167" s="695">
        <v>0</v>
      </c>
      <c r="F167" s="695">
        <f>C167*D167+E167</f>
        <v>2435.2999999999997</v>
      </c>
      <c r="G167" s="693">
        <v>42803</v>
      </c>
      <c r="H167" s="696">
        <v>35</v>
      </c>
      <c r="I167" s="695">
        <v>87.78</v>
      </c>
      <c r="J167" s="695">
        <v>7.0000000000000007E-2</v>
      </c>
      <c r="K167" s="695">
        <f>I167*H167-J167</f>
        <v>3072.23</v>
      </c>
      <c r="L167" s="693">
        <v>42829</v>
      </c>
      <c r="M167" s="694">
        <v>14.44</v>
      </c>
      <c r="N167" s="697"/>
      <c r="O167" s="698"/>
    </row>
    <row r="168" spans="1:18" ht="18" customHeight="1" x14ac:dyDescent="0.25">
      <c r="A168" s="699"/>
      <c r="B168" s="694"/>
      <c r="C168" s="699">
        <f>SUM(C167:C167)</f>
        <v>35</v>
      </c>
      <c r="D168" s="700"/>
      <c r="E168" s="700"/>
      <c r="F168" s="700">
        <f>SUM(F167:F167)</f>
        <v>2435.2999999999997</v>
      </c>
      <c r="G168" s="699"/>
      <c r="H168" s="699">
        <f>SUM(H167:H167)</f>
        <v>35</v>
      </c>
      <c r="I168" s="700"/>
      <c r="J168" s="700"/>
      <c r="K168" s="700">
        <f>SUM(K167:K167)</f>
        <v>3072.23</v>
      </c>
      <c r="L168" s="699"/>
      <c r="M168" s="700">
        <f>SUM(M167:M167)</f>
        <v>14.44</v>
      </c>
      <c r="N168" s="690">
        <f>K168-F168</f>
        <v>636.93000000000029</v>
      </c>
      <c r="O168" s="691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703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703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1">
        <f>T283</f>
        <v>1011.7200000000001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14487.198000001375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13186.738000001444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13186.710000000021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2">
        <f>R283</f>
        <v>0.03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3">
        <f>N269-N271-N270</f>
        <v>-1.9999985779577401E-3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/>
      <c r="T277" s="423"/>
    </row>
    <row r="278" spans="13:20" ht="18" customHeight="1" x14ac:dyDescent="0.25">
      <c r="Q278" s="359"/>
      <c r="R278" s="448"/>
      <c r="S278" s="470"/>
      <c r="T278" s="423"/>
    </row>
    <row r="279" spans="13:20" ht="18" customHeight="1" x14ac:dyDescent="0.25">
      <c r="Q279" s="359"/>
      <c r="R279" s="448"/>
      <c r="S279" s="470"/>
      <c r="T279" s="423"/>
    </row>
    <row r="280" spans="13:20" ht="18" customHeight="1" x14ac:dyDescent="0.25">
      <c r="Q280" s="359"/>
      <c r="R280" s="448"/>
      <c r="S280" s="470"/>
      <c r="T280" s="423"/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SUM(T252:T276)</f>
        <v>1011.7200000000001</v>
      </c>
    </row>
    <row r="296" spans="1:1" ht="18" customHeight="1" x14ac:dyDescent="0.25">
      <c r="A296" s="507"/>
    </row>
    <row r="297" spans="1:1" ht="18" customHeight="1" x14ac:dyDescent="0.25">
      <c r="A297" s="508"/>
    </row>
    <row r="298" spans="1:1" ht="18" customHeight="1" x14ac:dyDescent="0.25">
      <c r="A298" s="508"/>
    </row>
    <row r="299" spans="1:1" ht="18" customHeight="1" x14ac:dyDescent="0.25">
      <c r="A299" s="507"/>
    </row>
    <row r="300" spans="1:1" ht="18" customHeight="1" x14ac:dyDescent="0.25">
      <c r="A300" s="508"/>
    </row>
    <row r="301" spans="1:1" ht="18" customHeight="1" x14ac:dyDescent="0.25">
      <c r="A301" s="508"/>
    </row>
    <row r="302" spans="1:1" ht="18" customHeight="1" x14ac:dyDescent="0.25">
      <c r="A302" s="507"/>
    </row>
    <row r="303" spans="1:1" ht="18" customHeight="1" x14ac:dyDescent="0.25">
      <c r="A303" s="508"/>
    </row>
    <row r="304" spans="1:1" ht="18" customHeight="1" x14ac:dyDescent="0.25">
      <c r="A304" s="508"/>
    </row>
    <row r="305" spans="1:1" ht="18" customHeight="1" x14ac:dyDescent="0.25">
      <c r="A305" s="508"/>
    </row>
  </sheetData>
  <mergeCells count="3">
    <mergeCell ref="B12:B13"/>
    <mergeCell ref="B14:B15"/>
    <mergeCell ref="B185:B186"/>
  </mergeCells>
  <conditionalFormatting sqref="Q13">
    <cfRule type="expression" dxfId="1325" priority="7">
      <formula>#REF!&gt;0</formula>
    </cfRule>
    <cfRule type="expression" dxfId="132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19"/>
  <sheetViews>
    <sheetView topLeftCell="D1" zoomScaleNormal="100" workbookViewId="0">
      <pane ySplit="1" topLeftCell="A398" activePane="bottomLeft" state="frozen"/>
      <selection pane="bottomLeft" activeCell="O410" sqref="O410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13186.710000000021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17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17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17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ref="D418" si="681">(C418-C417)/C417</f>
        <v>1.1306176259533219E-3</v>
      </c>
      <c r="E418" s="249">
        <f t="shared" ref="E418" si="682">(C418-$C$2)/$C$2</f>
        <v>0.14135480679591333</v>
      </c>
      <c r="F418" s="250">
        <v>6129.14</v>
      </c>
      <c r="G418" s="173">
        <f t="shared" ref="G418" si="683">(F418-F417)/F417</f>
        <v>1.3985602671642884E-3</v>
      </c>
      <c r="H418" s="251">
        <f t="shared" ref="H418" si="684">(F418-F$2)/F$2</f>
        <v>0.20375120293811508</v>
      </c>
      <c r="I418" s="568">
        <v>364191.11</v>
      </c>
      <c r="J418" s="253">
        <v>350000</v>
      </c>
      <c r="K418" s="253">
        <f t="shared" ref="K418" si="685">I418-I417-J418+J417</f>
        <v>6578.5499999999884</v>
      </c>
      <c r="L418" s="173">
        <f t="shared" ref="L418" si="686">K418/I417</f>
        <v>1.839574650286329E-2</v>
      </c>
      <c r="M418" s="602">
        <f t="shared" ref="M418" si="687">I418-J418</f>
        <v>14191.109999999986</v>
      </c>
      <c r="N418" s="255">
        <f t="shared" ref="N418" si="688">M418/J418</f>
        <v>4.0546028571428534E-2</v>
      </c>
      <c r="O418" s="254" t="b">
        <f t="shared" ref="O418" si="689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90">I418-Q418</f>
        <v>102644.90999999997</v>
      </c>
      <c r="S418" s="253">
        <v>-32756</v>
      </c>
      <c r="T418" s="253">
        <f t="shared" ref="T418" si="691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92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ref="D419" si="693">(C419-C418)/C418</f>
        <v>-2.1628334368215328E-3</v>
      </c>
      <c r="E419" s="249">
        <f t="shared" ref="E419" si="694">(C419-$C$2)/$C$2</f>
        <v>0.13888624645649816</v>
      </c>
      <c r="F419" s="250">
        <v>6115.96</v>
      </c>
      <c r="G419" s="173">
        <f t="shared" ref="G419" si="695">(F419-F418)/F418</f>
        <v>-2.1503832511576321E-3</v>
      </c>
      <c r="H419" s="251">
        <f t="shared" ref="H419" si="696">(F419-F$2)/F$2</f>
        <v>0.2011626765127561</v>
      </c>
      <c r="I419" s="568">
        <v>363186.71</v>
      </c>
      <c r="J419" s="253">
        <v>350000</v>
      </c>
      <c r="K419" s="253">
        <f t="shared" ref="K419" si="697">I419-I418-J419+J418</f>
        <v>-1004.3999999999651</v>
      </c>
      <c r="L419" s="173">
        <f t="shared" ref="L419" si="698">K419/I418</f>
        <v>-2.7578926899120768E-3</v>
      </c>
      <c r="M419" s="602">
        <f t="shared" ref="M419" si="699">I419-J419</f>
        <v>13186.710000000021</v>
      </c>
      <c r="N419" s="255">
        <f t="shared" ref="N419" si="700">M419/J419</f>
        <v>3.7676314285714343E-2</v>
      </c>
      <c r="O419" s="254" t="b">
        <f t="shared" ref="O419" si="701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702">I419-Q419</f>
        <v>97902.610000000044</v>
      </c>
      <c r="S419" s="253">
        <v>-32128</v>
      </c>
      <c r="T419" s="253">
        <f t="shared" ref="T419" si="703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704">N419/V419</f>
        <v>0.11639379889613433</v>
      </c>
    </row>
  </sheetData>
  <conditionalFormatting sqref="D3:D419">
    <cfRule type="colorScale" priority="3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19">
    <cfRule type="colorScale" priority="2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19">
    <cfRule type="colorScale" priority="29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19">
    <cfRule type="colorScale" priority="36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20:L1048576">
    <cfRule type="colorScale" priority="58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254.15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254.15</v>
      </c>
      <c r="R4" s="516">
        <v>-1.46E-2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4" t="s">
        <v>78</v>
      </c>
      <c r="P42" s="704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279.56500000000005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277.02350000000001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274.48200000000003</v>
      </c>
      <c r="Q45" s="2"/>
      <c r="T45" s="427" t="s">
        <v>99</v>
      </c>
      <c r="U45" s="493" t="s">
        <v>620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271.94050000000004</v>
      </c>
      <c r="Q46" s="2"/>
      <c r="T46" s="427" t="s">
        <v>100</v>
      </c>
      <c r="U46" s="493" t="s">
        <v>621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269.399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266.85750000000002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264.31600000000003</v>
      </c>
      <c r="Q49" s="2"/>
      <c r="T49" s="427" t="s">
        <v>103</v>
      </c>
      <c r="U49" s="493" t="s">
        <v>569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261.77449999999999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259.233</v>
      </c>
      <c r="Q51" s="2"/>
      <c r="T51" s="427" t="s">
        <v>104</v>
      </c>
      <c r="U51" s="493" t="s">
        <v>622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256.69150000000002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254.15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251.60849999999999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249.06700000000001</v>
      </c>
      <c r="Q55" s="2"/>
      <c r="T55" s="427" t="s">
        <v>107</v>
      </c>
      <c r="U55" s="493" t="s">
        <v>623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246.52549999999999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243.98400000000001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241.4425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238.90099999999998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236.35950000000003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233.81800000000001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231.27650000000003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228.73500000000001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23" priority="58">
      <formula>F19&gt;0</formula>
    </cfRule>
    <cfRule type="expression" dxfId="132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21" priority="47">
      <formula>H25&gt;0</formula>
    </cfRule>
    <cfRule type="expression" dxfId="1320" priority="48">
      <formula>H25&lt;0</formula>
    </cfRule>
  </conditionalFormatting>
  <conditionalFormatting sqref="M39">
    <cfRule type="expression" dxfId="1319" priority="45">
      <formula>M39&gt;0</formula>
    </cfRule>
    <cfRule type="expression" dxfId="1318" priority="46">
      <formula>M39&lt;0</formula>
    </cfRule>
  </conditionalFormatting>
  <conditionalFormatting sqref="F61:F67">
    <cfRule type="expression" dxfId="1317" priority="43">
      <formula>F61&gt;0</formula>
    </cfRule>
    <cfRule type="expression" dxfId="1316" priority="44">
      <formula>F61&lt;0</formula>
    </cfRule>
  </conditionalFormatting>
  <conditionalFormatting sqref="H61:H67">
    <cfRule type="expression" dxfId="1315" priority="41">
      <formula>H61&gt;0</formula>
    </cfRule>
    <cfRule type="expression" dxfId="1314" priority="42">
      <formula>H61&lt;0</formula>
    </cfRule>
  </conditionalFormatting>
  <conditionalFormatting sqref="F21:F24">
    <cfRule type="expression" dxfId="1313" priority="39">
      <formula>F21&gt;0</formula>
    </cfRule>
    <cfRule type="expression" dxfId="1312" priority="40">
      <formula>F21&lt;0</formula>
    </cfRule>
  </conditionalFormatting>
  <conditionalFormatting sqref="H21:H24">
    <cfRule type="expression" dxfId="1311" priority="37">
      <formula>H21&gt;0</formula>
    </cfRule>
    <cfRule type="expression" dxfId="1310" priority="38">
      <formula>H21&lt;0</formula>
    </cfRule>
  </conditionalFormatting>
  <conditionalFormatting sqref="I25:I28">
    <cfRule type="expression" dxfId="1309" priority="31">
      <formula>I25&gt;0</formula>
    </cfRule>
    <cfRule type="expression" dxfId="1308" priority="32">
      <formula>I25&lt;0</formula>
    </cfRule>
  </conditionalFormatting>
  <conditionalFormatting sqref="I21:I24">
    <cfRule type="expression" dxfId="1307" priority="29">
      <formula>I21&gt;0</formula>
    </cfRule>
    <cfRule type="expression" dxfId="1306" priority="30">
      <formula>I21&lt;0</formula>
    </cfRule>
  </conditionalFormatting>
  <conditionalFormatting sqref="H29">
    <cfRule type="expression" dxfId="1305" priority="27">
      <formula>H29&gt;0</formula>
    </cfRule>
    <cfRule type="expression" dxfId="1304" priority="28">
      <formula>H29&lt;0</formula>
    </cfRule>
  </conditionalFormatting>
  <conditionalFormatting sqref="H30">
    <cfRule type="expression" dxfId="1303" priority="25">
      <formula>H30&gt;0</formula>
    </cfRule>
    <cfRule type="expression" dxfId="1302" priority="26">
      <formula>H30&lt;0</formula>
    </cfRule>
  </conditionalFormatting>
  <conditionalFormatting sqref="H31">
    <cfRule type="expression" dxfId="1301" priority="23">
      <formula>H31&gt;0</formula>
    </cfRule>
    <cfRule type="expression" dxfId="1300" priority="24">
      <formula>H31&lt;0</formula>
    </cfRule>
  </conditionalFormatting>
  <conditionalFormatting sqref="Q7">
    <cfRule type="expression" dxfId="1299" priority="21">
      <formula>Q7&gt;0</formula>
    </cfRule>
    <cfRule type="expression" dxfId="1298" priority="22">
      <formula>Q7&lt;0</formula>
    </cfRule>
  </conditionalFormatting>
  <conditionalFormatting sqref="Q8">
    <cfRule type="expression" dxfId="1297" priority="19">
      <formula>Q8&gt;0</formula>
    </cfRule>
    <cfRule type="expression" dxfId="1296" priority="20">
      <formula>Q8&lt;0</formula>
    </cfRule>
  </conditionalFormatting>
  <conditionalFormatting sqref="F73:F82">
    <cfRule type="expression" dxfId="1295" priority="17">
      <formula>F73&gt;0</formula>
    </cfRule>
    <cfRule type="expression" dxfId="1294" priority="18">
      <formula>F73&lt;0</formula>
    </cfRule>
  </conditionalFormatting>
  <conditionalFormatting sqref="H73:H76">
    <cfRule type="expression" dxfId="1293" priority="15">
      <formula>H73&gt;0</formula>
    </cfRule>
    <cfRule type="expression" dxfId="1292" priority="16">
      <formula>H73&lt;0</formula>
    </cfRule>
  </conditionalFormatting>
  <conditionalFormatting sqref="F69:F72">
    <cfRule type="expression" dxfId="1291" priority="13">
      <formula>F69&gt;0</formula>
    </cfRule>
    <cfRule type="expression" dxfId="1290" priority="14">
      <formula>F69&lt;0</formula>
    </cfRule>
  </conditionalFormatting>
  <conditionalFormatting sqref="H69:H72">
    <cfRule type="expression" dxfId="1289" priority="11">
      <formula>H69&gt;0</formula>
    </cfRule>
    <cfRule type="expression" dxfId="1288" priority="12">
      <formula>H69&lt;0</formula>
    </cfRule>
  </conditionalFormatting>
  <conditionalFormatting sqref="I73:I76">
    <cfRule type="expression" dxfId="1287" priority="9">
      <formula>I73&gt;0</formula>
    </cfRule>
    <cfRule type="expression" dxfId="1286" priority="10">
      <formula>I73&lt;0</formula>
    </cfRule>
  </conditionalFormatting>
  <conditionalFormatting sqref="I69:I72">
    <cfRule type="expression" dxfId="1285" priority="7">
      <formula>I69&gt;0</formula>
    </cfRule>
    <cfRule type="expression" dxfId="1284" priority="8">
      <formula>I69&lt;0</formula>
    </cfRule>
  </conditionalFormatting>
  <conditionalFormatting sqref="H77">
    <cfRule type="expression" dxfId="1283" priority="5">
      <formula>H77&gt;0</formula>
    </cfRule>
    <cfRule type="expression" dxfId="1282" priority="6">
      <formula>H77&lt;0</formula>
    </cfRule>
  </conditionalFormatting>
  <conditionalFormatting sqref="H78">
    <cfRule type="expression" dxfId="1281" priority="3">
      <formula>H78&gt;0</formula>
    </cfRule>
    <cfRule type="expression" dxfId="1280" priority="4">
      <formula>H78&lt;0</formula>
    </cfRule>
  </conditionalFormatting>
  <conditionalFormatting sqref="H79">
    <cfRule type="expression" dxfId="1279" priority="1">
      <formula>H79&gt;0</formula>
    </cfRule>
    <cfRule type="expression" dxfId="127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39.43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39.43</v>
      </c>
      <c r="R4" s="516">
        <v>3.1899999999999998E-2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4" t="s">
        <v>78</v>
      </c>
      <c r="P42" s="704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43.373000000000005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42.978700000000003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42.584400000000002</v>
      </c>
      <c r="Q45" s="2"/>
      <c r="T45" s="107" t="s">
        <v>99</v>
      </c>
      <c r="U45" s="364" t="s">
        <v>624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42.190100000000001</v>
      </c>
      <c r="Q46" s="2"/>
      <c r="T46" s="107" t="s">
        <v>100</v>
      </c>
      <c r="U46" s="364" t="s">
        <v>625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41.7958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41.401499999999999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41.007200000000005</v>
      </c>
      <c r="Q49" s="2"/>
      <c r="T49" s="107" t="s">
        <v>121</v>
      </c>
      <c r="U49" s="364" t="s">
        <v>447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40.612900000000003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40.218600000000002</v>
      </c>
      <c r="Q51" s="2"/>
      <c r="T51" s="107" t="s">
        <v>104</v>
      </c>
      <c r="U51" s="364" t="s">
        <v>626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39.824300000000001</v>
      </c>
      <c r="Q52" s="2"/>
      <c r="T52" s="107" t="s">
        <v>105</v>
      </c>
      <c r="U52" s="364" t="s">
        <v>437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39.43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39.035699999999999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38.641399999999997</v>
      </c>
      <c r="Q55" s="2"/>
      <c r="T55" s="107" t="s">
        <v>107</v>
      </c>
      <c r="U55" s="364" t="s">
        <v>627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38.247099999999996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37.852799999999995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37.458500000000001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37.0642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36.669899999999998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36.275600000000004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35.881300000000003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35.487000000000002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277" priority="25">
      <formula>N19&gt;0</formula>
    </cfRule>
    <cfRule type="expression" dxfId="127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75" priority="19">
      <formula>F21&gt;0</formula>
    </cfRule>
    <cfRule type="expression" dxfId="1274" priority="20">
      <formula>F21&lt;0</formula>
    </cfRule>
  </conditionalFormatting>
  <conditionalFormatting sqref="H21:H31">
    <cfRule type="expression" dxfId="1273" priority="17">
      <formula>H21&gt;0</formula>
    </cfRule>
    <cfRule type="expression" dxfId="1272" priority="18">
      <formula>H21&lt;0</formula>
    </cfRule>
  </conditionalFormatting>
  <conditionalFormatting sqref="I21:I31">
    <cfRule type="expression" dxfId="1271" priority="15">
      <formula>I21&gt;0</formula>
    </cfRule>
    <cfRule type="expression" dxfId="1270" priority="16">
      <formula>I21&lt;0</formula>
    </cfRule>
  </conditionalFormatting>
  <conditionalFormatting sqref="Q8">
    <cfRule type="expression" dxfId="1269" priority="7">
      <formula>Q8&gt;0</formula>
    </cfRule>
    <cfRule type="expression" dxfId="1268" priority="8">
      <formula>Q8&lt;0</formula>
    </cfRule>
  </conditionalFormatting>
  <conditionalFormatting sqref="Q7">
    <cfRule type="expression" dxfId="1267" priority="9">
      <formula>Q7&gt;0</formula>
    </cfRule>
    <cfRule type="expression" dxfId="1266" priority="10">
      <formula>Q7&lt;0</formula>
    </cfRule>
  </conditionalFormatting>
  <conditionalFormatting sqref="F56:F66">
    <cfRule type="expression" dxfId="1265" priority="5">
      <formula>F56&gt;0</formula>
    </cfRule>
    <cfRule type="expression" dxfId="1264" priority="6">
      <formula>F56&lt;0</formula>
    </cfRule>
  </conditionalFormatting>
  <conditionalFormatting sqref="H56:H66">
    <cfRule type="expression" dxfId="1263" priority="3">
      <formula>H56&gt;0</formula>
    </cfRule>
    <cfRule type="expression" dxfId="1262" priority="4">
      <formula>H56&lt;0</formula>
    </cfRule>
  </conditionalFormatting>
  <conditionalFormatting sqref="I56:I66">
    <cfRule type="expression" dxfId="1261" priority="1">
      <formula>I56&gt;0</formula>
    </cfRule>
    <cfRule type="expression" dxfId="126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4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350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538</v>
      </c>
      <c r="M3" s="4"/>
      <c r="O3" s="11" t="s">
        <v>58</v>
      </c>
      <c r="Q3" s="228">
        <f>IF(Q2=0, Q4, (F18-K18-M18)/Q2)</f>
        <v>67.884828571428585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61.68</v>
      </c>
      <c r="R4" s="516">
        <v>-2.1600000000000001E-2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21588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23759.690000000006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-1495.7400000000052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-2171.690000000006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-9.1402286814348394E-2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497">
        <v>42865</v>
      </c>
      <c r="C13" s="4">
        <v>100</v>
      </c>
      <c r="D13" s="3">
        <v>63.85</v>
      </c>
      <c r="E13" s="3">
        <v>0</v>
      </c>
      <c r="F13" s="3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497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505</v>
      </c>
      <c r="D18" s="14"/>
      <c r="E18" s="14"/>
      <c r="F18" s="18">
        <f t="shared" ref="F18:M18" si="3">SUM(F2:F14)</f>
        <v>34992.950000000004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11220</v>
      </c>
      <c r="L19" s="354"/>
      <c r="M19" s="355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113</v>
      </c>
      <c r="C24" s="510" t="s">
        <v>146</v>
      </c>
      <c r="D24" s="511" t="s">
        <v>145</v>
      </c>
      <c r="E24" s="512" t="s">
        <v>147</v>
      </c>
      <c r="F24" s="513" t="s">
        <v>65</v>
      </c>
      <c r="G24" s="514" t="s">
        <v>151</v>
      </c>
      <c r="H24" s="513" t="s">
        <v>88</v>
      </c>
      <c r="I24" s="513" t="s">
        <v>154</v>
      </c>
      <c r="J24" s="513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402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428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471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493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493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704" t="s">
        <v>78</v>
      </c>
      <c r="P42" s="704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:F44" si="36">C43*(E43-D43)</f>
        <v>-1793.9999999999991</v>
      </c>
      <c r="G43" s="40">
        <f t="shared" ref="G43:G44" si="37">D43*C43</f>
        <v>20706</v>
      </c>
      <c r="H43" s="229">
        <f t="shared" ref="H43:H44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67.847999999999999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67.231200000000001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42"/>
        <v>66.614400000000003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42"/>
        <v>65.997600000000006</v>
      </c>
      <c r="Q46" s="2"/>
      <c r="T46" s="107" t="s">
        <v>121</v>
      </c>
      <c r="U46" s="364" t="s">
        <v>512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42"/>
        <v>65.380800000000008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64.763999999999996</v>
      </c>
      <c r="Q48" s="2"/>
      <c r="T48" s="107" t="s">
        <v>104</v>
      </c>
      <c r="U48" s="364" t="s">
        <v>628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64.147199999999998</v>
      </c>
      <c r="Q49" s="2"/>
      <c r="T49" s="107" t="s">
        <v>105</v>
      </c>
      <c r="U49" s="364" t="s">
        <v>629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63.5304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62.913600000000002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62.296799999999998</v>
      </c>
      <c r="Q52" s="2"/>
      <c r="T52" s="107" t="s">
        <v>107</v>
      </c>
      <c r="U52" s="364" t="s">
        <v>630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61.68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61.063200000000002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60.446399999999997</v>
      </c>
      <c r="Q55" s="2"/>
      <c r="T55" s="107" t="s">
        <v>108</v>
      </c>
      <c r="U55" s="364" t="s">
        <v>588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59.829599999999999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43">C57*(E57-D57)</f>
        <v>15.999999999999943</v>
      </c>
      <c r="G57" s="378">
        <f t="shared" ref="G57:G65" si="44">D57*C57</f>
        <v>1924</v>
      </c>
      <c r="H57" s="379">
        <f t="shared" ref="H57:H65" si="45">(E57-D57)/D57</f>
        <v>8.316008316008287E-3</v>
      </c>
      <c r="I57" s="379"/>
      <c r="O57" s="82">
        <v>0.96</v>
      </c>
      <c r="P57" s="82">
        <f t="shared" si="42"/>
        <v>59.212799999999994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43"/>
        <v>50.600000000000023</v>
      </c>
      <c r="G58" s="378">
        <f t="shared" si="44"/>
        <v>1924</v>
      </c>
      <c r="H58" s="379">
        <f t="shared" si="45"/>
        <v>2.6299376299376311E-2</v>
      </c>
      <c r="I58" s="379"/>
      <c r="O58" s="82">
        <v>0.95</v>
      </c>
      <c r="P58" s="82">
        <f t="shared" si="42"/>
        <v>58.595999999999997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43"/>
        <v>-176.20199999999988</v>
      </c>
      <c r="G59" s="378">
        <f t="shared" si="44"/>
        <v>4063.752</v>
      </c>
      <c r="H59" s="379">
        <f t="shared" si="45"/>
        <v>-4.3359437288495929E-2</v>
      </c>
      <c r="I59" s="380"/>
      <c r="O59" s="82">
        <v>0.94</v>
      </c>
      <c r="P59" s="82">
        <f t="shared" si="42"/>
        <v>57.979199999999999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43"/>
        <v>-51.239999999999952</v>
      </c>
      <c r="G60" s="378">
        <f t="shared" si="44"/>
        <v>2283.9899999999998</v>
      </c>
      <c r="H60" s="379">
        <f t="shared" si="45"/>
        <v>-2.2434423968581276E-2</v>
      </c>
      <c r="I60" s="379"/>
      <c r="O60" s="82">
        <v>0.93</v>
      </c>
      <c r="P60" s="82">
        <f t="shared" si="42"/>
        <v>57.362400000000001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43"/>
        <v>-146.2399999999999</v>
      </c>
      <c r="G61" s="378">
        <f t="shared" si="44"/>
        <v>2283.9899999999998</v>
      </c>
      <c r="H61" s="379">
        <f t="shared" si="45"/>
        <v>-6.402830134983073E-2</v>
      </c>
      <c r="I61" s="379"/>
      <c r="O61" s="82">
        <v>0.92</v>
      </c>
      <c r="P61" s="82">
        <f t="shared" si="42"/>
        <v>56.745600000000003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43"/>
        <v>-159.23999999999978</v>
      </c>
      <c r="G62" s="378">
        <f t="shared" si="44"/>
        <v>4352.74</v>
      </c>
      <c r="H62" s="379">
        <f t="shared" si="45"/>
        <v>-3.6583852929419118E-2</v>
      </c>
      <c r="I62" s="379"/>
      <c r="O62" s="82">
        <v>0.91</v>
      </c>
      <c r="P62" s="82">
        <f t="shared" si="42"/>
        <v>56.128799999999998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43"/>
        <v>-37.790000000000035</v>
      </c>
      <c r="G63" s="378">
        <f t="shared" si="44"/>
        <v>2188.04</v>
      </c>
      <c r="H63" s="379">
        <f t="shared" si="45"/>
        <v>-1.7271165060967823E-2</v>
      </c>
      <c r="I63" s="379"/>
      <c r="O63" s="82">
        <v>0.9</v>
      </c>
      <c r="P63" s="82">
        <f t="shared" si="42"/>
        <v>55.512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43"/>
        <v>-137.54000000000025</v>
      </c>
      <c r="G64" s="378">
        <f t="shared" si="44"/>
        <v>2188.04</v>
      </c>
      <c r="H64" s="379">
        <f t="shared" si="45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43"/>
        <v>-167.54249999999934</v>
      </c>
      <c r="G65" s="378">
        <f t="shared" si="44"/>
        <v>6112.0424999999996</v>
      </c>
      <c r="H65" s="379">
        <f t="shared" si="45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46">C66*(E66-D66)</f>
        <v>-58.042499999999819</v>
      </c>
      <c r="G66" s="378">
        <f t="shared" ref="G66:G78" si="47">D66*C66</f>
        <v>6112.0424999999996</v>
      </c>
      <c r="H66" s="379">
        <f t="shared" ref="H66:H78" si="48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46"/>
        <v>195.77249999999998</v>
      </c>
      <c r="G67" s="378">
        <f t="shared" si="47"/>
        <v>4432.4775</v>
      </c>
      <c r="H67" s="379">
        <f t="shared" si="48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46"/>
        <v>38.472500000000025</v>
      </c>
      <c r="G68" s="378">
        <f t="shared" si="47"/>
        <v>4432.4775</v>
      </c>
      <c r="H68" s="379">
        <f t="shared" si="48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46"/>
        <v>466.37249999999932</v>
      </c>
      <c r="G69" s="378">
        <f t="shared" si="47"/>
        <v>4432.4775</v>
      </c>
      <c r="H69" s="379">
        <f t="shared" si="48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46"/>
        <v>536.22249999999985</v>
      </c>
      <c r="G70" s="378">
        <f t="shared" si="47"/>
        <v>4432.4775</v>
      </c>
      <c r="H70" s="379">
        <f t="shared" si="48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46"/>
        <v>640.51000000000045</v>
      </c>
      <c r="G71" s="378">
        <f t="shared" si="47"/>
        <v>3972.49</v>
      </c>
      <c r="H71" s="379">
        <f t="shared" si="48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46"/>
        <v>547.01000000000022</v>
      </c>
      <c r="G72" s="378">
        <f t="shared" si="47"/>
        <v>3972.49</v>
      </c>
      <c r="H72" s="379">
        <f t="shared" si="48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46"/>
        <v>505.01000000000005</v>
      </c>
      <c r="G73" s="378">
        <f t="shared" si="47"/>
        <v>3972.49</v>
      </c>
      <c r="H73" s="379">
        <f t="shared" si="48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46"/>
        <v>400.50999999999988</v>
      </c>
      <c r="G74" s="378">
        <f t="shared" si="47"/>
        <v>3972.49</v>
      </c>
      <c r="H74" s="379">
        <f t="shared" si="48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46"/>
        <v>504.01000000000022</v>
      </c>
      <c r="G75" s="378">
        <f t="shared" si="47"/>
        <v>3972.49</v>
      </c>
      <c r="H75" s="379">
        <f t="shared" si="48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46"/>
        <v>470.51000000000016</v>
      </c>
      <c r="G76" s="378">
        <f t="shared" si="47"/>
        <v>3972.49</v>
      </c>
      <c r="H76" s="379">
        <f t="shared" si="48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46"/>
        <v>500.50999999999988</v>
      </c>
      <c r="G77" s="378">
        <f t="shared" si="47"/>
        <v>3972.49</v>
      </c>
      <c r="H77" s="379">
        <f t="shared" si="48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46"/>
        <v>413.46899999999977</v>
      </c>
      <c r="G78" s="378">
        <f t="shared" si="47"/>
        <v>2218.1310000000003</v>
      </c>
      <c r="H78" s="379">
        <f t="shared" si="48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113</v>
      </c>
      <c r="C81" s="510" t="s">
        <v>146</v>
      </c>
      <c r="D81" s="511" t="s">
        <v>145</v>
      </c>
      <c r="E81" s="512" t="s">
        <v>147</v>
      </c>
      <c r="F81" s="513" t="s">
        <v>65</v>
      </c>
      <c r="G81" s="514" t="s">
        <v>151</v>
      </c>
      <c r="H81" s="513" t="s">
        <v>88</v>
      </c>
      <c r="I81" s="513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49">C82*(E82-D82)</f>
        <v>42.500000000000071</v>
      </c>
      <c r="G82" s="378">
        <f t="shared" ref="G82:G98" si="50">D82*C82</f>
        <v>1973.75</v>
      </c>
      <c r="H82" s="379">
        <f t="shared" ref="H82:H98" si="51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49"/>
        <v>30.750000000000099</v>
      </c>
      <c r="G83" s="378">
        <f t="shared" si="50"/>
        <v>1973.75</v>
      </c>
      <c r="H83" s="379">
        <f t="shared" si="51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49"/>
        <v>75.750000000000028</v>
      </c>
      <c r="G84" s="378">
        <f t="shared" si="50"/>
        <v>1973.75</v>
      </c>
      <c r="H84" s="379">
        <f t="shared" si="51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49"/>
        <v>53.749999999999787</v>
      </c>
      <c r="G85" s="378">
        <f t="shared" si="50"/>
        <v>1973.75</v>
      </c>
      <c r="H85" s="379">
        <f t="shared" si="51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49"/>
        <v>88.250000000000028</v>
      </c>
      <c r="G86" s="378">
        <f t="shared" si="50"/>
        <v>1973.75</v>
      </c>
      <c r="H86" s="379">
        <f t="shared" si="51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49"/>
        <v>70.499999999999829</v>
      </c>
      <c r="G87" s="378">
        <f t="shared" si="50"/>
        <v>1973.75</v>
      </c>
      <c r="H87" s="379">
        <f t="shared" si="51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49"/>
        <v>-51.249999999999929</v>
      </c>
      <c r="G88" s="378">
        <f t="shared" si="50"/>
        <v>1973.75</v>
      </c>
      <c r="H88" s="379">
        <f t="shared" si="51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49"/>
        <v>-29.500000000000171</v>
      </c>
      <c r="G89" s="378">
        <f t="shared" si="50"/>
        <v>1973.75</v>
      </c>
      <c r="H89" s="379">
        <f t="shared" si="51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49"/>
        <v>-85.750000000000171</v>
      </c>
      <c r="G90" s="378">
        <f t="shared" si="50"/>
        <v>1973.75</v>
      </c>
      <c r="H90" s="379">
        <f t="shared" si="51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49"/>
        <v>-42.000000000000171</v>
      </c>
      <c r="G91" s="378">
        <f t="shared" si="50"/>
        <v>1973.75</v>
      </c>
      <c r="H91" s="379">
        <f t="shared" si="51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49"/>
        <v>0.49999999999990052</v>
      </c>
      <c r="G92" s="378">
        <f t="shared" si="50"/>
        <v>1973.75</v>
      </c>
      <c r="H92" s="379">
        <f t="shared" si="51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49"/>
        <v>-4.9500000000001876</v>
      </c>
      <c r="G93" s="378">
        <f t="shared" si="50"/>
        <v>4202</v>
      </c>
      <c r="H93" s="379">
        <f t="shared" si="51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49"/>
        <v>-102.99849999999971</v>
      </c>
      <c r="G94" s="378">
        <f t="shared" si="50"/>
        <v>4202.1484999999993</v>
      </c>
      <c r="H94" s="379">
        <f t="shared" si="51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49"/>
        <v>-37.548499999999834</v>
      </c>
      <c r="G95" s="378">
        <f t="shared" si="50"/>
        <v>4202.1484999999993</v>
      </c>
      <c r="H95" s="379">
        <f t="shared" si="51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49"/>
        <v>77.951499999999854</v>
      </c>
      <c r="G96" s="378">
        <f t="shared" si="50"/>
        <v>4202.1484999999993</v>
      </c>
      <c r="H96" s="379">
        <f t="shared" si="51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49"/>
        <v>214.71000000000032</v>
      </c>
      <c r="G97" s="378">
        <f t="shared" si="50"/>
        <v>2228.19</v>
      </c>
      <c r="H97" s="379">
        <f t="shared" si="51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49"/>
        <v>173.90999999999991</v>
      </c>
      <c r="G98" s="378">
        <f t="shared" si="50"/>
        <v>2228.19</v>
      </c>
      <c r="H98" s="379">
        <f t="shared" si="51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52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53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52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53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52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53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52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53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52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53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52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53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59" priority="35">
      <formula>N19&gt;0</formula>
    </cfRule>
    <cfRule type="expression" dxfId="125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57" priority="29">
      <formula>F61&gt;0</formula>
    </cfRule>
    <cfRule type="expression" dxfId="1256" priority="30">
      <formula>F61&lt;0</formula>
    </cfRule>
  </conditionalFormatting>
  <conditionalFormatting sqref="H61:H79 H83:H100">
    <cfRule type="expression" dxfId="1255" priority="27">
      <formula>H61&gt;0</formula>
    </cfRule>
    <cfRule type="expression" dxfId="1254" priority="28">
      <formula>H61&lt;0</formula>
    </cfRule>
  </conditionalFormatting>
  <conditionalFormatting sqref="I57:I79 I82:I100">
    <cfRule type="expression" dxfId="1253" priority="25">
      <formula>I57&gt;0</formula>
    </cfRule>
    <cfRule type="expression" dxfId="1252" priority="26">
      <formula>I57&lt;0</formula>
    </cfRule>
  </conditionalFormatting>
  <conditionalFormatting sqref="Q7">
    <cfRule type="expression" dxfId="1251" priority="23">
      <formula>Q7&gt;0</formula>
    </cfRule>
    <cfRule type="expression" dxfId="1250" priority="24">
      <formula>Q7&lt;0</formula>
    </cfRule>
  </conditionalFormatting>
  <conditionalFormatting sqref="Q8">
    <cfRule type="expression" dxfId="1249" priority="21">
      <formula>Q8&gt;0</formula>
    </cfRule>
    <cfRule type="expression" dxfId="1248" priority="22">
      <formula>Q8&lt;0</formula>
    </cfRule>
  </conditionalFormatting>
  <conditionalFormatting sqref="F57:F60">
    <cfRule type="expression" dxfId="1247" priority="19">
      <formula>F57&gt;0</formula>
    </cfRule>
    <cfRule type="expression" dxfId="1246" priority="20">
      <formula>F57&lt;0</formula>
    </cfRule>
  </conditionalFormatting>
  <conditionalFormatting sqref="H57:H60">
    <cfRule type="expression" dxfId="1245" priority="17">
      <formula>H57&gt;0</formula>
    </cfRule>
    <cfRule type="expression" dxfId="1244" priority="18">
      <formula>H57&lt;0</formula>
    </cfRule>
  </conditionalFormatting>
  <conditionalFormatting sqref="F82:F96">
    <cfRule type="expression" dxfId="1243" priority="11">
      <formula>F82&gt;0</formula>
    </cfRule>
    <cfRule type="expression" dxfId="1242" priority="12">
      <formula>F82&lt;0</formula>
    </cfRule>
  </conditionalFormatting>
  <conditionalFormatting sqref="H82:H96">
    <cfRule type="expression" dxfId="1241" priority="9">
      <formula>H82&gt;0</formula>
    </cfRule>
    <cfRule type="expression" dxfId="1240" priority="10">
      <formula>H82&lt;0</formula>
    </cfRule>
  </conditionalFormatting>
  <conditionalFormatting sqref="F25:F44">
    <cfRule type="expression" dxfId="1239" priority="7">
      <formula>F25&gt;0</formula>
    </cfRule>
    <cfRule type="expression" dxfId="1238" priority="8">
      <formula>F25&lt;0</formula>
    </cfRule>
  </conditionalFormatting>
  <conditionalFormatting sqref="H25:H44">
    <cfRule type="expression" dxfId="1237" priority="5">
      <formula>H25&gt;0</formula>
    </cfRule>
    <cfRule type="expression" dxfId="1236" priority="6">
      <formula>H25&lt;0</formula>
    </cfRule>
  </conditionalFormatting>
  <conditionalFormatting sqref="J34:J52">
    <cfRule type="expression" dxfId="1235" priority="3">
      <formula>J34&gt;0</formula>
    </cfRule>
    <cfRule type="expression" dxfId="1234" priority="4">
      <formula>J34&lt;0</formula>
    </cfRule>
  </conditionalFormatting>
  <conditionalFormatting sqref="J39">
    <cfRule type="expression" dxfId="1233" priority="1">
      <formula>J39&gt;0</formula>
    </cfRule>
    <cfRule type="expression" dxfId="123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153.94999999999999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153.94999999999999</v>
      </c>
      <c r="R4" s="516">
        <v>8.6E-3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4" t="s">
        <v>78</v>
      </c>
      <c r="P42" s="704"/>
      <c r="T42" s="107" t="s">
        <v>99</v>
      </c>
      <c r="U42" s="364" t="s">
        <v>631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169.345</v>
      </c>
      <c r="Q43" s="2"/>
      <c r="T43" s="107" t="s">
        <v>100</v>
      </c>
      <c r="U43" s="364" t="s">
        <v>632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167.80549999999999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166.26599999999999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164.72649999999999</v>
      </c>
      <c r="Q46" s="2"/>
      <c r="T46" s="107" t="s">
        <v>121</v>
      </c>
      <c r="U46" s="364" t="s">
        <v>410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163.18699999999998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161.64750000000001</v>
      </c>
      <c r="Q48" s="2"/>
      <c r="T48" s="107" t="s">
        <v>104</v>
      </c>
      <c r="U48" s="364" t="s">
        <v>633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160.108</v>
      </c>
      <c r="Q49" s="2"/>
      <c r="T49" s="107" t="s">
        <v>105</v>
      </c>
      <c r="U49" s="364" t="s">
        <v>634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158.5685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157.029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155.48949999999999</v>
      </c>
      <c r="Q52" s="2"/>
      <c r="T52" s="107" t="s">
        <v>107</v>
      </c>
      <c r="U52" s="364" t="s">
        <v>635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153.94999999999999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152.41049999999998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150.87099999999998</v>
      </c>
      <c r="Q55" s="2"/>
      <c r="T55" s="107" t="s">
        <v>108</v>
      </c>
      <c r="U55" s="364" t="s">
        <v>580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149.33149999999998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147.79199999999997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146.25249999999997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144.71299999999999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143.17349999999999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141.63399999999999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140.09449999999998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138.55500000000001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31" priority="35">
      <formula>N19&gt;0</formula>
    </cfRule>
    <cfRule type="expression" dxfId="123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29" priority="21">
      <formula>F25&gt;0</formula>
    </cfRule>
    <cfRule type="expression" dxfId="1228" priority="22">
      <formula>F25&lt;0</formula>
    </cfRule>
  </conditionalFormatting>
  <conditionalFormatting sqref="H25:H47">
    <cfRule type="expression" dxfId="1227" priority="19">
      <formula>H25&gt;0</formula>
    </cfRule>
    <cfRule type="expression" dxfId="1226" priority="20">
      <formula>H25&lt;0</formula>
    </cfRule>
  </conditionalFormatting>
  <conditionalFormatting sqref="I25:I27">
    <cfRule type="expression" dxfId="1225" priority="15">
      <formula>I25&gt;0</formula>
    </cfRule>
    <cfRule type="expression" dxfId="1224" priority="16">
      <formula>I25&lt;0</formula>
    </cfRule>
  </conditionalFormatting>
  <conditionalFormatting sqref="Q7">
    <cfRule type="expression" dxfId="1223" priority="5">
      <formula>Q7&gt;0</formula>
    </cfRule>
    <cfRule type="expression" dxfId="1222" priority="6">
      <formula>Q7&lt;0</formula>
    </cfRule>
  </conditionalFormatting>
  <conditionalFormatting sqref="Q8">
    <cfRule type="expression" dxfId="1221" priority="3">
      <formula>Q8&gt;0</formula>
    </cfRule>
    <cfRule type="expression" dxfId="122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77.92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77.92</v>
      </c>
      <c r="R4" s="498">
        <v>-9.2999999999999992E-3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85.712000000000003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84.932800000000015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84.153600000000012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83.374400000000009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82.595200000000006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81.816000000000003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81.036799999999999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80.257600000000011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79.478400000000008</v>
      </c>
      <c r="Q49" s="2"/>
      <c r="T49" s="92" t="s">
        <v>103</v>
      </c>
      <c r="U49" s="129" t="s">
        <v>558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78.699200000000005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77.92</v>
      </c>
      <c r="Q51" s="2"/>
      <c r="T51" s="92" t="s">
        <v>104</v>
      </c>
      <c r="U51" s="129" t="s">
        <v>636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77.140799999999999</v>
      </c>
      <c r="Q52" s="2"/>
      <c r="T52" s="92" t="s">
        <v>105</v>
      </c>
      <c r="U52" s="129" t="s">
        <v>499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76.361599999999996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75.582399999999993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74.803200000000004</v>
      </c>
      <c r="T55" s="92" t="s">
        <v>107</v>
      </c>
      <c r="U55" s="129" t="s">
        <v>637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74.024000000000001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73.244799999999998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72.465600000000009</v>
      </c>
      <c r="T58" s="92" t="s">
        <v>108</v>
      </c>
      <c r="U58" s="129" t="s">
        <v>589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71.686400000000006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70.907200000000003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70.128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19" priority="9">
      <formula>F36&gt;0</formula>
    </cfRule>
    <cfRule type="expression" dxfId="1218" priority="10">
      <formula>F36&lt;0</formula>
    </cfRule>
  </conditionalFormatting>
  <conditionalFormatting sqref="F25:F35">
    <cfRule type="expression" dxfId="1217" priority="7">
      <formula>F25&gt;0</formula>
    </cfRule>
    <cfRule type="expression" dxfId="1216" priority="8">
      <formula>F25&lt;0</formula>
    </cfRule>
  </conditionalFormatting>
  <conditionalFormatting sqref="H25:H35">
    <cfRule type="expression" dxfId="1215" priority="5">
      <formula>H25&gt;0</formula>
    </cfRule>
    <cfRule type="expression" dxfId="1214" priority="6">
      <formula>H25&lt;0</formula>
    </cfRule>
  </conditionalFormatting>
  <conditionalFormatting sqref="Q7">
    <cfRule type="expression" dxfId="1213" priority="3">
      <formula>Q7&gt;0</formula>
    </cfRule>
    <cfRule type="expression" dxfId="1212" priority="4">
      <formula>Q7&lt;0</formula>
    </cfRule>
  </conditionalFormatting>
  <conditionalFormatting sqref="Q8">
    <cfRule type="expression" dxfId="1211" priority="1">
      <formula>Q8&gt;0</formula>
    </cfRule>
    <cfRule type="expression" dxfId="121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50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73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70.221599999999995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72.06</v>
      </c>
      <c r="R4" s="521">
        <v>-2.5000000000000001E-2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3603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3511.08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250.21999999999935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91.920000000000073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2.6179978809938845E-2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50</v>
      </c>
      <c r="I18" s="18"/>
      <c r="J18" s="18"/>
      <c r="K18" s="18">
        <f>SUM(K2:K5)</f>
        <v>3630.92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50</v>
      </c>
      <c r="D19" s="354"/>
      <c r="E19" s="354"/>
      <c r="F19" s="355">
        <f>SumByColor($A$19,F2:F17)</f>
        <v>3629</v>
      </c>
      <c r="G19" s="354"/>
      <c r="H19" s="354">
        <f>SumByColor($A$19,H2:H17)</f>
        <v>50</v>
      </c>
      <c r="I19" s="354"/>
      <c r="J19" s="354"/>
      <c r="K19" s="355">
        <f>SumByColor($A$19,K3:K17)</f>
        <v>0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760</v>
      </c>
      <c r="L24" s="227" t="s">
        <v>767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:F31" si="11">C28*(E28-D28)</f>
        <v>-167.00000000000017</v>
      </c>
      <c r="G28" s="40">
        <f t="shared" ref="G28:G31" si="12">D28*C28</f>
        <v>7168.0000000000009</v>
      </c>
      <c r="H28" s="229">
        <f t="shared" ref="H28:H31" si="13">(E28-D28)/D28</f>
        <v>-2.3297991071428593E-2</v>
      </c>
      <c r="I28" s="40">
        <v>71.5</v>
      </c>
      <c r="J28" s="40">
        <v>-9</v>
      </c>
      <c r="K28" s="40">
        <f t="shared" ref="K28:K31" si="14">(G28-J28)/C28</f>
        <v>71.77000000000001</v>
      </c>
      <c r="L28" s="160">
        <f t="shared" ref="L28:L31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4" t="s">
        <v>78</v>
      </c>
      <c r="P40" s="704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79.266000000000005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6">O42*$Q$4</f>
        <v>78.545400000000015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6"/>
        <v>77.82480000000001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6"/>
        <v>77.104200000000006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6"/>
        <v>76.383600000000001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6"/>
        <v>75.663000000000011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6"/>
        <v>74.942400000000006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6"/>
        <v>74.221800000000002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6"/>
        <v>73.501199999999997</v>
      </c>
      <c r="Q49" s="2"/>
      <c r="T49" s="92" t="s">
        <v>121</v>
      </c>
      <c r="U49" s="129" t="s">
        <v>549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6"/>
        <v>72.780600000000007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6"/>
        <v>72.06</v>
      </c>
      <c r="Q51" s="2"/>
      <c r="T51" s="92" t="s">
        <v>104</v>
      </c>
      <c r="U51" s="129" t="s">
        <v>638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6"/>
        <v>71.339399999999998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6"/>
        <v>70.618800000000007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6"/>
        <v>69.898200000000003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6"/>
        <v>69.177599999999998</v>
      </c>
      <c r="T55" s="92" t="s">
        <v>107</v>
      </c>
      <c r="U55" s="129" t="s">
        <v>639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6"/>
        <v>68.456999999999994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6"/>
        <v>67.736400000000003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6"/>
        <v>67.015799999999999</v>
      </c>
      <c r="T58" s="92" t="s">
        <v>108</v>
      </c>
      <c r="U58" s="129" t="s">
        <v>590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6"/>
        <v>66.295200000000008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6"/>
        <v>65.574600000000004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6"/>
        <v>64.853999999999999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274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7">C89*(E89-D89)</f>
        <v>-1.5999999999999659</v>
      </c>
      <c r="G89" s="40">
        <f t="shared" ref="G89:G100" si="18">D89*C89</f>
        <v>1441.6</v>
      </c>
      <c r="H89" s="229">
        <f t="shared" ref="H89:H100" si="19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7"/>
        <v>-6.5999999999999659</v>
      </c>
      <c r="G90" s="40">
        <f t="shared" si="18"/>
        <v>1441.6</v>
      </c>
      <c r="H90" s="229">
        <f t="shared" si="19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7"/>
        <v>-23.799999999999955</v>
      </c>
      <c r="G91" s="40">
        <f t="shared" si="18"/>
        <v>2850.6</v>
      </c>
      <c r="H91" s="229">
        <f t="shared" si="19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7"/>
        <v>9.8000000000001819</v>
      </c>
      <c r="G92" s="40">
        <f t="shared" si="18"/>
        <v>2850.6</v>
      </c>
      <c r="H92" s="229">
        <f t="shared" si="19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7"/>
        <v>50.600000000000023</v>
      </c>
      <c r="G93" s="40">
        <f t="shared" si="18"/>
        <v>2850.6</v>
      </c>
      <c r="H93" s="229">
        <f t="shared" si="19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7"/>
        <v>-30.600000000000023</v>
      </c>
      <c r="G94" s="40">
        <f t="shared" si="18"/>
        <v>2850.6</v>
      </c>
      <c r="H94" s="229">
        <f t="shared" si="19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7"/>
        <v>-128.60000000000014</v>
      </c>
      <c r="G95" s="40">
        <f t="shared" si="18"/>
        <v>2850.6</v>
      </c>
      <c r="H95" s="229">
        <f t="shared" si="19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7"/>
        <v>-184.54800000000034</v>
      </c>
      <c r="G96" s="40">
        <f t="shared" si="18"/>
        <v>4537.598</v>
      </c>
      <c r="H96" s="229">
        <f t="shared" si="19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7"/>
        <v>-49.348000000000454</v>
      </c>
      <c r="G97" s="40">
        <f t="shared" si="18"/>
        <v>4537.598</v>
      </c>
      <c r="H97" s="229">
        <f t="shared" si="19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7"/>
        <v>-9.6980000000004907</v>
      </c>
      <c r="G98" s="40">
        <f t="shared" si="18"/>
        <v>4537.598</v>
      </c>
      <c r="H98" s="229">
        <f t="shared" si="19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7"/>
        <v>-46.748000000000047</v>
      </c>
      <c r="G99" s="40">
        <f t="shared" si="18"/>
        <v>4537.598</v>
      </c>
      <c r="H99" s="229">
        <f t="shared" si="19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7"/>
        <v>-13.598000000000638</v>
      </c>
      <c r="G100" s="40">
        <f t="shared" si="18"/>
        <v>4537.598</v>
      </c>
      <c r="H100" s="229">
        <f t="shared" si="19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09" priority="21">
      <formula>F47&gt;0</formula>
    </cfRule>
    <cfRule type="expression" dxfId="1208" priority="22">
      <formula>F47&lt;0</formula>
    </cfRule>
  </conditionalFormatting>
  <conditionalFormatting sqref="Q7">
    <cfRule type="expression" dxfId="1207" priority="19">
      <formula>Q7&gt;0</formula>
    </cfRule>
    <cfRule type="expression" dxfId="1206" priority="20">
      <formula>Q7&lt;0</formula>
    </cfRule>
  </conditionalFormatting>
  <conditionalFormatting sqref="Q8">
    <cfRule type="expression" dxfId="1205" priority="17">
      <formula>Q8&gt;0</formula>
    </cfRule>
    <cfRule type="expression" dxfId="1204" priority="18">
      <formula>Q8&lt;0</formula>
    </cfRule>
  </conditionalFormatting>
  <conditionalFormatting sqref="F25:F46">
    <cfRule type="expression" dxfId="1203" priority="15">
      <formula>F25&gt;0</formula>
    </cfRule>
    <cfRule type="expression" dxfId="1202" priority="16">
      <formula>F25&lt;0</formula>
    </cfRule>
  </conditionalFormatting>
  <conditionalFormatting sqref="H25:H46">
    <cfRule type="expression" dxfId="1201" priority="13">
      <formula>H25&gt;0</formula>
    </cfRule>
    <cfRule type="expression" dxfId="1200" priority="14">
      <formula>H25&lt;0</formula>
    </cfRule>
  </conditionalFormatting>
  <conditionalFormatting sqref="F89:F110">
    <cfRule type="expression" dxfId="1199" priority="11">
      <formula>F89&gt;0</formula>
    </cfRule>
    <cfRule type="expression" dxfId="1198" priority="12">
      <formula>F89&lt;0</formula>
    </cfRule>
  </conditionalFormatting>
  <conditionalFormatting sqref="H89:H110">
    <cfRule type="expression" dxfId="1197" priority="9">
      <formula>H89&gt;0</formula>
    </cfRule>
    <cfRule type="expression" dxfId="1196" priority="10">
      <formula>H89&lt;0</formula>
    </cfRule>
  </conditionalFormatting>
  <conditionalFormatting sqref="Q10">
    <cfRule type="expression" dxfId="1195" priority="7">
      <formula>Q10&gt;0</formula>
    </cfRule>
    <cfRule type="expression" dxfId="1194" priority="8">
      <formula>Q10&lt;0</formula>
    </cfRule>
  </conditionalFormatting>
  <conditionalFormatting sqref="J25:J38">
    <cfRule type="expression" dxfId="1193" priority="5">
      <formula>J25&gt;0</formula>
    </cfRule>
    <cfRule type="expression" dxfId="1192" priority="6">
      <formula>J25&lt;0</formula>
    </cfRule>
  </conditionalFormatting>
  <conditionalFormatting sqref="K25:K38">
    <cfRule type="expression" dxfId="1191" priority="3">
      <formula>K25&gt;0</formula>
    </cfRule>
    <cfRule type="expression" dxfId="1190" priority="4">
      <formula>K25&lt;0</formula>
    </cfRule>
  </conditionalFormatting>
  <conditionalFormatting sqref="L25:L38">
    <cfRule type="expression" dxfId="1189" priority="1">
      <formula>L25&gt;0</formula>
    </cfRule>
    <cfRule type="expression" dxfId="118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34.92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34.92</v>
      </c>
      <c r="R4" s="498">
        <v>2.1899999999999999E-2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4" t="s">
        <v>78</v>
      </c>
      <c r="Q39" s="704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38.412000000000006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38.062800000000003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37.713600000000007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37.364400000000003</v>
      </c>
      <c r="R43" s="82"/>
      <c r="T43" s="86" t="s">
        <v>100</v>
      </c>
      <c r="U43" s="129" t="s">
        <v>574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37.015200000000007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36.666000000000004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36.316800000000001</v>
      </c>
      <c r="R46" s="82"/>
      <c r="T46" s="86" t="s">
        <v>121</v>
      </c>
      <c r="U46" s="230" t="s">
        <v>446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35.967600000000004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35.618400000000001</v>
      </c>
      <c r="R48" s="82"/>
      <c r="T48" s="86" t="s">
        <v>104</v>
      </c>
      <c r="U48" s="129" t="s">
        <v>640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35.269200000000005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34.92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34.570799999999998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34.221600000000002</v>
      </c>
      <c r="R52" s="82"/>
      <c r="T52" s="86" t="s">
        <v>107</v>
      </c>
      <c r="U52" s="129" t="s">
        <v>641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33.872399999999999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33.523200000000003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33.173999999999999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32.824799999999996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32.4756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32.126400000000004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31.777200000000004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31.428000000000001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87" priority="31">
      <formula>F29&gt;0</formula>
    </cfRule>
    <cfRule type="expression" dxfId="1186" priority="32">
      <formula>F29&lt;0</formula>
    </cfRule>
  </conditionalFormatting>
  <conditionalFormatting sqref="F29 F31:F35">
    <cfRule type="expression" dxfId="1185" priority="33">
      <formula>F29&gt;0</formula>
    </cfRule>
    <cfRule type="expression" dxfId="1184" priority="34">
      <formula>F29&lt;0</formula>
    </cfRule>
  </conditionalFormatting>
  <conditionalFormatting sqref="H29 H31:H35">
    <cfRule type="expression" dxfId="1183" priority="29">
      <formula>H29&gt;0</formula>
    </cfRule>
    <cfRule type="expression" dxfId="1182" priority="30">
      <formula>H29&lt;0</formula>
    </cfRule>
  </conditionalFormatting>
  <conditionalFormatting sqref="F21:F28">
    <cfRule type="expression" dxfId="1181" priority="27">
      <formula>F21&gt;0</formula>
    </cfRule>
    <cfRule type="expression" dxfId="1180" priority="28">
      <formula>F21&lt;0</formula>
    </cfRule>
  </conditionalFormatting>
  <conditionalFormatting sqref="H21:H28">
    <cfRule type="expression" dxfId="1179" priority="25">
      <formula>H21&gt;0</formula>
    </cfRule>
    <cfRule type="expression" dxfId="1178" priority="26">
      <formula>H21&lt;0</formula>
    </cfRule>
  </conditionalFormatting>
  <conditionalFormatting sqref="Q8">
    <cfRule type="expression" dxfId="1177" priority="21">
      <formula>Q8&gt;0</formula>
    </cfRule>
    <cfRule type="expression" dxfId="1176" priority="22">
      <formula>Q8&lt;0</formula>
    </cfRule>
  </conditionalFormatting>
  <conditionalFormatting sqref="Q7">
    <cfRule type="expression" dxfId="1175" priority="23">
      <formula>Q7&gt;0</formula>
    </cfRule>
    <cfRule type="expression" dxfId="1174" priority="24">
      <formula>Q7&lt;0</formula>
    </cfRule>
  </conditionalFormatting>
  <conditionalFormatting sqref="F30">
    <cfRule type="expression" dxfId="1173" priority="19">
      <formula>F30&gt;0</formula>
    </cfRule>
    <cfRule type="expression" dxfId="1172" priority="20">
      <formula>F30&lt;0</formula>
    </cfRule>
  </conditionalFormatting>
  <conditionalFormatting sqref="H30">
    <cfRule type="expression" dxfId="1171" priority="17">
      <formula>H30&gt;0</formula>
    </cfRule>
    <cfRule type="expression" dxfId="1170" priority="18">
      <formula>H30&lt;0</formula>
    </cfRule>
  </conditionalFormatting>
  <conditionalFormatting sqref="F68 F70:F74">
    <cfRule type="expression" dxfId="1169" priority="13">
      <formula>F68&gt;0</formula>
    </cfRule>
    <cfRule type="expression" dxfId="1168" priority="14">
      <formula>F68&lt;0</formula>
    </cfRule>
  </conditionalFormatting>
  <conditionalFormatting sqref="F68 F70:F74">
    <cfRule type="expression" dxfId="1167" priority="15">
      <formula>F68&gt;0</formula>
    </cfRule>
    <cfRule type="expression" dxfId="1166" priority="16">
      <formula>F68&lt;0</formula>
    </cfRule>
  </conditionalFormatting>
  <conditionalFormatting sqref="H68 H70:H74">
    <cfRule type="expression" dxfId="1165" priority="11">
      <formula>H68&gt;0</formula>
    </cfRule>
    <cfRule type="expression" dxfId="1164" priority="12">
      <formula>H68&lt;0</formula>
    </cfRule>
  </conditionalFormatting>
  <conditionalFormatting sqref="F60:F67">
    <cfRule type="expression" dxfId="1163" priority="9">
      <formula>F60&gt;0</formula>
    </cfRule>
    <cfRule type="expression" dxfId="1162" priority="10">
      <formula>F60&lt;0</formula>
    </cfRule>
  </conditionalFormatting>
  <conditionalFormatting sqref="H60:H67">
    <cfRule type="expression" dxfId="1161" priority="7">
      <formula>H60&gt;0</formula>
    </cfRule>
    <cfRule type="expression" dxfId="1160" priority="8">
      <formula>H60&lt;0</formula>
    </cfRule>
  </conditionalFormatting>
  <conditionalFormatting sqref="F69">
    <cfRule type="expression" dxfId="1159" priority="5">
      <formula>F69&gt;0</formula>
    </cfRule>
    <cfRule type="expression" dxfId="1158" priority="6">
      <formula>F69&lt;0</formula>
    </cfRule>
  </conditionalFormatting>
  <conditionalFormatting sqref="H69">
    <cfRule type="expression" dxfId="1157" priority="3">
      <formula>H69&gt;0</formula>
    </cfRule>
    <cfRule type="expression" dxfId="1156" priority="4">
      <formula>H69&lt;0</formula>
    </cfRule>
  </conditionalFormatting>
  <conditionalFormatting sqref="Q10">
    <cfRule type="expression" dxfId="1155" priority="1">
      <formula>Q10&gt;0</formula>
    </cfRule>
    <cfRule type="expression" dxfId="115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28.52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28.52</v>
      </c>
      <c r="R4" s="498">
        <v>2.2200000000000001E-2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4" t="s">
        <v>78</v>
      </c>
      <c r="P40" s="704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31.372000000000003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31.0868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30.801600000000001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30.516400000000001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30.231200000000001</v>
      </c>
      <c r="Q45" s="2"/>
      <c r="T45" s="92" t="s">
        <v>99</v>
      </c>
      <c r="U45" s="129" t="s">
        <v>642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29.946000000000002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29.660800000000002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29.375599999999999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29.090399999999999</v>
      </c>
      <c r="Q49" s="2"/>
      <c r="T49" s="92" t="s">
        <v>121</v>
      </c>
      <c r="U49" s="129" t="s">
        <v>447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28.805199999999999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28.52</v>
      </c>
      <c r="Q51" s="2"/>
      <c r="T51" s="92" t="s">
        <v>104</v>
      </c>
      <c r="U51" s="129" t="s">
        <v>643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28.2348</v>
      </c>
      <c r="Q52" s="2"/>
      <c r="T52" s="92" t="s">
        <v>105</v>
      </c>
      <c r="U52" s="129" t="s">
        <v>581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27.9496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27.664400000000001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27.379199999999997</v>
      </c>
      <c r="T55" s="92" t="s">
        <v>107</v>
      </c>
      <c r="U55" s="129" t="s">
        <v>644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27.093999999999998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26.808799999999998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26.523600000000002</v>
      </c>
      <c r="T58" s="92" t="s">
        <v>108</v>
      </c>
      <c r="U58" s="129" t="s">
        <v>582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26.238400000000002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25.953199999999999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25.667999999999999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53" priority="11">
      <formula>F33&gt;0</formula>
    </cfRule>
    <cfRule type="expression" dxfId="1152" priority="12">
      <formula>F33&lt;0</formula>
    </cfRule>
  </conditionalFormatting>
  <conditionalFormatting sqref="Q7">
    <cfRule type="expression" dxfId="1151" priority="9">
      <formula>Q7&gt;0</formula>
    </cfRule>
    <cfRule type="expression" dxfId="1150" priority="10">
      <formula>Q7&lt;0</formula>
    </cfRule>
  </conditionalFormatting>
  <conditionalFormatting sqref="Q8">
    <cfRule type="expression" dxfId="1149" priority="7">
      <formula>Q8&gt;0</formula>
    </cfRule>
    <cfRule type="expression" dxfId="1148" priority="8">
      <formula>Q8&lt;0</formula>
    </cfRule>
  </conditionalFormatting>
  <conditionalFormatting sqref="F25:F32">
    <cfRule type="expression" dxfId="1147" priority="5">
      <formula>F25&gt;0</formula>
    </cfRule>
    <cfRule type="expression" dxfId="1146" priority="6">
      <formula>F25&lt;0</formula>
    </cfRule>
  </conditionalFormatting>
  <conditionalFormatting sqref="H25:H32">
    <cfRule type="expression" dxfId="1145" priority="3">
      <formula>H25&gt;0</formula>
    </cfRule>
    <cfRule type="expression" dxfId="1144" priority="4">
      <formula>H25&lt;0</formula>
    </cfRule>
  </conditionalFormatting>
  <conditionalFormatting sqref="Q10">
    <cfRule type="expression" dxfId="1143" priority="1">
      <formula>Q10&gt;0</formula>
    </cfRule>
    <cfRule type="expression" dxfId="114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480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22.77</v>
      </c>
      <c r="T3" s="597" t="s">
        <v>509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22.77</v>
      </c>
      <c r="R4" s="498">
        <v>1.2E-2</v>
      </c>
      <c r="T4" s="161" t="s">
        <v>510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511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760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704" t="s">
        <v>78</v>
      </c>
      <c r="P40" s="704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25.047000000000001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24.819300000000002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24.5916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24.363900000000001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24.136200000000002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23.9085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23.680800000000001</v>
      </c>
      <c r="Q47" s="2"/>
      <c r="S47" t="s">
        <v>518</v>
      </c>
      <c r="T47" s="597" t="s">
        <v>509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23.453099999999999</v>
      </c>
      <c r="Q48" s="2"/>
      <c r="S48" t="s">
        <v>522</v>
      </c>
      <c r="T48" s="23" t="s">
        <v>521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23.2254</v>
      </c>
      <c r="Q49" s="2"/>
      <c r="S49" t="s">
        <v>523</v>
      </c>
      <c r="T49" s="23" t="s">
        <v>524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22.997699999999998</v>
      </c>
      <c r="Q50" s="2"/>
      <c r="S50" t="s">
        <v>525</v>
      </c>
      <c r="T50" s="23" t="s">
        <v>526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22.77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22.542300000000001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22.314599999999999</v>
      </c>
      <c r="Q53" s="2"/>
      <c r="S53" t="s">
        <v>529</v>
      </c>
      <c r="T53" s="23" t="s">
        <v>519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22.0869</v>
      </c>
      <c r="S54" t="s">
        <v>528</v>
      </c>
      <c r="T54" s="23" t="s">
        <v>520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21.859199999999998</v>
      </c>
      <c r="S55" t="s">
        <v>527</v>
      </c>
      <c r="T55" s="23" t="s">
        <v>530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21.631499999999999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21.403799999999997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21.176100000000002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20.948399999999999</v>
      </c>
      <c r="X59" s="136"/>
    </row>
    <row r="60" spans="1:24" x14ac:dyDescent="0.25">
      <c r="A60" s="540" t="s">
        <v>292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20.720700000000001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20.492999999999999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196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760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389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400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409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431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460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41" priority="57">
      <formula>F31&gt;0</formula>
    </cfRule>
    <cfRule type="expression" dxfId="1140" priority="58">
      <formula>F31&lt;0</formula>
    </cfRule>
  </conditionalFormatting>
  <conditionalFormatting sqref="Q7">
    <cfRule type="expression" dxfId="1139" priority="55">
      <formula>Q7&gt;0</formula>
    </cfRule>
    <cfRule type="expression" dxfId="1138" priority="56">
      <formula>Q7&lt;0</formula>
    </cfRule>
  </conditionalFormatting>
  <conditionalFormatting sqref="Q8">
    <cfRule type="expression" dxfId="1137" priority="53">
      <formula>Q8&gt;0</formula>
    </cfRule>
    <cfRule type="expression" dxfId="1136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35" priority="45">
      <formula>M58&gt;0</formula>
    </cfRule>
    <cfRule type="expression" dxfId="1134" priority="46">
      <formula>M58&lt;0</formula>
    </cfRule>
  </conditionalFormatting>
  <conditionalFormatting sqref="Q10">
    <cfRule type="expression" dxfId="1133" priority="43">
      <formula>Q10&gt;0</formula>
    </cfRule>
    <cfRule type="expression" dxfId="1132" priority="44">
      <formula>Q10&lt;0</formula>
    </cfRule>
  </conditionalFormatting>
  <conditionalFormatting sqref="F25:F30">
    <cfRule type="expression" dxfId="1131" priority="41">
      <formula>F25&gt;0</formula>
    </cfRule>
    <cfRule type="expression" dxfId="1130" priority="42">
      <formula>F25&lt;0</formula>
    </cfRule>
  </conditionalFormatting>
  <conditionalFormatting sqref="H25:H30">
    <cfRule type="expression" dxfId="1129" priority="39">
      <formula>H25&gt;0</formula>
    </cfRule>
    <cfRule type="expression" dxfId="1128" priority="40">
      <formula>H25&lt;0</formula>
    </cfRule>
  </conditionalFormatting>
  <conditionalFormatting sqref="F83:F94">
    <cfRule type="expression" dxfId="1127" priority="37">
      <formula>F83&gt;0</formula>
    </cfRule>
    <cfRule type="expression" dxfId="1126" priority="38">
      <formula>F83&lt;0</formula>
    </cfRule>
  </conditionalFormatting>
  <conditionalFormatting sqref="H83:H94">
    <cfRule type="expression" dxfId="1125" priority="35">
      <formula>H83&gt;0</formula>
    </cfRule>
    <cfRule type="expression" dxfId="1124" priority="36">
      <formula>H83&lt;0</formula>
    </cfRule>
  </conditionalFormatting>
  <conditionalFormatting sqref="J41">
    <cfRule type="expression" dxfId="1123" priority="33">
      <formula>J41&gt;0</formula>
    </cfRule>
    <cfRule type="expression" dxfId="1122" priority="34">
      <formula>J41&lt;0</formula>
    </cfRule>
  </conditionalFormatting>
  <conditionalFormatting sqref="J39:J47 J49">
    <cfRule type="expression" dxfId="1121" priority="31">
      <formula>J39&gt;0</formula>
    </cfRule>
    <cfRule type="expression" dxfId="1120" priority="32">
      <formula>J39&lt;0</formula>
    </cfRule>
  </conditionalFormatting>
  <conditionalFormatting sqref="F48 H48">
    <cfRule type="expression" dxfId="1119" priority="29">
      <formula>F48&gt;0</formula>
    </cfRule>
    <cfRule type="expression" dxfId="1118" priority="30">
      <formula>F48&lt;0</formula>
    </cfRule>
  </conditionalFormatting>
  <conditionalFormatting sqref="J48">
    <cfRule type="expression" dxfId="1117" priority="27">
      <formula>J48&gt;0</formula>
    </cfRule>
    <cfRule type="expression" dxfId="1116" priority="28">
      <formula>J48&lt;0</formula>
    </cfRule>
  </conditionalFormatting>
  <conditionalFormatting sqref="K41:K52">
    <cfRule type="expression" dxfId="1115" priority="25">
      <formula>K41&gt;0</formula>
    </cfRule>
    <cfRule type="expression" dxfId="1114" priority="26">
      <formula>K41&lt;0</formula>
    </cfRule>
  </conditionalFormatting>
  <conditionalFormatting sqref="K39:K52">
    <cfRule type="expression" dxfId="1113" priority="23">
      <formula>K39&gt;0</formula>
    </cfRule>
    <cfRule type="expression" dxfId="1112" priority="24">
      <formula>K39&lt;0</formula>
    </cfRule>
  </conditionalFormatting>
  <conditionalFormatting sqref="F102:F118 H102:H118 H120:H128 F120:F128">
    <cfRule type="expression" dxfId="1111" priority="19">
      <formula>F102&gt;0</formula>
    </cfRule>
    <cfRule type="expression" dxfId="1110" priority="20">
      <formula>F102&lt;0</formula>
    </cfRule>
  </conditionalFormatting>
  <conditionalFormatting sqref="F96:F101">
    <cfRule type="expression" dxfId="1109" priority="17">
      <formula>F96&gt;0</formula>
    </cfRule>
    <cfRule type="expression" dxfId="1108" priority="18">
      <formula>F96&lt;0</formula>
    </cfRule>
  </conditionalFormatting>
  <conditionalFormatting sqref="H96:H101">
    <cfRule type="expression" dxfId="1107" priority="15">
      <formula>H96&gt;0</formula>
    </cfRule>
    <cfRule type="expression" dxfId="1106" priority="16">
      <formula>H96&lt;0</formula>
    </cfRule>
  </conditionalFormatting>
  <conditionalFormatting sqref="J112">
    <cfRule type="expression" dxfId="1105" priority="13">
      <formula>J112&gt;0</formula>
    </cfRule>
    <cfRule type="expression" dxfId="1104" priority="14">
      <formula>J112&lt;0</formula>
    </cfRule>
  </conditionalFormatting>
  <conditionalFormatting sqref="J110:J118 J120">
    <cfRule type="expression" dxfId="1103" priority="11">
      <formula>J110&gt;0</formula>
    </cfRule>
    <cfRule type="expression" dxfId="1102" priority="12">
      <formula>J110&lt;0</formula>
    </cfRule>
  </conditionalFormatting>
  <conditionalFormatting sqref="F119 H119">
    <cfRule type="expression" dxfId="1101" priority="9">
      <formula>F119&gt;0</formula>
    </cfRule>
    <cfRule type="expression" dxfId="1100" priority="10">
      <formula>F119&lt;0</formula>
    </cfRule>
  </conditionalFormatting>
  <conditionalFormatting sqref="J119">
    <cfRule type="expression" dxfId="1099" priority="7">
      <formula>J119&gt;0</formula>
    </cfRule>
    <cfRule type="expression" dxfId="1098" priority="8">
      <formula>J119&lt;0</formula>
    </cfRule>
  </conditionalFormatting>
  <conditionalFormatting sqref="K112:K123">
    <cfRule type="expression" dxfId="1097" priority="5">
      <formula>K112&gt;0</formula>
    </cfRule>
    <cfRule type="expression" dxfId="1096" priority="6">
      <formula>K112&lt;0</formula>
    </cfRule>
  </conditionalFormatting>
  <conditionalFormatting sqref="K110:K123">
    <cfRule type="expression" dxfId="1095" priority="3">
      <formula>K110&gt;0</formula>
    </cfRule>
    <cfRule type="expression" dxfId="1094" priority="4">
      <formula>K110&lt;0</formula>
    </cfRule>
  </conditionalFormatting>
  <conditionalFormatting sqref="J121">
    <cfRule type="expression" dxfId="1093" priority="1">
      <formula>J121&gt;0</formula>
    </cfRule>
    <cfRule type="expression" dxfId="1092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58.09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58.09</v>
      </c>
      <c r="R4" s="498">
        <v>-4.7999999999999996E-3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4" t="s">
        <v>78</v>
      </c>
      <c r="P40" s="704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63.899000000000008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63.318100000000008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62.737200000000009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62.156300000000009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61.575400000000009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60.994500000000009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60.413600000000002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59.832700000000003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59.251800000000003</v>
      </c>
      <c r="Q49" s="2"/>
      <c r="T49" s="92" t="s">
        <v>103</v>
      </c>
      <c r="U49" s="129" t="s">
        <v>391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58.670900000000003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58.09</v>
      </c>
      <c r="Q51" s="2"/>
      <c r="T51" s="92" t="s">
        <v>104</v>
      </c>
      <c r="U51" s="129" t="s">
        <v>645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57.509100000000004</v>
      </c>
      <c r="Q52" s="2"/>
      <c r="T52" s="92" t="s">
        <v>105</v>
      </c>
      <c r="U52" s="129" t="s">
        <v>500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56.928200000000004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56.347300000000004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55.766400000000004</v>
      </c>
      <c r="T55" s="92" t="s">
        <v>107</v>
      </c>
      <c r="U55" s="129" t="s">
        <v>646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55.185499999999998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54.604599999999998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54.023700000000005</v>
      </c>
      <c r="T58" s="92" t="s">
        <v>108</v>
      </c>
      <c r="U58" s="129" t="s">
        <v>583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53.442800000000005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52.861900000000006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52.281000000000006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91" priority="15">
      <formula>F39&gt;0</formula>
    </cfRule>
    <cfRule type="expression" dxfId="1090" priority="16">
      <formula>F39&lt;0</formula>
    </cfRule>
  </conditionalFormatting>
  <conditionalFormatting sqref="Q7">
    <cfRule type="expression" dxfId="1089" priority="13">
      <formula>Q7&gt;0</formula>
    </cfRule>
    <cfRule type="expression" dxfId="1088" priority="14">
      <formula>Q7&lt;0</formula>
    </cfRule>
  </conditionalFormatting>
  <conditionalFormatting sqref="Q8">
    <cfRule type="expression" dxfId="1087" priority="11">
      <formula>Q8&gt;0</formula>
    </cfRule>
    <cfRule type="expression" dxfId="1086" priority="12">
      <formula>Q8&lt;0</formula>
    </cfRule>
  </conditionalFormatting>
  <conditionalFormatting sqref="F25:F38">
    <cfRule type="expression" dxfId="1085" priority="9">
      <formula>F25&gt;0</formula>
    </cfRule>
    <cfRule type="expression" dxfId="1084" priority="10">
      <formula>F25&lt;0</formula>
    </cfRule>
  </conditionalFormatting>
  <conditionalFormatting sqref="H25:H38">
    <cfRule type="expression" dxfId="1083" priority="7">
      <formula>H25&gt;0</formula>
    </cfRule>
    <cfRule type="expression" dxfId="108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81" priority="3">
      <formula>M55&gt;0</formula>
    </cfRule>
    <cfRule type="expression" dxfId="1080" priority="4">
      <formula>M55&lt;0</formula>
    </cfRule>
  </conditionalFormatting>
  <conditionalFormatting sqref="Q10">
    <cfRule type="expression" dxfId="1079" priority="1">
      <formula>Q10&gt;0</formula>
    </cfRule>
    <cfRule type="expression" dxfId="107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40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40</v>
      </c>
      <c r="R4" s="498">
        <v>-1.1999999999999999E-3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113</v>
      </c>
      <c r="C21" s="510" t="s">
        <v>146</v>
      </c>
      <c r="D21" s="511" t="s">
        <v>145</v>
      </c>
      <c r="E21" s="512" t="s">
        <v>147</v>
      </c>
      <c r="F21" s="513" t="s">
        <v>65</v>
      </c>
      <c r="G21" s="514" t="s">
        <v>151</v>
      </c>
      <c r="H21" s="513" t="s">
        <v>88</v>
      </c>
      <c r="I21" s="514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4" t="s">
        <v>78</v>
      </c>
      <c r="P40" s="704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44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43.6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43.2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42.800000000000004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42.400000000000006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42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41.6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41.2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40.799999999999997</v>
      </c>
      <c r="Q49" s="2"/>
      <c r="T49" s="92" t="s">
        <v>103</v>
      </c>
      <c r="U49" s="129" t="s">
        <v>647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40.4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40</v>
      </c>
      <c r="Q51" s="2"/>
      <c r="T51" s="92" t="s">
        <v>104</v>
      </c>
      <c r="U51" s="129" t="s">
        <v>648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39.6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39.200000000000003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38.799999999999997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38.4</v>
      </c>
      <c r="T55" s="92" t="s">
        <v>107</v>
      </c>
      <c r="U55" s="129" t="s">
        <v>649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38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37.599999999999994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37.200000000000003</v>
      </c>
      <c r="T58" s="92" t="s">
        <v>108</v>
      </c>
      <c r="U58" s="129" t="s">
        <v>550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36.800000000000004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36.4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36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77" priority="27">
      <formula>F27&gt;0</formula>
    </cfRule>
    <cfRule type="expression" dxfId="107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75" priority="15">
      <formula>Q8&gt;0</formula>
    </cfRule>
    <cfRule type="expression" dxfId="1074" priority="16">
      <formula>Q8&lt;0</formula>
    </cfRule>
  </conditionalFormatting>
  <conditionalFormatting sqref="Q7">
    <cfRule type="expression" dxfId="1073" priority="17">
      <formula>Q7&gt;0</formula>
    </cfRule>
    <cfRule type="expression" dxfId="1072" priority="18">
      <formula>Q7&lt;0</formula>
    </cfRule>
  </conditionalFormatting>
  <conditionalFormatting sqref="F37:F38">
    <cfRule type="expression" dxfId="1071" priority="13">
      <formula>F37&gt;0</formula>
    </cfRule>
    <cfRule type="expression" dxfId="1070" priority="14">
      <formula>F37&lt;0</formula>
    </cfRule>
  </conditionalFormatting>
  <conditionalFormatting sqref="H37:H38">
    <cfRule type="expression" dxfId="1069" priority="11">
      <formula>H37&gt;0</formula>
    </cfRule>
    <cfRule type="expression" dxfId="1068" priority="12">
      <formula>H37&lt;0</formula>
    </cfRule>
  </conditionalFormatting>
  <conditionalFormatting sqref="F23:F26 H23:H26">
    <cfRule type="expression" dxfId="1067" priority="9">
      <formula>F23&gt;0</formula>
    </cfRule>
    <cfRule type="expression" dxfId="1066" priority="10">
      <formula>F23&lt;0</formula>
    </cfRule>
  </conditionalFormatting>
  <conditionalFormatting sqref="Q10">
    <cfRule type="expression" dxfId="1065" priority="3">
      <formula>Q10&gt;0</formula>
    </cfRule>
    <cfRule type="expression" dxfId="1064" priority="4">
      <formula>Q10&lt;0</formula>
    </cfRule>
  </conditionalFormatting>
  <conditionalFormatting sqref="F22 H22">
    <cfRule type="expression" dxfId="1063" priority="1">
      <formula>F22&gt;0</formula>
    </cfRule>
    <cfRule type="expression" dxfId="1062" priority="2">
      <formula>F22&lt;0</formula>
    </cfRule>
  </conditionalFormatting>
  <conditionalFormatting sqref="M41">
    <cfRule type="expression" dxfId="1061" priority="5">
      <formula>M41&gt;0</formula>
    </cfRule>
    <cfRule type="expression" dxfId="106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55.14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55.14</v>
      </c>
      <c r="R4" s="498">
        <v>0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60.654000000000003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60.102600000000002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59.551200000000001</v>
      </c>
      <c r="Q43" s="2"/>
      <c r="T43" s="127" t="s">
        <v>97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58.999800000000008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58.448400000000007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57.897000000000006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57.345600000000005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56.794200000000004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56.242800000000003</v>
      </c>
      <c r="Q49" s="2"/>
      <c r="T49" s="92" t="s">
        <v>103</v>
      </c>
      <c r="U49" s="129" t="s">
        <v>513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55.691400000000002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55.14</v>
      </c>
      <c r="Q51" s="2"/>
      <c r="T51" s="92" t="s">
        <v>104</v>
      </c>
      <c r="U51" s="129" t="s">
        <v>650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54.5886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54.037199999999999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53.485799999999998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52.934399999999997</v>
      </c>
      <c r="T55" s="92" t="s">
        <v>107</v>
      </c>
      <c r="U55" s="129" t="s">
        <v>651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52.382999999999996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51.831599999999995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51.280200000000001</v>
      </c>
      <c r="T58" s="92" t="s">
        <v>108</v>
      </c>
      <c r="U58" s="129" t="s">
        <v>591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50.7288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50.177400000000006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49.626000000000005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408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445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463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481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59" priority="29">
      <formula>F25&gt;0</formula>
    </cfRule>
    <cfRule type="expression" dxfId="1058" priority="30">
      <formula>F25&lt;0</formula>
    </cfRule>
  </conditionalFormatting>
  <conditionalFormatting sqref="Q7">
    <cfRule type="expression" dxfId="1057" priority="27">
      <formula>Q7&gt;0</formula>
    </cfRule>
    <cfRule type="expression" dxfId="1056" priority="28">
      <formula>Q7&lt;0</formula>
    </cfRule>
  </conditionalFormatting>
  <conditionalFormatting sqref="Q8">
    <cfRule type="expression" dxfId="1055" priority="25">
      <formula>Q8&gt;0</formula>
    </cfRule>
    <cfRule type="expression" dxfId="1054" priority="26">
      <formula>Q8&lt;0</formula>
    </cfRule>
  </conditionalFormatting>
  <conditionalFormatting sqref="Q10">
    <cfRule type="expression" dxfId="1053" priority="13">
      <formula>Q10&gt;0</formula>
    </cfRule>
    <cfRule type="expression" dxfId="1052" priority="14">
      <formula>Q10&lt;0</formula>
    </cfRule>
  </conditionalFormatting>
  <conditionalFormatting sqref="M46">
    <cfRule type="expression" dxfId="1051" priority="11">
      <formula>M46&gt;0</formula>
    </cfRule>
    <cfRule type="expression" dxfId="1050" priority="12">
      <formula>M46&lt;0</formula>
    </cfRule>
  </conditionalFormatting>
  <conditionalFormatting sqref="F80:F88 H80:H88">
    <cfRule type="expression" dxfId="1049" priority="9">
      <formula>F80&gt;0</formula>
    </cfRule>
    <cfRule type="expression" dxfId="1048" priority="10">
      <formula>F80&lt;0</formula>
    </cfRule>
  </conditionalFormatting>
  <conditionalFormatting sqref="F75:F79">
    <cfRule type="expression" dxfId="1047" priority="7">
      <formula>F75&gt;0</formula>
    </cfRule>
    <cfRule type="expression" dxfId="1046" priority="8">
      <formula>F75&lt;0</formula>
    </cfRule>
  </conditionalFormatting>
  <conditionalFormatting sqref="H75:H79">
    <cfRule type="expression" dxfId="1045" priority="5">
      <formula>H75&gt;0</formula>
    </cfRule>
    <cfRule type="expression" dxfId="1044" priority="6">
      <formula>H75&lt;0</formula>
    </cfRule>
  </conditionalFormatting>
  <conditionalFormatting sqref="F71:F74">
    <cfRule type="expression" dxfId="1043" priority="3">
      <formula>F71&gt;0</formula>
    </cfRule>
    <cfRule type="expression" dxfId="1042" priority="4">
      <formula>F71&lt;0</formula>
    </cfRule>
  </conditionalFormatting>
  <conditionalFormatting sqref="H71:H74">
    <cfRule type="expression" dxfId="1041" priority="1">
      <formula>H71&gt;0</formula>
    </cfRule>
    <cfRule type="expression" dxfId="104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49.85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49.85</v>
      </c>
      <c r="R4" s="498">
        <v>0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54.835000000000008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54.336500000000008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53.838000000000008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53.339500000000008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52.841000000000001</v>
      </c>
      <c r="Q45" s="2"/>
      <c r="T45" s="92" t="s">
        <v>99</v>
      </c>
      <c r="U45" s="129" t="s">
        <v>652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52.342500000000001</v>
      </c>
      <c r="Q46" s="2"/>
      <c r="T46" s="92" t="s">
        <v>100</v>
      </c>
      <c r="U46" s="129" t="s">
        <v>653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51.844000000000001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51.345500000000001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50.847000000000001</v>
      </c>
      <c r="Q49" s="2"/>
      <c r="T49" s="92" t="s">
        <v>121</v>
      </c>
      <c r="U49" s="129" t="s">
        <v>410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50.348500000000001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49.85</v>
      </c>
      <c r="Q51" s="2"/>
      <c r="T51" s="92" t="s">
        <v>104</v>
      </c>
      <c r="U51" s="129" t="s">
        <v>654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49.351500000000001</v>
      </c>
      <c r="Q52" s="2"/>
      <c r="T52" s="92" t="s">
        <v>105</v>
      </c>
      <c r="U52" s="129" t="s">
        <v>442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48.853000000000002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48.354500000000002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47.856000000000002</v>
      </c>
      <c r="T55" s="92" t="s">
        <v>107</v>
      </c>
      <c r="U55" s="129" t="s">
        <v>655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47.357500000000002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46.859000000000002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46.360500000000002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45.862000000000002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45.363500000000002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44.865000000000002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39" priority="11">
      <formula>F34&gt;0</formula>
    </cfRule>
    <cfRule type="expression" dxfId="1038" priority="12">
      <formula>F34&lt;0</formula>
    </cfRule>
  </conditionalFormatting>
  <conditionalFormatting sqref="Q7">
    <cfRule type="expression" dxfId="1037" priority="9">
      <formula>Q7&gt;0</formula>
    </cfRule>
    <cfRule type="expression" dxfId="1036" priority="10">
      <formula>Q7&lt;0</formula>
    </cfRule>
  </conditionalFormatting>
  <conditionalFormatting sqref="Q8">
    <cfRule type="expression" dxfId="1035" priority="7">
      <formula>Q8&gt;0</formula>
    </cfRule>
    <cfRule type="expression" dxfId="1034" priority="8">
      <formula>Q8&lt;0</formula>
    </cfRule>
  </conditionalFormatting>
  <conditionalFormatting sqref="F25:F33">
    <cfRule type="expression" dxfId="1033" priority="5">
      <formula>F25&gt;0</formula>
    </cfRule>
    <cfRule type="expression" dxfId="1032" priority="6">
      <formula>F25&lt;0</formula>
    </cfRule>
  </conditionalFormatting>
  <conditionalFormatting sqref="H25:H33">
    <cfRule type="expression" dxfId="1031" priority="3">
      <formula>H25&gt;0</formula>
    </cfRule>
    <cfRule type="expression" dxfId="1030" priority="4">
      <formula>H25&lt;0</formula>
    </cfRule>
  </conditionalFormatting>
  <conditionalFormatting sqref="M46">
    <cfRule type="expression" dxfId="1029" priority="1">
      <formula>M46&gt;0</formula>
    </cfRule>
    <cfRule type="expression" dxfId="102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764</v>
      </c>
      <c r="B2" s="497">
        <v>42843</v>
      </c>
      <c r="C2" s="4">
        <v>100</v>
      </c>
      <c r="D2" s="3">
        <v>24.68</v>
      </c>
      <c r="E2" s="3">
        <v>0</v>
      </c>
      <c r="F2" s="3">
        <f>C2*D2+E2</f>
        <v>2468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24.68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27.21</v>
      </c>
      <c r="R4" s="498">
        <v>-2.5999999999999999E-3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2721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2468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253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253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0.10251215559157212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100</v>
      </c>
      <c r="D18" s="18"/>
      <c r="E18" s="18"/>
      <c r="F18" s="18">
        <f>SUM(F2:F7)</f>
        <v>2468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29.931000000000004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29.658900000000003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29.386800000000004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29.114700000000003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28.842600000000001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28.570500000000003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28.298400000000001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28.026300000000003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27.754200000000001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27.482100000000003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27.21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26.937899999999999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26.665800000000001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26.393699999999999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26.121600000000001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25.849499999999999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25.577400000000001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25.305300000000003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25.033200000000001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24.761100000000003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24.489000000000001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27" priority="9">
      <formula>F57&gt;0</formula>
    </cfRule>
    <cfRule type="expression" dxfId="1026" priority="10">
      <formula>F57&lt;0</formula>
    </cfRule>
  </conditionalFormatting>
  <conditionalFormatting sqref="Q7">
    <cfRule type="expression" dxfId="1025" priority="7">
      <formula>Q7&gt;0</formula>
    </cfRule>
    <cfRule type="expression" dxfId="1024" priority="8">
      <formula>Q7&lt;0</formula>
    </cfRule>
  </conditionalFormatting>
  <conditionalFormatting sqref="Q8">
    <cfRule type="expression" dxfId="1023" priority="5">
      <formula>Q8&gt;0</formula>
    </cfRule>
    <cfRule type="expression" dxfId="1022" priority="6">
      <formula>Q8&lt;0</formula>
    </cfRule>
  </conditionalFormatting>
  <conditionalFormatting sqref="F25:F56">
    <cfRule type="expression" dxfId="1021" priority="3">
      <formula>F25&gt;0</formula>
    </cfRule>
    <cfRule type="expression" dxfId="1020" priority="4">
      <formula>F25&lt;0</formula>
    </cfRule>
  </conditionalFormatting>
  <conditionalFormatting sqref="H25:H56">
    <cfRule type="expression" dxfId="1019" priority="1">
      <formula>H25&gt;0</formula>
    </cfRule>
    <cfRule type="expression" dxfId="10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487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82.28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82.28</v>
      </c>
      <c r="R4" s="498">
        <v>1.66E-2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90.50800000000001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89.685200000000009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88.862400000000008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88.039600000000007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87.216800000000006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86.394000000000005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85.571200000000005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84.748400000000004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83.925600000000003</v>
      </c>
      <c r="Q49" s="2"/>
      <c r="T49" s="92" t="s">
        <v>103</v>
      </c>
      <c r="U49" s="129" t="s">
        <v>501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83.102800000000002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82.28</v>
      </c>
      <c r="Q51" s="2"/>
      <c r="T51" s="92" t="s">
        <v>104</v>
      </c>
      <c r="U51" s="129" t="s">
        <v>656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81.4572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80.634399999999999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79.811599999999999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78.988799999999998</v>
      </c>
      <c r="T55" s="92" t="s">
        <v>107</v>
      </c>
      <c r="U55" s="129" t="s">
        <v>657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78.165999999999997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77.343199999999996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76.520400000000009</v>
      </c>
      <c r="T58" s="92" t="s">
        <v>108</v>
      </c>
      <c r="U58" s="129" t="s">
        <v>570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75.697600000000008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74.874800000000008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74.052000000000007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113</v>
      </c>
      <c r="C83" s="510" t="s">
        <v>146</v>
      </c>
      <c r="D83" s="511" t="s">
        <v>145</v>
      </c>
      <c r="E83" s="512" t="s">
        <v>147</v>
      </c>
      <c r="F83" s="512" t="s">
        <v>65</v>
      </c>
      <c r="G83" s="514" t="s">
        <v>151</v>
      </c>
      <c r="H83" s="514" t="s">
        <v>88</v>
      </c>
      <c r="I83" s="514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390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407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407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465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467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467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498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17" priority="15">
      <formula>F57&gt;0</formula>
    </cfRule>
    <cfRule type="expression" dxfId="1016" priority="16">
      <formula>F57&lt;0</formula>
    </cfRule>
  </conditionalFormatting>
  <conditionalFormatting sqref="Q7">
    <cfRule type="expression" dxfId="1015" priority="13">
      <formula>Q7&gt;0</formula>
    </cfRule>
    <cfRule type="expression" dxfId="1014" priority="14">
      <formula>Q7&lt;0</formula>
    </cfRule>
  </conditionalFormatting>
  <conditionalFormatting sqref="Q8">
    <cfRule type="expression" dxfId="1013" priority="11">
      <formula>Q8&gt;0</formula>
    </cfRule>
    <cfRule type="expression" dxfId="1012" priority="12">
      <formula>Q8&lt;0</formula>
    </cfRule>
  </conditionalFormatting>
  <conditionalFormatting sqref="F25:F56">
    <cfRule type="expression" dxfId="1011" priority="9">
      <formula>F25&gt;0</formula>
    </cfRule>
    <cfRule type="expression" dxfId="1010" priority="10">
      <formula>F25&lt;0</formula>
    </cfRule>
  </conditionalFormatting>
  <conditionalFormatting sqref="H25:H56">
    <cfRule type="expression" dxfId="1009" priority="7">
      <formula>H25&gt;0</formula>
    </cfRule>
    <cfRule type="expression" dxfId="1008" priority="8">
      <formula>H25&lt;0</formula>
    </cfRule>
  </conditionalFormatting>
  <conditionalFormatting sqref="M58">
    <cfRule type="expression" dxfId="1007" priority="5">
      <formula>M58&gt;0</formula>
    </cfRule>
    <cfRule type="expression" dxfId="1006" priority="6">
      <formula>M58&lt;0</formula>
    </cfRule>
  </conditionalFormatting>
  <conditionalFormatting sqref="F84:F115">
    <cfRule type="expression" dxfId="1005" priority="3">
      <formula>F84&gt;0</formula>
    </cfRule>
    <cfRule type="expression" dxfId="1004" priority="4">
      <formula>F84&lt;0</formula>
    </cfRule>
  </conditionalFormatting>
  <conditionalFormatting sqref="H84:H115">
    <cfRule type="expression" dxfId="1003" priority="1">
      <formula>H84&gt;0</formula>
    </cfRule>
    <cfRule type="expression" dxfId="100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0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6400</v>
      </c>
      <c r="T2" s="63">
        <v>42804</v>
      </c>
      <c r="U2" s="85" t="s">
        <v>768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8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16.317604687499998</v>
      </c>
      <c r="T3" s="63">
        <v>42866</v>
      </c>
      <c r="U3" s="85" t="s">
        <v>769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4" t="s">
        <v>537</v>
      </c>
      <c r="M4" s="3"/>
      <c r="O4" s="11" t="s">
        <v>66</v>
      </c>
      <c r="Q4" s="55">
        <v>14.48</v>
      </c>
      <c r="R4" s="498">
        <v>-1.4999999999999999E-2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92672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104432.66999999998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2854.9010000016424</v>
      </c>
      <c r="R7">
        <v>5700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-11760.669999999984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212</v>
      </c>
      <c r="Q9" s="136">
        <f>IF(Q2=0, 0, Q8/Q6)</f>
        <v>-0.11261485510233517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30"/>
      <c r="O10" s="11" t="s">
        <v>211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500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500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1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1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1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1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Q31" s="2"/>
    </row>
    <row r="32" spans="2:20" x14ac:dyDescent="0.25">
      <c r="Q32" s="2"/>
    </row>
    <row r="41" spans="7:16" ht="20.25" thickBot="1" x14ac:dyDescent="0.35">
      <c r="O41" s="704" t="s">
        <v>78</v>
      </c>
      <c r="P41" s="704"/>
    </row>
    <row r="42" spans="7:16" ht="15.75" thickTop="1" x14ac:dyDescent="0.25">
      <c r="O42" s="82">
        <v>1.22</v>
      </c>
      <c r="P42" s="82">
        <f>O42*$Q$4</f>
        <v>17.665600000000001</v>
      </c>
    </row>
    <row r="43" spans="7:16" x14ac:dyDescent="0.25">
      <c r="O43" s="82">
        <v>1.21</v>
      </c>
      <c r="P43" s="82">
        <f>O43*$Q$4</f>
        <v>17.520800000000001</v>
      </c>
    </row>
    <row r="44" spans="7:16" x14ac:dyDescent="0.25">
      <c r="O44" s="82">
        <v>1.2</v>
      </c>
      <c r="P44" s="82">
        <f>O44*$Q$4</f>
        <v>17.376000000000001</v>
      </c>
    </row>
    <row r="45" spans="7:16" x14ac:dyDescent="0.25">
      <c r="O45" s="82">
        <v>1.19</v>
      </c>
      <c r="P45" s="82">
        <f>O45*$Q$4</f>
        <v>17.231200000000001</v>
      </c>
    </row>
    <row r="46" spans="7:16" x14ac:dyDescent="0.25">
      <c r="O46" s="82">
        <v>1.18</v>
      </c>
      <c r="P46" s="82">
        <f>O46*$Q$4</f>
        <v>17.086400000000001</v>
      </c>
    </row>
    <row r="47" spans="7:16" x14ac:dyDescent="0.25">
      <c r="O47" s="82">
        <v>1.17</v>
      </c>
      <c r="P47" s="82">
        <f t="shared" ref="P47:P53" si="2">O47*$Q$4</f>
        <v>16.941600000000001</v>
      </c>
    </row>
    <row r="48" spans="7:16" x14ac:dyDescent="0.25">
      <c r="G48" s="30"/>
      <c r="O48" s="82">
        <v>1.1599999999999999</v>
      </c>
      <c r="P48" s="82">
        <f t="shared" si="2"/>
        <v>16.796800000000001</v>
      </c>
    </row>
    <row r="49" spans="1:16" x14ac:dyDescent="0.25">
      <c r="A49" s="32" t="s">
        <v>81</v>
      </c>
      <c r="B49" s="502"/>
      <c r="C49" s="72">
        <f>SUM(C2:C48)</f>
        <v>9100</v>
      </c>
      <c r="D49" s="18"/>
      <c r="E49" s="18"/>
      <c r="F49" s="18">
        <f>SUM(F2:F48)</f>
        <v>147175.4</v>
      </c>
      <c r="G49" s="14"/>
      <c r="H49" s="72">
        <f>SUM(H2:H48)</f>
        <v>2700</v>
      </c>
      <c r="I49" s="80"/>
      <c r="J49" s="18"/>
      <c r="K49" s="18">
        <f>SUM(K2:K48)</f>
        <v>42409.48</v>
      </c>
      <c r="L49" s="14"/>
      <c r="M49" s="18">
        <f>SUM(M2:M3)</f>
        <v>333.25</v>
      </c>
      <c r="O49" s="82">
        <v>1.1499999999999999</v>
      </c>
      <c r="P49" s="82">
        <f t="shared" si="2"/>
        <v>16.651999999999997</v>
      </c>
    </row>
    <row r="50" spans="1:16" ht="15.75" thickBot="1" x14ac:dyDescent="0.3">
      <c r="A50" s="352" t="s">
        <v>196</v>
      </c>
      <c r="B50" s="503"/>
      <c r="C50" s="354">
        <f>SumByColor($A$50, C2:C48)</f>
        <v>2700</v>
      </c>
      <c r="D50" s="354"/>
      <c r="E50" s="354"/>
      <c r="F50" s="355">
        <f>SumByColor($A$50, F2:F48)</f>
        <v>42015</v>
      </c>
      <c r="G50" s="354"/>
      <c r="H50" s="354">
        <f>SumByColor($A$50, H2:H48)</f>
        <v>2700</v>
      </c>
      <c r="I50" s="354"/>
      <c r="J50" s="355"/>
      <c r="K50" s="355">
        <f>SumByColor($A$50, K2:K48)</f>
        <v>42410</v>
      </c>
      <c r="L50" s="354"/>
      <c r="M50" s="355">
        <f>SumByColor($A$50, M2:M48)</f>
        <v>333</v>
      </c>
      <c r="O50" s="82">
        <v>1.1399999999999999</v>
      </c>
      <c r="P50" s="82">
        <f t="shared" si="2"/>
        <v>16.507199999999997</v>
      </c>
    </row>
    <row r="51" spans="1:16" x14ac:dyDescent="0.25">
      <c r="O51" s="82">
        <v>1.1299999999999999</v>
      </c>
      <c r="P51" s="82">
        <f t="shared" si="2"/>
        <v>16.362399999999997</v>
      </c>
    </row>
    <row r="52" spans="1:16" x14ac:dyDescent="0.25">
      <c r="O52" s="82">
        <v>1.1200000000000001</v>
      </c>
      <c r="P52" s="82">
        <f t="shared" si="2"/>
        <v>16.217600000000001</v>
      </c>
    </row>
    <row r="53" spans="1:16" ht="15" customHeight="1" x14ac:dyDescent="0.25">
      <c r="B53" s="504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534</v>
      </c>
      <c r="K53" s="227" t="s">
        <v>150</v>
      </c>
      <c r="L53" s="227" t="s">
        <v>760</v>
      </c>
      <c r="O53" s="82">
        <v>1.1100000000000001</v>
      </c>
      <c r="P53" s="82">
        <f t="shared" si="2"/>
        <v>16.072800000000001</v>
      </c>
    </row>
    <row r="54" spans="1:16" x14ac:dyDescent="0.25">
      <c r="A54" t="s">
        <v>456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15.928000000000003</v>
      </c>
    </row>
    <row r="55" spans="1:16" x14ac:dyDescent="0.25">
      <c r="A55" t="s">
        <v>469</v>
      </c>
      <c r="B55" s="155">
        <v>42788</v>
      </c>
      <c r="C55" s="443">
        <v>6000</v>
      </c>
      <c r="D55" s="681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15.783200000000001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>
        <f>(G56-K56)/C56</f>
        <v>14.132445454545456</v>
      </c>
      <c r="O56" s="82">
        <v>1.08</v>
      </c>
      <c r="P56" s="82">
        <f t="shared" si="9"/>
        <v>15.638400000000001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9">
        <f t="shared" ref="H57" si="15">(E57-D57)/D57</f>
        <v>-2.7071993055681011E-2</v>
      </c>
      <c r="I57" s="40">
        <v>16.25</v>
      </c>
      <c r="J57" s="40"/>
      <c r="K57" s="40">
        <v>11921</v>
      </c>
      <c r="L57" s="40">
        <f t="shared" ref="L57:L78" si="16">(G57-K57)/C57</f>
        <v>14.602266666666665</v>
      </c>
      <c r="O57" s="82">
        <v>1.07</v>
      </c>
      <c r="P57" s="82">
        <f t="shared" si="9"/>
        <v>15.493600000000001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7">C58*(E58-D58)</f>
        <v>-2694.5999999999872</v>
      </c>
      <c r="G58" s="40">
        <f t="shared" ref="G58" si="18">D58*C58</f>
        <v>99534.599999999991</v>
      </c>
      <c r="H58" s="229">
        <f t="shared" ref="H58" si="19">(E58-D58)/D58</f>
        <v>-2.7071993055681011E-2</v>
      </c>
      <c r="I58" s="40">
        <v>16.25</v>
      </c>
      <c r="J58" s="40"/>
      <c r="K58" s="40">
        <v>12161</v>
      </c>
      <c r="L58" s="40">
        <f t="shared" si="16"/>
        <v>14.562266666666666</v>
      </c>
      <c r="O58" s="82">
        <v>1.06</v>
      </c>
      <c r="P58" s="82">
        <f t="shared" si="9"/>
        <v>15.348800000000001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20">C59*(E59-D59)</f>
        <v>-714.59999999999718</v>
      </c>
      <c r="G59" s="40">
        <f t="shared" ref="G59:G60" si="21">D59*C59</f>
        <v>99534.599999999991</v>
      </c>
      <c r="H59" s="229">
        <f t="shared" ref="H59:H60" si="22">(E59-D59)/D59</f>
        <v>-7.1794129880463405E-3</v>
      </c>
      <c r="I59" s="40">
        <v>16.25</v>
      </c>
      <c r="J59" s="40"/>
      <c r="K59" s="40">
        <v>13901</v>
      </c>
      <c r="L59" s="40">
        <f t="shared" si="16"/>
        <v>14.272266666666665</v>
      </c>
      <c r="O59" s="82">
        <v>1.05</v>
      </c>
      <c r="P59" s="82">
        <f t="shared" si="9"/>
        <v>15.204000000000001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20"/>
        <v>-10431.900000000003</v>
      </c>
      <c r="G60" s="40">
        <f t="shared" si="21"/>
        <v>110060.9</v>
      </c>
      <c r="H60" s="230">
        <f t="shared" si="22"/>
        <v>-9.478297924149269E-2</v>
      </c>
      <c r="I60" s="40"/>
      <c r="J60" s="40"/>
      <c r="K60" s="40">
        <v>4183.99</v>
      </c>
      <c r="L60" s="40">
        <f t="shared" si="16"/>
        <v>15.802523880597013</v>
      </c>
      <c r="O60" s="82">
        <v>1.04</v>
      </c>
      <c r="P60" s="82">
        <f t="shared" si="9"/>
        <v>15.059200000000001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3">C61*(E61-D61)</f>
        <v>-2595.7799999999979</v>
      </c>
      <c r="G61" s="40">
        <f t="shared" ref="G61" si="24">D61*C61</f>
        <v>99015.78</v>
      </c>
      <c r="H61" s="230">
        <f t="shared" ref="H61" si="25">(E61-D61)/D61</f>
        <v>-2.6215821356959445E-2</v>
      </c>
      <c r="I61" s="40">
        <v>16.25</v>
      </c>
      <c r="J61" s="40"/>
      <c r="K61" s="40">
        <v>12020</v>
      </c>
      <c r="L61" s="40">
        <f t="shared" si="16"/>
        <v>14.499296666666666</v>
      </c>
      <c r="O61" s="82">
        <v>1.03</v>
      </c>
      <c r="P61" s="82">
        <f t="shared" si="9"/>
        <v>14.914400000000001</v>
      </c>
    </row>
    <row r="62" spans="1:16" x14ac:dyDescent="0.25">
      <c r="A62">
        <v>4200</v>
      </c>
      <c r="B62" s="155">
        <v>42805</v>
      </c>
      <c r="C62" s="443">
        <v>6000</v>
      </c>
      <c r="D62" s="681">
        <v>16.447600000000001</v>
      </c>
      <c r="E62" s="40">
        <v>16.16</v>
      </c>
      <c r="F62" s="40">
        <f t="shared" ref="F62" si="26">C62*(E62-D62)</f>
        <v>-1725.6000000000072</v>
      </c>
      <c r="G62" s="40">
        <f t="shared" ref="G62" si="27">D62*C62</f>
        <v>98685.6</v>
      </c>
      <c r="H62" s="230">
        <f t="shared" ref="H62" si="28">(E62-D62)/D62</f>
        <v>-1.7485833799460174E-2</v>
      </c>
      <c r="I62" s="40" t="s">
        <v>187</v>
      </c>
      <c r="J62" s="40"/>
      <c r="K62" s="40">
        <v>12890</v>
      </c>
      <c r="L62" s="40">
        <f t="shared" si="16"/>
        <v>14.299266666666668</v>
      </c>
      <c r="O62" s="82">
        <v>1.02</v>
      </c>
      <c r="P62" s="82">
        <f t="shared" si="9"/>
        <v>14.769600000000001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9">C63*(E63-D63)</f>
        <v>-3645.600000000009</v>
      </c>
      <c r="G63" s="40">
        <f t="shared" ref="G63" si="30">D63*C63</f>
        <v>98685.6</v>
      </c>
      <c r="H63" s="230">
        <f t="shared" ref="H63" si="31">(E63-D63)/D63</f>
        <v>-3.6941559862837217E-2</v>
      </c>
      <c r="I63" s="40"/>
      <c r="J63" s="40"/>
      <c r="K63" s="40">
        <v>10970</v>
      </c>
      <c r="L63" s="40">
        <f t="shared" si="16"/>
        <v>14.619266666666668</v>
      </c>
      <c r="O63" s="82">
        <v>1.01</v>
      </c>
      <c r="P63" s="82">
        <f t="shared" si="9"/>
        <v>14.6248</v>
      </c>
    </row>
    <row r="64" spans="1:16" x14ac:dyDescent="0.25">
      <c r="A64">
        <v>3700</v>
      </c>
      <c r="B64" s="155">
        <v>42808</v>
      </c>
      <c r="C64" s="443">
        <v>6000</v>
      </c>
      <c r="D64" s="681">
        <v>16.422999999999998</v>
      </c>
      <c r="E64" s="40">
        <v>15.32</v>
      </c>
      <c r="F64" s="40">
        <f t="shared" ref="F64" si="32">C64*(E64-D64)</f>
        <v>-6617.9999999999882</v>
      </c>
      <c r="G64" s="40">
        <f t="shared" ref="G64" si="33">D64*C64</f>
        <v>98537.999999999985</v>
      </c>
      <c r="H64" s="230">
        <f t="shared" ref="H64" si="34">(E64-D64)/D64</f>
        <v>-6.7161907081531885E-2</v>
      </c>
      <c r="I64" s="40">
        <v>16.25</v>
      </c>
      <c r="J64" s="40">
        <v>41.23</v>
      </c>
      <c r="K64" s="40">
        <v>8000</v>
      </c>
      <c r="L64" s="40">
        <f t="shared" si="16"/>
        <v>15.089666666666664</v>
      </c>
      <c r="O64" s="82">
        <v>1</v>
      </c>
      <c r="P64" s="82">
        <f t="shared" si="9"/>
        <v>14.48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5">C65*(E65-D65)</f>
        <v>-5177.9999999999864</v>
      </c>
      <c r="G65" s="40">
        <f t="shared" ref="G65" si="36">D65*C65</f>
        <v>98537.999999999985</v>
      </c>
      <c r="H65" s="230">
        <f t="shared" ref="H65" si="37">(E65-D65)/D65</f>
        <v>-5.254825549534177E-2</v>
      </c>
      <c r="I65" s="40">
        <v>16.25</v>
      </c>
      <c r="J65" s="40">
        <v>44</v>
      </c>
      <c r="K65" s="40">
        <v>9439</v>
      </c>
      <c r="L65" s="40">
        <f t="shared" si="16"/>
        <v>14.849833333333331</v>
      </c>
      <c r="O65" s="82">
        <v>0.99</v>
      </c>
      <c r="P65" s="82">
        <f t="shared" si="9"/>
        <v>14.3352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8">C66*(E66-D66)</f>
        <v>-8316.1599999999908</v>
      </c>
      <c r="G66" s="40">
        <f t="shared" ref="G66" si="39">D66*C66</f>
        <v>104636.15999999999</v>
      </c>
      <c r="H66" s="230">
        <f t="shared" ref="H66" si="40">(E66-D66)/D66</f>
        <v>-7.9476922700527156E-2</v>
      </c>
      <c r="I66" s="40"/>
      <c r="J66" s="40"/>
      <c r="K66" s="40">
        <v>6300</v>
      </c>
      <c r="L66" s="40">
        <f t="shared" si="16"/>
        <v>15.365024999999997</v>
      </c>
      <c r="O66" s="82">
        <v>0.98</v>
      </c>
      <c r="P66" s="82">
        <f t="shared" si="9"/>
        <v>14.1904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1">C67*(E67-D67)</f>
        <v>-11132.16</v>
      </c>
      <c r="G67" s="40">
        <f t="shared" ref="G67" si="42">D67*C67</f>
        <v>104636.15999999999</v>
      </c>
      <c r="H67" s="230">
        <f t="shared" ref="H67" si="43">(E67-D67)/D67</f>
        <v>-0.10638922529267128</v>
      </c>
      <c r="I67" s="40"/>
      <c r="J67" s="40"/>
      <c r="K67" s="40">
        <v>3484</v>
      </c>
      <c r="L67" s="40">
        <f t="shared" si="16"/>
        <v>15.805024999999999</v>
      </c>
      <c r="O67" s="82">
        <v>0.97</v>
      </c>
      <c r="P67" s="82">
        <f t="shared" si="9"/>
        <v>14.0456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4">C68*(E68-D68)</f>
        <v>-10236.159999999996</v>
      </c>
      <c r="G68" s="40">
        <f t="shared" ref="G68" si="45">D68*C68</f>
        <v>104636.15999999999</v>
      </c>
      <c r="H68" s="230">
        <f t="shared" ref="H68" si="46">(E68-D68)/D68</f>
        <v>-9.78262199224436E-2</v>
      </c>
      <c r="I68" s="40"/>
      <c r="J68" s="40"/>
      <c r="K68" s="40">
        <v>4380</v>
      </c>
      <c r="L68" s="40">
        <f t="shared" si="16"/>
        <v>15.665024999999998</v>
      </c>
      <c r="O68" s="82">
        <v>0.96</v>
      </c>
      <c r="P68" s="82">
        <f t="shared" si="9"/>
        <v>13.9008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7">C69*(E69-D69)</f>
        <v>-7164.1599999999926</v>
      </c>
      <c r="G69" s="40">
        <f t="shared" ref="G69:G70" si="48">D69*C69</f>
        <v>104636.15999999999</v>
      </c>
      <c r="H69" s="230">
        <f t="shared" ref="H69:H70" si="49">(E69-D69)/D69</f>
        <v>-6.8467344367377322E-2</v>
      </c>
      <c r="I69" s="40"/>
      <c r="J69" s="40"/>
      <c r="K69" s="40">
        <v>7452</v>
      </c>
      <c r="L69" s="40">
        <f t="shared" si="16"/>
        <v>15.185024999999998</v>
      </c>
      <c r="O69" s="82">
        <v>0.95</v>
      </c>
      <c r="P69" s="82">
        <f t="shared" si="9"/>
        <v>13.756</v>
      </c>
    </row>
    <row r="70" spans="1:16" x14ac:dyDescent="0.25">
      <c r="A70">
        <v>3900</v>
      </c>
      <c r="B70" s="155">
        <v>42823</v>
      </c>
      <c r="C70" s="443">
        <v>6000</v>
      </c>
      <c r="D70" s="681">
        <v>16.407399999999999</v>
      </c>
      <c r="E70" s="40">
        <v>15.48</v>
      </c>
      <c r="F70" s="40">
        <f t="shared" si="47"/>
        <v>-5564.3999999999924</v>
      </c>
      <c r="G70" s="40">
        <f t="shared" si="48"/>
        <v>98444.4</v>
      </c>
      <c r="H70" s="230">
        <f t="shared" si="49"/>
        <v>-5.6523276082743074E-2</v>
      </c>
      <c r="I70" s="40">
        <v>16.25</v>
      </c>
      <c r="J70" s="40"/>
      <c r="K70" s="40">
        <v>9051</v>
      </c>
      <c r="L70" s="40">
        <f t="shared" si="16"/>
        <v>14.898899999999999</v>
      </c>
      <c r="O70" s="82">
        <v>0.94</v>
      </c>
      <c r="P70" s="82">
        <f t="shared" si="9"/>
        <v>13.6112</v>
      </c>
    </row>
    <row r="71" spans="1:16" x14ac:dyDescent="0.25">
      <c r="A71">
        <v>4100</v>
      </c>
      <c r="B71" s="155">
        <v>42830</v>
      </c>
      <c r="C71" s="443">
        <v>6000</v>
      </c>
      <c r="D71" s="681">
        <v>16.388999999999999</v>
      </c>
      <c r="E71" s="40">
        <v>15.98</v>
      </c>
      <c r="F71" s="40">
        <f t="shared" ref="F71:F78" si="50">C71*(E71-D71)</f>
        <v>-2453.9999999999936</v>
      </c>
      <c r="G71" s="40">
        <f t="shared" ref="G71:G78" si="51">D71*C71</f>
        <v>98334</v>
      </c>
      <c r="H71" s="230">
        <f t="shared" ref="H71:H78" si="52">(E71-D71)/D71</f>
        <v>-2.4955763011776128E-2</v>
      </c>
      <c r="I71" s="40">
        <v>16.25</v>
      </c>
      <c r="J71" s="40"/>
      <c r="K71" s="40">
        <v>12159</v>
      </c>
      <c r="L71" s="40">
        <f t="shared" si="16"/>
        <v>14.362500000000001</v>
      </c>
      <c r="O71" s="82">
        <v>0.93</v>
      </c>
      <c r="P71" s="82">
        <f t="shared" si="9"/>
        <v>13.466400000000002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50"/>
        <v>-2944.9999999999977</v>
      </c>
      <c r="G72" s="40">
        <f t="shared" si="51"/>
        <v>101525</v>
      </c>
      <c r="H72" s="229">
        <f t="shared" si="52"/>
        <v>-2.9007633587786238E-2</v>
      </c>
      <c r="I72" s="40"/>
      <c r="J72" s="40"/>
      <c r="K72" s="40">
        <v>11731</v>
      </c>
      <c r="L72" s="40">
        <f t="shared" si="16"/>
        <v>14.482903225806451</v>
      </c>
      <c r="O72" s="82">
        <v>0.92</v>
      </c>
      <c r="P72" s="82">
        <f t="shared" si="9"/>
        <v>13.3216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50"/>
        <v>-8160.0000000000018</v>
      </c>
      <c r="G73" s="40">
        <f t="shared" si="51"/>
        <v>104544</v>
      </c>
      <c r="H73" s="229">
        <f t="shared" si="52"/>
        <v>-7.805325987144171E-2</v>
      </c>
      <c r="I73" s="40"/>
      <c r="J73" s="40"/>
      <c r="K73" s="40">
        <v>6457</v>
      </c>
      <c r="L73" s="40">
        <f t="shared" si="16"/>
        <v>15.32609375</v>
      </c>
      <c r="O73" s="82">
        <v>0.91</v>
      </c>
      <c r="P73" s="82">
        <f t="shared" si="9"/>
        <v>13.1768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50"/>
        <v>-9370.8799999999992</v>
      </c>
      <c r="G74" s="40">
        <f t="shared" si="51"/>
        <v>104538.87999999999</v>
      </c>
      <c r="H74" s="229">
        <f t="shared" si="52"/>
        <v>-8.9640141543509938E-2</v>
      </c>
      <c r="I74" s="40"/>
      <c r="J74" s="40"/>
      <c r="K74" s="40">
        <v>5245</v>
      </c>
      <c r="L74" s="40">
        <f t="shared" si="16"/>
        <v>15.514668749999998</v>
      </c>
      <c r="O74" s="82">
        <v>0.9</v>
      </c>
      <c r="P74" s="82">
        <f t="shared" si="9"/>
        <v>13.032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50"/>
        <v>-12971.199999999999</v>
      </c>
      <c r="G75" s="40">
        <f t="shared" si="51"/>
        <v>108714.2</v>
      </c>
      <c r="H75" s="229">
        <f t="shared" si="52"/>
        <v>-0.11931468014298041</v>
      </c>
      <c r="I75" s="40"/>
      <c r="J75" s="40"/>
      <c r="K75" s="40">
        <v>1644</v>
      </c>
      <c r="L75" s="40">
        <f t="shared" si="16"/>
        <v>15.980626865671642</v>
      </c>
      <c r="O75" s="82">
        <v>0.89</v>
      </c>
      <c r="P75" s="82">
        <f>O75*$Q$4</f>
        <v>12.8872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50"/>
        <v>-12971.199999999999</v>
      </c>
      <c r="G76" s="40">
        <f t="shared" si="51"/>
        <v>108714.2</v>
      </c>
      <c r="H76" s="229">
        <f t="shared" si="52"/>
        <v>-0.11931468014298041</v>
      </c>
      <c r="I76" s="40"/>
      <c r="J76" s="40"/>
      <c r="K76" s="40">
        <v>1644</v>
      </c>
      <c r="L76" s="40">
        <f t="shared" si="16"/>
        <v>15.980626865671642</v>
      </c>
      <c r="O76" s="82">
        <v>0.88</v>
      </c>
      <c r="P76" s="82">
        <f>O76*$Q$4</f>
        <v>12.7424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50"/>
        <v>-11059.20000000001</v>
      </c>
      <c r="G77" s="40">
        <f t="shared" si="51"/>
        <v>104435.20000000001</v>
      </c>
      <c r="H77" s="229">
        <f t="shared" si="52"/>
        <v>-0.1058953303100871</v>
      </c>
      <c r="I77" s="40"/>
      <c r="J77" s="40"/>
      <c r="K77" s="40">
        <v>3559</v>
      </c>
      <c r="L77" s="40">
        <f t="shared" si="16"/>
        <v>15.761906250000003</v>
      </c>
      <c r="O77" s="82">
        <v>0.87</v>
      </c>
      <c r="P77" s="82">
        <f>O77*$Q$4</f>
        <v>12.5976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50"/>
        <v>-11763.200000000006</v>
      </c>
      <c r="G78" s="40">
        <f t="shared" si="51"/>
        <v>104435.20000000001</v>
      </c>
      <c r="H78" s="229">
        <f t="shared" si="52"/>
        <v>-0.11263635249417826</v>
      </c>
      <c r="I78" s="40"/>
      <c r="J78" s="40"/>
      <c r="K78" s="40">
        <v>2855</v>
      </c>
      <c r="L78" s="40">
        <f t="shared" si="16"/>
        <v>15.871906250000002</v>
      </c>
      <c r="O78" s="82">
        <v>0.86</v>
      </c>
      <c r="P78" s="82">
        <f>O78*$Q$4</f>
        <v>12.4528</v>
      </c>
    </row>
    <row r="79" spans="1:16" x14ac:dyDescent="0.25">
      <c r="B79" s="155"/>
      <c r="C79" s="10"/>
      <c r="D79" s="240"/>
      <c r="E79" s="40"/>
      <c r="F79" s="40"/>
      <c r="G79" s="40"/>
      <c r="H79" s="229"/>
      <c r="I79" s="40"/>
      <c r="J79" s="40"/>
      <c r="K79" s="40"/>
      <c r="L79" s="40"/>
      <c r="O79" s="82">
        <v>0.85</v>
      </c>
      <c r="P79" s="82">
        <f>O79*$Q$4</f>
        <v>12.308</v>
      </c>
    </row>
    <row r="80" spans="1:16" x14ac:dyDescent="0.25">
      <c r="B80" s="155"/>
      <c r="C80" s="10"/>
      <c r="D80" s="240"/>
      <c r="E80" s="40"/>
      <c r="F80" s="40"/>
      <c r="G80" s="40"/>
      <c r="H80" s="229"/>
      <c r="I80" s="40"/>
      <c r="J80" s="40"/>
      <c r="K80" s="40"/>
      <c r="L80" s="40"/>
    </row>
    <row r="81" spans="2:12" x14ac:dyDescent="0.25">
      <c r="B81" s="155"/>
      <c r="C81" s="10"/>
      <c r="D81" s="240"/>
      <c r="E81" s="40"/>
      <c r="F81" s="40"/>
      <c r="G81" s="40"/>
      <c r="H81" s="229"/>
      <c r="I81" s="40"/>
      <c r="J81" s="40"/>
      <c r="K81" s="40"/>
      <c r="L81" s="40"/>
    </row>
    <row r="82" spans="2:12" x14ac:dyDescent="0.25">
      <c r="B82" s="155"/>
      <c r="C82" s="10"/>
      <c r="D82" s="240"/>
      <c r="E82" s="40"/>
      <c r="F82" s="40"/>
      <c r="G82" s="40"/>
      <c r="H82" s="229"/>
      <c r="I82" s="40"/>
      <c r="J82" s="40"/>
      <c r="K82" s="40"/>
      <c r="L82" s="40"/>
    </row>
    <row r="83" spans="2:12" x14ac:dyDescent="0.25">
      <c r="B83" s="155"/>
      <c r="C83" s="10"/>
      <c r="D83" s="240"/>
      <c r="E83" s="40"/>
      <c r="F83" s="40"/>
      <c r="G83" s="40"/>
      <c r="H83" s="229"/>
      <c r="I83" s="40"/>
      <c r="J83" s="40"/>
      <c r="K83" s="40"/>
      <c r="L83" s="40"/>
    </row>
    <row r="84" spans="2:12" x14ac:dyDescent="0.25">
      <c r="B84" s="155"/>
      <c r="C84" s="10"/>
      <c r="D84" s="240"/>
      <c r="E84" s="40"/>
      <c r="F84" s="40"/>
      <c r="G84" s="40"/>
      <c r="H84" s="229"/>
      <c r="I84" s="40"/>
      <c r="J84" s="40"/>
      <c r="K84" s="40"/>
      <c r="L84" s="40"/>
    </row>
    <row r="85" spans="2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2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2:12" x14ac:dyDescent="0.25">
      <c r="B89" s="648" t="s">
        <v>113</v>
      </c>
      <c r="C89" s="510" t="s">
        <v>146</v>
      </c>
      <c r="D89" s="649" t="s">
        <v>145</v>
      </c>
      <c r="E89" s="512" t="s">
        <v>147</v>
      </c>
      <c r="F89" s="513" t="s">
        <v>65</v>
      </c>
      <c r="G89" s="514" t="s">
        <v>151</v>
      </c>
      <c r="H89" s="513" t="s">
        <v>88</v>
      </c>
      <c r="I89" s="514" t="s">
        <v>154</v>
      </c>
    </row>
    <row r="90" spans="2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3">IF(C90=0, 0,D90*C90)</f>
        <v>68120</v>
      </c>
      <c r="H90" s="380">
        <f t="shared" ref="H90:H96" si="54">IF(C90=0, D90, (E90-D90)/D90)</f>
        <v>-0.48091603053435117</v>
      </c>
      <c r="I90" s="378"/>
    </row>
    <row r="91" spans="2:12" x14ac:dyDescent="0.25">
      <c r="B91" s="650">
        <v>42307</v>
      </c>
      <c r="C91" s="377">
        <v>0</v>
      </c>
      <c r="D91" s="651" t="s">
        <v>128</v>
      </c>
      <c r="E91" s="378">
        <v>17.55</v>
      </c>
      <c r="F91" s="378">
        <v>-30722.2</v>
      </c>
      <c r="G91" s="378">
        <f t="shared" si="53"/>
        <v>0</v>
      </c>
      <c r="H91" s="380" t="str">
        <f t="shared" si="54"/>
        <v>N/A</v>
      </c>
      <c r="I91" s="378"/>
    </row>
    <row r="92" spans="2:12" x14ac:dyDescent="0.25">
      <c r="B92" s="650">
        <v>42310</v>
      </c>
      <c r="C92" s="377">
        <v>0</v>
      </c>
      <c r="D92" s="651" t="s">
        <v>128</v>
      </c>
      <c r="E92" s="378">
        <v>19.010000000000002</v>
      </c>
      <c r="F92" s="378">
        <v>-30693.25</v>
      </c>
      <c r="G92" s="378">
        <f t="shared" si="53"/>
        <v>0</v>
      </c>
      <c r="H92" s="380" t="str">
        <f t="shared" si="54"/>
        <v>N/A</v>
      </c>
      <c r="I92" s="378"/>
    </row>
    <row r="93" spans="2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3"/>
        <v>75600</v>
      </c>
      <c r="H93" s="380">
        <f t="shared" si="54"/>
        <v>-0.39517195767195767</v>
      </c>
      <c r="I93" s="378"/>
    </row>
    <row r="94" spans="2:12" x14ac:dyDescent="0.25">
      <c r="B94" s="650">
        <v>42318</v>
      </c>
      <c r="C94" s="377">
        <v>0</v>
      </c>
      <c r="D94" s="651" t="s">
        <v>128</v>
      </c>
      <c r="E94" s="378">
        <v>18.78</v>
      </c>
      <c r="F94" s="378">
        <v>-28604.09</v>
      </c>
      <c r="G94" s="378">
        <f t="shared" si="53"/>
        <v>0</v>
      </c>
      <c r="H94" s="380" t="str">
        <f t="shared" si="54"/>
        <v>N/A</v>
      </c>
      <c r="I94" s="378"/>
    </row>
    <row r="95" spans="2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3"/>
        <v>82367.28</v>
      </c>
      <c r="H95" s="380">
        <f t="shared" si="54"/>
        <v>-0.34828101644245141</v>
      </c>
      <c r="I95" s="378"/>
    </row>
    <row r="96" spans="2:12" x14ac:dyDescent="0.25">
      <c r="B96" s="650">
        <v>42331</v>
      </c>
      <c r="C96" s="377">
        <v>0</v>
      </c>
      <c r="D96" s="651" t="s">
        <v>128</v>
      </c>
      <c r="E96" s="378">
        <v>17.53</v>
      </c>
      <c r="F96" s="378">
        <v>-28051.068999999901</v>
      </c>
      <c r="G96" s="378">
        <f t="shared" si="53"/>
        <v>0</v>
      </c>
      <c r="H96" s="380" t="str">
        <f t="shared" si="54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5">C98*(E98-D98)</f>
        <v>-29017.579999999998</v>
      </c>
      <c r="G98" s="378">
        <f t="shared" ref="G98:G127" si="56">D98*C98</f>
        <v>91417.900000000009</v>
      </c>
      <c r="H98" s="379">
        <f t="shared" ref="H98:H127" si="57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5"/>
        <v>-31836.35999999999</v>
      </c>
      <c r="G99" s="378">
        <f t="shared" si="56"/>
        <v>101483.62</v>
      </c>
      <c r="H99" s="379">
        <f t="shared" si="57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5"/>
        <v>-34009.06</v>
      </c>
      <c r="G100" s="378">
        <f t="shared" si="56"/>
        <v>109418.42</v>
      </c>
      <c r="H100" s="379">
        <f t="shared" si="57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5"/>
        <v>-34008.920000000006</v>
      </c>
      <c r="G101" s="378">
        <f t="shared" si="56"/>
        <v>101358.28000000001</v>
      </c>
      <c r="H101" s="379">
        <f t="shared" si="57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5"/>
        <v>-39575.879999999997</v>
      </c>
      <c r="G102" s="378">
        <f t="shared" si="56"/>
        <v>108716.71999999999</v>
      </c>
      <c r="H102" s="379">
        <f t="shared" si="57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5"/>
        <v>-38892.919999999991</v>
      </c>
      <c r="G103" s="378">
        <f t="shared" si="56"/>
        <v>110180.68</v>
      </c>
      <c r="H103" s="379">
        <f t="shared" si="57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5"/>
        <v>-39649.22</v>
      </c>
      <c r="G104" s="378">
        <f t="shared" si="56"/>
        <v>101232.94</v>
      </c>
      <c r="H104" s="379">
        <f t="shared" si="57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5"/>
        <v>-41303.94</v>
      </c>
      <c r="G105" s="378">
        <f t="shared" si="56"/>
        <v>94046.46</v>
      </c>
      <c r="H105" s="379">
        <f t="shared" si="57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5"/>
        <v>-42699.159999999996</v>
      </c>
      <c r="G106" s="378">
        <f t="shared" si="56"/>
        <v>101024.04</v>
      </c>
      <c r="H106" s="379">
        <f t="shared" si="57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5"/>
        <v>-47715.600000000006</v>
      </c>
      <c r="G107" s="378">
        <f t="shared" si="56"/>
        <v>107500.44</v>
      </c>
      <c r="H107" s="379">
        <f t="shared" si="57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5"/>
        <v>-46809.119999999995</v>
      </c>
      <c r="G108" s="378">
        <f t="shared" si="56"/>
        <v>113864.21999999999</v>
      </c>
      <c r="H108" s="379">
        <f t="shared" si="57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5"/>
        <v>-47694.16</v>
      </c>
      <c r="G109" s="378">
        <f t="shared" si="56"/>
        <v>126525.44</v>
      </c>
      <c r="H109" s="379">
        <f t="shared" si="57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5"/>
        <v>-48128</v>
      </c>
      <c r="G110" s="378">
        <f t="shared" si="56"/>
        <v>129280</v>
      </c>
      <c r="H110" s="379">
        <f t="shared" si="57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5"/>
        <v>-48155.4</v>
      </c>
      <c r="G111" s="378">
        <f t="shared" si="56"/>
        <v>113708.88</v>
      </c>
      <c r="H111" s="379">
        <f t="shared" si="57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5"/>
        <v>-42239.579999999994</v>
      </c>
      <c r="G112" s="378">
        <f t="shared" si="56"/>
        <v>100564.46</v>
      </c>
      <c r="H112" s="379">
        <f t="shared" si="57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5"/>
        <v>-42072.46</v>
      </c>
      <c r="G113" s="378">
        <f t="shared" si="56"/>
        <v>100397.34000000001</v>
      </c>
      <c r="H113" s="379">
        <f t="shared" si="57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5"/>
        <v>-45543.96</v>
      </c>
      <c r="G114" s="378">
        <f t="shared" si="56"/>
        <v>132958.98000000001</v>
      </c>
      <c r="H114" s="379">
        <f t="shared" si="57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5"/>
        <v>-45906.62000000001</v>
      </c>
      <c r="G115" s="378">
        <f t="shared" si="56"/>
        <v>158980.96</v>
      </c>
      <c r="H115" s="379">
        <f t="shared" si="57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5"/>
        <v>-51777.299999999996</v>
      </c>
      <c r="G116" s="378">
        <f t="shared" si="56"/>
        <v>171590.94</v>
      </c>
      <c r="H116" s="380">
        <f t="shared" si="57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5"/>
        <v>-49664.193999999989</v>
      </c>
      <c r="G117" s="378">
        <f t="shared" si="56"/>
        <v>158920.21399999998</v>
      </c>
      <c r="H117" s="380">
        <f t="shared" si="57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5"/>
        <v>-47987.500000000015</v>
      </c>
      <c r="G118" s="378">
        <f t="shared" si="56"/>
        <v>145958.78</v>
      </c>
      <c r="H118" s="380">
        <f t="shared" si="57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5"/>
        <v>-47702.966000000015</v>
      </c>
      <c r="G119" s="378">
        <f t="shared" si="56"/>
        <v>158434.24600000001</v>
      </c>
      <c r="H119" s="380">
        <f t="shared" si="57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5"/>
        <v>-60971.399999999987</v>
      </c>
      <c r="G120" s="378">
        <f t="shared" si="56"/>
        <v>170139.24</v>
      </c>
      <c r="H120" s="380">
        <f t="shared" si="57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5"/>
        <v>-77656.859999999986</v>
      </c>
      <c r="G121" s="378">
        <f t="shared" si="56"/>
        <v>166354.54</v>
      </c>
      <c r="H121" s="380">
        <f t="shared" si="57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5"/>
        <v>-85359.959999999992</v>
      </c>
      <c r="G122" s="378">
        <f t="shared" si="56"/>
        <v>169945.68</v>
      </c>
      <c r="H122" s="380">
        <f t="shared" si="57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5"/>
        <v>-100883.47199999999</v>
      </c>
      <c r="G123" s="378">
        <f t="shared" si="56"/>
        <v>169887.61199999999</v>
      </c>
      <c r="H123" s="379">
        <f t="shared" si="57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5"/>
        <v>-97651.02</v>
      </c>
      <c r="G124" s="378">
        <f t="shared" si="56"/>
        <v>169848.9</v>
      </c>
      <c r="H124" s="379">
        <f t="shared" si="57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5"/>
        <v>-97231.731999999989</v>
      </c>
      <c r="G125" s="378">
        <f t="shared" si="56"/>
        <v>165974.95199999999</v>
      </c>
      <c r="H125" s="379">
        <f t="shared" si="57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5"/>
        <v>-97234.865999999995</v>
      </c>
      <c r="G126" s="378">
        <f t="shared" si="56"/>
        <v>169723.08599999998</v>
      </c>
      <c r="H126" s="379">
        <f t="shared" si="57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5"/>
        <v>-104373.632</v>
      </c>
      <c r="G127" s="378">
        <f t="shared" si="56"/>
        <v>197776.17199999999</v>
      </c>
      <c r="H127" s="379">
        <f t="shared" si="57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5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5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8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8"/>
        <v>-94166.28</v>
      </c>
      <c r="G131" s="378">
        <f t="shared" ref="G131:G138" si="59">IF(C131=0, 0,D131*C131)</f>
        <v>165387.56</v>
      </c>
      <c r="H131" s="379">
        <f t="shared" ref="H131:H138" si="60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8"/>
        <v>-91969.787999999986</v>
      </c>
      <c r="G132" s="378">
        <f t="shared" si="59"/>
        <v>157393.788</v>
      </c>
      <c r="H132" s="379">
        <f t="shared" si="60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8"/>
        <v>-91154.7</v>
      </c>
      <c r="G133" s="378">
        <f t="shared" si="59"/>
        <v>145246.5</v>
      </c>
      <c r="H133" s="379">
        <f t="shared" si="60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8"/>
        <v>-92238.461999999985</v>
      </c>
      <c r="G134" s="378">
        <f t="shared" si="59"/>
        <v>161141.78199999998</v>
      </c>
      <c r="H134" s="379">
        <f t="shared" si="60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8"/>
        <v>-89571.54800000001</v>
      </c>
      <c r="G135" s="378">
        <f t="shared" si="59"/>
        <v>152607.92800000001</v>
      </c>
      <c r="H135" s="379">
        <f t="shared" si="60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8"/>
        <v>-89550.534</v>
      </c>
      <c r="G136" s="378">
        <f t="shared" si="59"/>
        <v>169006.91400000002</v>
      </c>
      <c r="H136" s="379">
        <f t="shared" si="60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8"/>
        <v>-89678.238000000012</v>
      </c>
      <c r="G137" s="378">
        <f t="shared" si="59"/>
        <v>165029.61800000002</v>
      </c>
      <c r="H137" s="379">
        <f t="shared" si="60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8"/>
        <v>-89511.821999999986</v>
      </c>
      <c r="G138" s="378">
        <f t="shared" si="59"/>
        <v>168968.20199999999</v>
      </c>
      <c r="H138" s="379">
        <f t="shared" si="60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1">C139*(E139-D139)</f>
        <v>-89632.347999999984</v>
      </c>
      <c r="G139" s="378">
        <f t="shared" ref="G139:G150" si="62">IF(C139=0, 0,D139*C139)</f>
        <v>164983.728</v>
      </c>
      <c r="H139" s="379">
        <f t="shared" ref="H139:H190" si="63">IF(C139=0, D139, (E139-D139)/D139)</f>
        <v>-0.54327992879394738</v>
      </c>
      <c r="I139" s="378" t="s">
        <v>188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1"/>
        <v>-93372.971999999994</v>
      </c>
      <c r="G140" s="378">
        <f t="shared" si="62"/>
        <v>172761.372</v>
      </c>
      <c r="H140" s="379">
        <f t="shared" si="63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1"/>
        <v>-91747.44</v>
      </c>
      <c r="G141" s="378">
        <f t="shared" si="62"/>
        <v>168784.32</v>
      </c>
      <c r="H141" s="379">
        <f t="shared" si="63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1"/>
        <v>-80757.467999999993</v>
      </c>
      <c r="G142" s="378">
        <f t="shared" si="62"/>
        <v>159727.26799999998</v>
      </c>
      <c r="H142" s="380">
        <f t="shared" si="63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1"/>
        <v>-72386.955999999976</v>
      </c>
      <c r="G143" s="378">
        <f t="shared" si="62"/>
        <v>164888.61599999998</v>
      </c>
      <c r="H143" s="380">
        <f t="shared" si="63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1"/>
        <v>-62830.615999999987</v>
      </c>
      <c r="G144" s="378">
        <f t="shared" si="62"/>
        <v>164888.61599999998</v>
      </c>
      <c r="H144" s="380">
        <f t="shared" si="63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1"/>
        <v>-66133.584000000003</v>
      </c>
      <c r="G145" s="378">
        <f t="shared" si="62"/>
        <v>164387.60399999999</v>
      </c>
      <c r="H145" s="380">
        <f t="shared" si="63"/>
        <v>-0.40230274297324753</v>
      </c>
      <c r="I145" s="378" t="s">
        <v>187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1"/>
        <v>-61160.576000000008</v>
      </c>
      <c r="G146" s="378">
        <f t="shared" si="62"/>
        <v>164331.93599999999</v>
      </c>
      <c r="H146" s="380">
        <f t="shared" si="63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1"/>
        <v>-58033.889999999992</v>
      </c>
      <c r="G147" s="378">
        <f t="shared" si="62"/>
        <v>164266.99</v>
      </c>
      <c r="H147" s="380">
        <f t="shared" si="63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1"/>
        <v>-56328.439999999988</v>
      </c>
      <c r="G148" s="378">
        <f t="shared" si="62"/>
        <v>148531.07999999999</v>
      </c>
      <c r="H148" s="380">
        <f t="shared" si="63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1"/>
        <v>-57894.720000000016</v>
      </c>
      <c r="G149" s="378">
        <f t="shared" si="62"/>
        <v>163942.26</v>
      </c>
      <c r="H149" s="379">
        <f t="shared" si="63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1"/>
        <v>-58904.104000000007</v>
      </c>
      <c r="G150" s="378">
        <f t="shared" si="62"/>
        <v>167796.78400000001</v>
      </c>
      <c r="H150" s="379">
        <f t="shared" si="63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4">C151*(E151-D151)</f>
        <v>-69928.587000000014</v>
      </c>
      <c r="G151" s="378">
        <f t="shared" ref="G151:G190" si="65">IF(C151=0, 0,D151*C151)</f>
        <v>206559.20699999999</v>
      </c>
      <c r="H151" s="379">
        <f t="shared" si="63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4"/>
        <v>-66302.234199999992</v>
      </c>
      <c r="G152" s="378">
        <f t="shared" si="65"/>
        <v>185059.5742</v>
      </c>
      <c r="H152" s="379">
        <f t="shared" si="63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4"/>
        <v>-59729.712599999977</v>
      </c>
      <c r="G153" s="378">
        <f t="shared" si="65"/>
        <v>167542.63259999998</v>
      </c>
      <c r="H153" s="379">
        <f t="shared" si="63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4"/>
        <v>-65233.308000000005</v>
      </c>
      <c r="G154" s="378">
        <f t="shared" si="65"/>
        <v>188202.64799999999</v>
      </c>
      <c r="H154" s="379">
        <f t="shared" si="63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4"/>
        <v>-64902.603600000009</v>
      </c>
      <c r="G155" s="378">
        <f t="shared" si="65"/>
        <v>167102.28360000002</v>
      </c>
      <c r="H155" s="379">
        <f t="shared" si="63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4"/>
        <v>-66452.265800000008</v>
      </c>
      <c r="G156" s="378">
        <f t="shared" si="65"/>
        <v>168143.46580000001</v>
      </c>
      <c r="H156" s="379">
        <f t="shared" si="63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4"/>
        <v>-64191.270599999982</v>
      </c>
      <c r="G157" s="378">
        <f t="shared" si="65"/>
        <v>167068.4106</v>
      </c>
      <c r="H157" s="379">
        <f t="shared" si="63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4"/>
        <v>-53072.044600000016</v>
      </c>
      <c r="G158" s="378">
        <f t="shared" si="65"/>
        <v>155298.88460000002</v>
      </c>
      <c r="H158" s="379">
        <f t="shared" si="63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4"/>
        <v>-54016.789200000007</v>
      </c>
      <c r="G159" s="378">
        <f t="shared" si="65"/>
        <v>166959.04920000001</v>
      </c>
      <c r="H159" s="379">
        <f t="shared" si="63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4"/>
        <v>-40694.080000000002</v>
      </c>
      <c r="G160" s="378">
        <f t="shared" si="65"/>
        <v>148852.48000000001</v>
      </c>
      <c r="H160" s="379">
        <f t="shared" si="63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4"/>
        <v>-41622.116400000006</v>
      </c>
      <c r="G161" s="378">
        <f t="shared" si="65"/>
        <v>161235.47640000001</v>
      </c>
      <c r="H161" s="379">
        <f t="shared" si="63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4"/>
        <v>-39713.673000000003</v>
      </c>
      <c r="G162" s="378">
        <f t="shared" si="65"/>
        <v>166592.253</v>
      </c>
      <c r="H162" s="379">
        <f t="shared" si="63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4"/>
        <v>-39679.2474</v>
      </c>
      <c r="G163" s="378">
        <f t="shared" si="65"/>
        <v>160002.82739999998</v>
      </c>
      <c r="H163" s="379">
        <f t="shared" si="63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4"/>
        <v>-40600.177800000019</v>
      </c>
      <c r="G164" s="378">
        <f t="shared" si="65"/>
        <v>166510.9578</v>
      </c>
      <c r="H164" s="379">
        <f t="shared" si="63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4"/>
        <v>-37192.92720000002</v>
      </c>
      <c r="G165" s="378">
        <f t="shared" si="65"/>
        <v>159811.00720000002</v>
      </c>
      <c r="H165" s="379">
        <f t="shared" si="63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4"/>
        <v>-28198.487200000018</v>
      </c>
      <c r="G166" s="378">
        <f t="shared" si="65"/>
        <v>159811.00720000002</v>
      </c>
      <c r="H166" s="379">
        <f t="shared" si="63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4"/>
        <v>-32939.072999999997</v>
      </c>
      <c r="G167" s="378">
        <f t="shared" si="65"/>
        <v>166785.81299999999</v>
      </c>
      <c r="H167" s="379">
        <f t="shared" si="63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4"/>
        <v>-27080.606799999998</v>
      </c>
      <c r="G168" s="378">
        <f t="shared" si="65"/>
        <v>159610.92679999999</v>
      </c>
      <c r="H168" s="380">
        <f t="shared" si="63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4"/>
        <v>-23278.161400000005</v>
      </c>
      <c r="G169" s="378">
        <f t="shared" si="65"/>
        <v>159479.6814</v>
      </c>
      <c r="H169" s="380">
        <f t="shared" si="63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4"/>
        <v>-27860.058600000004</v>
      </c>
      <c r="G170" s="378">
        <f t="shared" si="65"/>
        <v>166739.35860000001</v>
      </c>
      <c r="H170" s="380">
        <f t="shared" si="63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4"/>
        <v>-29897.277600000016</v>
      </c>
      <c r="G171" s="378">
        <f t="shared" si="65"/>
        <v>166260.29760000002</v>
      </c>
      <c r="H171" s="380">
        <f t="shared" si="63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4"/>
        <v>-34709.179199999977</v>
      </c>
      <c r="G172" s="378">
        <f t="shared" si="65"/>
        <v>165846.07919999998</v>
      </c>
      <c r="H172" s="380">
        <f t="shared" si="63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4"/>
        <v>-41926.063800000004</v>
      </c>
      <c r="G173" s="378">
        <f t="shared" si="65"/>
        <v>165707.6838</v>
      </c>
      <c r="H173" s="380">
        <f t="shared" si="63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4"/>
        <v>-48426.330400000006</v>
      </c>
      <c r="G174" s="378">
        <f t="shared" si="65"/>
        <v>190547.59040000002</v>
      </c>
      <c r="H174" s="380">
        <f t="shared" si="63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4"/>
        <v>-48374.515200000002</v>
      </c>
      <c r="G175" s="378">
        <f t="shared" si="65"/>
        <v>165187.97520000002</v>
      </c>
      <c r="H175" s="379">
        <f t="shared" si="63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4"/>
        <v>-54432.172800000015</v>
      </c>
      <c r="G176" s="378">
        <f t="shared" si="65"/>
        <v>176588.49280000001</v>
      </c>
      <c r="H176" s="379">
        <f t="shared" si="63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4"/>
        <v>-49378.123800000016</v>
      </c>
      <c r="G177" s="378">
        <f t="shared" si="65"/>
        <v>164933.44380000001</v>
      </c>
      <c r="H177" s="379">
        <f t="shared" si="63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4"/>
        <v>-45614.280400000011</v>
      </c>
      <c r="G178" s="378">
        <f t="shared" si="65"/>
        <v>177274.02040000001</v>
      </c>
      <c r="H178" s="379">
        <f t="shared" si="63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4"/>
        <v>-45519.5052</v>
      </c>
      <c r="G179" s="378">
        <f t="shared" si="65"/>
        <v>164849.2452</v>
      </c>
      <c r="H179" s="379">
        <f t="shared" si="63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4"/>
        <v>-45770.165399999983</v>
      </c>
      <c r="G180" s="378">
        <f t="shared" si="65"/>
        <v>164809.56539999999</v>
      </c>
      <c r="H180" s="379">
        <f t="shared" si="63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4"/>
        <v>-41109.240599999997</v>
      </c>
      <c r="G181" s="378">
        <f t="shared" si="65"/>
        <v>164794.08059999999</v>
      </c>
      <c r="H181" s="379">
        <f t="shared" si="63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4"/>
        <v>-37211.283199999991</v>
      </c>
      <c r="G182" s="378">
        <f t="shared" si="65"/>
        <v>158269.10319999998</v>
      </c>
      <c r="H182" s="379">
        <f t="shared" si="63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4"/>
        <v>-38770.067999999999</v>
      </c>
      <c r="G183" s="378">
        <f t="shared" si="65"/>
        <v>164777.628</v>
      </c>
      <c r="H183" s="379">
        <f t="shared" si="63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4"/>
        <v>-33653.890400000018</v>
      </c>
      <c r="G184" s="378">
        <f t="shared" si="65"/>
        <v>157924.0104</v>
      </c>
      <c r="H184" s="379">
        <f t="shared" si="63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4"/>
        <v>-37103.516399999986</v>
      </c>
      <c r="G185" s="378">
        <f t="shared" si="65"/>
        <v>164562.77639999997</v>
      </c>
      <c r="H185" s="379">
        <f t="shared" si="63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4"/>
        <v>-39676.8966</v>
      </c>
      <c r="G186" s="378">
        <f t="shared" si="65"/>
        <v>164523.09660000002</v>
      </c>
      <c r="H186" s="379">
        <f t="shared" si="63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4"/>
        <v>-35572.456799999993</v>
      </c>
      <c r="G187" s="378">
        <f t="shared" si="65"/>
        <v>164483.41680000001</v>
      </c>
      <c r="H187" s="379">
        <f t="shared" si="63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4"/>
        <v>-29514.401999999984</v>
      </c>
      <c r="G188" s="378">
        <f t="shared" si="65"/>
        <v>143679.28200000001</v>
      </c>
      <c r="H188" s="379">
        <f t="shared" si="63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4"/>
        <v>-24105.848799999996</v>
      </c>
      <c r="G189" s="378">
        <f t="shared" si="65"/>
        <v>136358.20879999999</v>
      </c>
      <c r="H189" s="379">
        <f t="shared" si="63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4"/>
        <v>-24823.50120000001</v>
      </c>
      <c r="G190" s="378">
        <f t="shared" si="65"/>
        <v>143649.8412</v>
      </c>
      <c r="H190" s="379">
        <f t="shared" si="63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6">C191*(E191-D191)</f>
        <v>-33713.287800000006</v>
      </c>
      <c r="G191" s="378">
        <f t="shared" ref="G191:G199" si="67">IF(C191=0, 0,D191*C191)</f>
        <v>154198.0478</v>
      </c>
      <c r="H191" s="379">
        <f t="shared" ref="H191:H199" si="68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6"/>
        <v>-34191.285600000003</v>
      </c>
      <c r="G192" s="378">
        <f t="shared" si="67"/>
        <v>158702.04560000001</v>
      </c>
      <c r="H192" s="379">
        <f t="shared" si="68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6"/>
        <v>-33706.974000000009</v>
      </c>
      <c r="G193" s="378">
        <f t="shared" si="67"/>
        <v>158217.734</v>
      </c>
      <c r="H193" s="379">
        <f t="shared" si="68"/>
        <v>-0.21304169354365804</v>
      </c>
      <c r="I193" s="378" t="s">
        <v>184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6"/>
        <v>-35317.9254</v>
      </c>
      <c r="G194" s="378">
        <f t="shared" si="67"/>
        <v>163357.86540000001</v>
      </c>
      <c r="H194" s="379">
        <f t="shared" si="68"/>
        <v>-0.21619972392220058</v>
      </c>
      <c r="I194" s="378" t="s">
        <v>221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6"/>
        <v>-36815.103999999985</v>
      </c>
      <c r="G195" s="378">
        <f t="shared" si="67"/>
        <v>157985.78399999999</v>
      </c>
      <c r="H195" s="379">
        <f t="shared" si="68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6"/>
        <v>-40329.610399999998</v>
      </c>
      <c r="G196" s="378">
        <f t="shared" si="67"/>
        <v>157881.87039999999</v>
      </c>
      <c r="H196" s="379">
        <f t="shared" si="68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6"/>
        <v>-35684.1158</v>
      </c>
      <c r="G197" s="378">
        <f t="shared" si="67"/>
        <v>157782.59580000001</v>
      </c>
      <c r="H197" s="379">
        <f t="shared" si="68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6"/>
        <v>-23709.664000000008</v>
      </c>
      <c r="G198" s="378">
        <f t="shared" si="67"/>
        <v>134887.10400000002</v>
      </c>
      <c r="H198" s="380">
        <f t="shared" si="68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6"/>
        <v>-19054.279999999995</v>
      </c>
      <c r="G199" s="378">
        <f t="shared" si="67"/>
        <v>121666.28</v>
      </c>
      <c r="H199" s="380">
        <f t="shared" si="68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69">C200*(E200-D200)</f>
        <v>-21366.37</v>
      </c>
      <c r="G200" s="378">
        <f t="shared" ref="G200:G208" si="70">IF(C200=0, 0,D200*C200)</f>
        <v>129041.37</v>
      </c>
      <c r="H200" s="380">
        <f t="shared" ref="H200:H208" si="71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69"/>
        <v>-17585.480000000014</v>
      </c>
      <c r="G201" s="378">
        <f t="shared" si="70"/>
        <v>121421.48000000001</v>
      </c>
      <c r="H201" s="380">
        <f t="shared" si="71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69"/>
        <v>-23433.255999999998</v>
      </c>
      <c r="G202" s="378">
        <f t="shared" si="70"/>
        <v>134073.236</v>
      </c>
      <c r="H202" s="380">
        <f t="shared" si="71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69"/>
        <v>-21154.320000000003</v>
      </c>
      <c r="G203" s="378">
        <f t="shared" si="70"/>
        <v>138785.16</v>
      </c>
      <c r="H203" s="380">
        <f t="shared" si="71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69"/>
        <v>-29477.467400000005</v>
      </c>
      <c r="G204" s="378">
        <f t="shared" si="70"/>
        <v>152116.9474</v>
      </c>
      <c r="H204" s="380">
        <f t="shared" si="71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69"/>
        <v>-29453.938799999982</v>
      </c>
      <c r="G205" s="378">
        <f t="shared" si="70"/>
        <v>156191.41879999998</v>
      </c>
      <c r="H205" s="379">
        <f t="shared" si="71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69"/>
        <v>-19172.503200000017</v>
      </c>
      <c r="G206" s="378">
        <f t="shared" si="70"/>
        <v>140043.3432</v>
      </c>
      <c r="H206" s="379">
        <f t="shared" si="71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69"/>
        <v>-13448.017</v>
      </c>
      <c r="G207" s="378">
        <f t="shared" si="70"/>
        <v>132303.45699999999</v>
      </c>
      <c r="H207" s="379">
        <f t="shared" si="71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69"/>
        <v>-12142.820000000009</v>
      </c>
      <c r="G208" s="378">
        <f t="shared" si="70"/>
        <v>126387.82</v>
      </c>
      <c r="H208" s="379">
        <f t="shared" si="71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2">C209*(E209-D209)</f>
        <v>-11873.480000000014</v>
      </c>
      <c r="G209" s="378">
        <f t="shared" ref="G209:G230" si="73">IF(C209=0, 0,D209*C209)</f>
        <v>118633.48000000001</v>
      </c>
      <c r="H209" s="379">
        <f t="shared" ref="H209:H230" si="74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2"/>
        <v>-11929.199999999995</v>
      </c>
      <c r="G210" s="378">
        <f t="shared" si="73"/>
        <v>106009.2</v>
      </c>
      <c r="H210" s="379">
        <f t="shared" si="74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2"/>
        <v>-18473.284199999991</v>
      </c>
      <c r="G211" s="378">
        <f t="shared" si="73"/>
        <v>138853.4442</v>
      </c>
      <c r="H211" s="379">
        <f t="shared" si="74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2"/>
        <v>-18423.393999999993</v>
      </c>
      <c r="G212" s="378">
        <f t="shared" si="73"/>
        <v>146163.554</v>
      </c>
      <c r="H212" s="379">
        <f t="shared" si="74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2"/>
        <v>-17342.266799999998</v>
      </c>
      <c r="G213" s="378">
        <f t="shared" si="73"/>
        <v>138703.7868</v>
      </c>
      <c r="H213" s="379">
        <f t="shared" si="74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2"/>
        <v>-17312.610000000008</v>
      </c>
      <c r="G214" s="378">
        <f t="shared" si="73"/>
        <v>146094.13</v>
      </c>
      <c r="H214" s="379">
        <f t="shared" si="74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2"/>
        <v>-16618.370000000006</v>
      </c>
      <c r="G215" s="378">
        <f t="shared" si="73"/>
        <v>146094.13</v>
      </c>
      <c r="H215" s="379">
        <f t="shared" si="74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2"/>
        <v>-18614.310000000012</v>
      </c>
      <c r="G216" s="378">
        <f t="shared" si="73"/>
        <v>146094.13</v>
      </c>
      <c r="H216" s="379">
        <f t="shared" si="74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2"/>
        <v>-10717.330000000011</v>
      </c>
      <c r="G217" s="378">
        <f t="shared" si="73"/>
        <v>146094.13</v>
      </c>
      <c r="H217" s="379">
        <f t="shared" si="74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2"/>
        <v>-13335.061799999996</v>
      </c>
      <c r="G218" s="378">
        <f t="shared" si="73"/>
        <v>146939.08179999999</v>
      </c>
      <c r="H218" s="379">
        <f t="shared" si="74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2"/>
        <v>-14034.101799999982</v>
      </c>
      <c r="G219" s="378">
        <f t="shared" si="73"/>
        <v>146939.08179999999</v>
      </c>
      <c r="H219" s="379">
        <f t="shared" si="74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2"/>
        <v>-18125.222999999994</v>
      </c>
      <c r="G220" s="378">
        <f t="shared" si="73"/>
        <v>152910.723</v>
      </c>
      <c r="H220" s="379">
        <f t="shared" si="74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2"/>
        <v>-17204.112599999997</v>
      </c>
      <c r="G221" s="378">
        <f t="shared" si="73"/>
        <v>152812.03260000001</v>
      </c>
      <c r="H221" s="379">
        <f t="shared" si="74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2"/>
        <v>-21007.348200000015</v>
      </c>
      <c r="G222" s="378">
        <f t="shared" si="73"/>
        <v>152777.3082</v>
      </c>
      <c r="H222" s="379">
        <f t="shared" si="74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2"/>
        <v>-23836.109799999987</v>
      </c>
      <c r="G223" s="378">
        <f t="shared" si="73"/>
        <v>154748.68979999999</v>
      </c>
      <c r="H223" s="379">
        <f t="shared" si="74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2"/>
        <v>-28747.721799999992</v>
      </c>
      <c r="G224" s="378">
        <f t="shared" si="73"/>
        <v>157458.96179999999</v>
      </c>
      <c r="H224" s="379">
        <f t="shared" si="74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2"/>
        <v>-26852.387599999998</v>
      </c>
      <c r="G225" s="378">
        <f t="shared" si="73"/>
        <v>154703.22759999998</v>
      </c>
      <c r="H225" s="379">
        <f t="shared" si="74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2"/>
        <v>-32892.451199999996</v>
      </c>
      <c r="G226" s="378">
        <f t="shared" si="73"/>
        <v>157338.5912</v>
      </c>
      <c r="H226" s="379">
        <f t="shared" si="74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2"/>
        <v>-28045.401999999998</v>
      </c>
      <c r="G227" s="378">
        <f t="shared" si="73"/>
        <v>157325.32200000001</v>
      </c>
      <c r="H227" s="380">
        <f t="shared" si="74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2"/>
        <v>-28056.67200000001</v>
      </c>
      <c r="G228" s="378">
        <f t="shared" si="73"/>
        <v>154608.592</v>
      </c>
      <c r="H228" s="380">
        <f t="shared" si="74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2"/>
        <v>-34756.773799999995</v>
      </c>
      <c r="G229" s="378">
        <f t="shared" si="73"/>
        <v>157212.5338</v>
      </c>
      <c r="H229" s="380">
        <f t="shared" si="74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2"/>
        <v>-34901.771399999991</v>
      </c>
      <c r="G230" s="378">
        <f t="shared" si="73"/>
        <v>159747.97140000001</v>
      </c>
      <c r="H230" s="380">
        <f t="shared" si="74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5">C231*(E231-D231)</f>
        <v>-36344.291399999995</v>
      </c>
      <c r="G231" s="378">
        <f t="shared" ref="G231:G246" si="76">IF(C231=0, 0,D231*C231)</f>
        <v>166350.4914</v>
      </c>
      <c r="H231" s="380">
        <f t="shared" ref="H231:H246" si="77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5"/>
        <v>-29806.304399999986</v>
      </c>
      <c r="G232" s="378">
        <f t="shared" si="76"/>
        <v>159588.28439999997</v>
      </c>
      <c r="H232" s="380">
        <f t="shared" si="77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5"/>
        <v>-27362.67760000001</v>
      </c>
      <c r="G233" s="378">
        <f t="shared" si="76"/>
        <v>154100.15760000001</v>
      </c>
      <c r="H233" s="380">
        <f t="shared" si="77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5"/>
        <v>-25413.691800000004</v>
      </c>
      <c r="G234" s="378">
        <f t="shared" si="76"/>
        <v>152157.7518</v>
      </c>
      <c r="H234" s="379">
        <f t="shared" si="77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5"/>
        <v>-18660.303400000012</v>
      </c>
      <c r="G235" s="378">
        <f t="shared" si="76"/>
        <v>145445.88340000002</v>
      </c>
      <c r="H235" s="379">
        <f t="shared" si="77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5"/>
        <v>-16029.133799999994</v>
      </c>
      <c r="G236" s="378">
        <f t="shared" si="76"/>
        <v>145331.33379999999</v>
      </c>
      <c r="H236" s="379">
        <f t="shared" si="77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5"/>
        <v>-13680.976200000003</v>
      </c>
      <c r="G237" s="378">
        <f t="shared" si="76"/>
        <v>137741.23620000001</v>
      </c>
      <c r="H237" s="379">
        <f t="shared" si="77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5"/>
        <v>-9402.4621999999927</v>
      </c>
      <c r="G238" s="378">
        <f t="shared" si="76"/>
        <v>122097.06219999999</v>
      </c>
      <c r="H238" s="379">
        <f t="shared" si="77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5"/>
        <v>-2780.8000000000065</v>
      </c>
      <c r="G239" s="378">
        <f t="shared" si="76"/>
        <v>94520.8</v>
      </c>
      <c r="H239" s="379">
        <f t="shared" si="77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5"/>
        <v>-2111.0000000000005</v>
      </c>
      <c r="G240" s="378">
        <f t="shared" si="76"/>
        <v>86111</v>
      </c>
      <c r="H240" s="379">
        <f t="shared" si="77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5"/>
        <v>-7950.599999999994</v>
      </c>
      <c r="G241" s="378">
        <f t="shared" si="76"/>
        <v>101790.59999999999</v>
      </c>
      <c r="H241" s="379">
        <f t="shared" si="77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5"/>
        <v>-7870.8499999999922</v>
      </c>
      <c r="G242" s="378">
        <f t="shared" si="76"/>
        <v>109530.84999999999</v>
      </c>
      <c r="H242" s="379">
        <f t="shared" si="77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5"/>
        <v>-2961.0000000000055</v>
      </c>
      <c r="G243" s="378">
        <f t="shared" si="76"/>
        <v>101541</v>
      </c>
      <c r="H243" s="379">
        <f t="shared" si="77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5"/>
        <v>-3051.400000000001</v>
      </c>
      <c r="G244" s="378">
        <f t="shared" si="76"/>
        <v>93416.4</v>
      </c>
      <c r="H244" s="379">
        <f t="shared" si="77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5"/>
        <v>-3026.4999999999986</v>
      </c>
      <c r="G245" s="378">
        <f t="shared" si="76"/>
        <v>85176.5</v>
      </c>
      <c r="H245" s="379">
        <f t="shared" si="77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5"/>
        <v>-4876.1226000000042</v>
      </c>
      <c r="G246" s="378">
        <f t="shared" si="76"/>
        <v>88034.802599999995</v>
      </c>
      <c r="H246" s="379">
        <f t="shared" si="77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8">C249*(E249-D249)</f>
        <v>-5163.5724000000046</v>
      </c>
      <c r="G249" s="378">
        <f t="shared" ref="G249:G254" si="79">IF(C249=0, 0,D249*C249)</f>
        <v>103949.79240000001</v>
      </c>
      <c r="H249" s="379">
        <f t="shared" ref="H249:H254" si="80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8"/>
        <v>-7946.8199999999852</v>
      </c>
      <c r="G250" s="378">
        <f t="shared" si="79"/>
        <v>111789.71999999999</v>
      </c>
      <c r="H250" s="380">
        <f t="shared" si="80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8"/>
        <v>-7946.7637999999934</v>
      </c>
      <c r="G251" s="378">
        <f t="shared" si="79"/>
        <v>119564.66379999999</v>
      </c>
      <c r="H251" s="379">
        <f t="shared" si="80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8"/>
        <v>-11864.04560000001</v>
      </c>
      <c r="G252" s="378">
        <f t="shared" si="79"/>
        <v>127187.60560000001</v>
      </c>
      <c r="H252" s="379">
        <f t="shared" si="80"/>
        <v>-9.3279887957887692E-2</v>
      </c>
      <c r="I252" s="378" t="s">
        <v>266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8"/>
        <v>-11894.083199999997</v>
      </c>
      <c r="G253" s="378">
        <f t="shared" si="79"/>
        <v>134727.64319999999</v>
      </c>
      <c r="H253" s="379">
        <f t="shared" si="80"/>
        <v>-8.8282426067110162E-2</v>
      </c>
      <c r="I253" s="378" t="s">
        <v>267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8"/>
        <v>-7970.5317999999861</v>
      </c>
      <c r="G254" s="378">
        <f t="shared" si="79"/>
        <v>126902.75179999998</v>
      </c>
      <c r="H254" s="379">
        <f t="shared" si="80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1">C260*(E260-D260)</f>
        <v>-5839.4414759999936</v>
      </c>
      <c r="G260" s="378">
        <f t="shared" ref="G260:G266" si="82">IF(C260=0, 0,D260*C260)</f>
        <v>126153.70147599999</v>
      </c>
      <c r="H260" s="379">
        <f t="shared" ref="H260:H266" si="83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1"/>
        <v>-7235.2097400000011</v>
      </c>
      <c r="G261" s="378">
        <f t="shared" si="82"/>
        <v>126013.86974000001</v>
      </c>
      <c r="H261" s="379">
        <f t="shared" si="83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1"/>
        <v>-6801.3106039999893</v>
      </c>
      <c r="G262" s="378">
        <f t="shared" si="82"/>
        <v>125579.970604</v>
      </c>
      <c r="H262" s="379">
        <f t="shared" si="83"/>
        <v>-5.4159198885680847E-2</v>
      </c>
      <c r="I262" s="378" t="s">
        <v>282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1"/>
        <v>-15816.44348</v>
      </c>
      <c r="G263" s="378">
        <f t="shared" si="82"/>
        <v>134522.96348000001</v>
      </c>
      <c r="H263" s="380">
        <f t="shared" si="83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1"/>
        <v>-15980.450220000002</v>
      </c>
      <c r="G264" s="378">
        <f t="shared" si="82"/>
        <v>140422.97021999999</v>
      </c>
      <c r="H264" s="380">
        <f t="shared" si="83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1"/>
        <v>-16022.453030000013</v>
      </c>
      <c r="G265" s="378">
        <f t="shared" si="82"/>
        <v>144766.97303000002</v>
      </c>
      <c r="H265" s="380">
        <f t="shared" si="83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1"/>
        <v>-15995.457559999995</v>
      </c>
      <c r="G266" s="378">
        <f t="shared" si="82"/>
        <v>149041.97756</v>
      </c>
      <c r="H266" s="380">
        <f t="shared" si="83"/>
        <v>-0.10732182853357998</v>
      </c>
      <c r="I266" s="378" t="s">
        <v>283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4">C267*(E267-D267)</f>
        <v>-19058.277097999995</v>
      </c>
      <c r="G267" s="378">
        <f t="shared" ref="G267:G274" si="85">IF(C267=0, 0,D267*C267)</f>
        <v>151845.05709799999</v>
      </c>
      <c r="H267" s="380">
        <f t="shared" ref="H267:H274" si="86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4"/>
        <v>-16640.780505999985</v>
      </c>
      <c r="G268" s="378">
        <f t="shared" si="85"/>
        <v>151797.06050599998</v>
      </c>
      <c r="H268" s="380">
        <f t="shared" si="86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4"/>
        <v>-16830.340505999982</v>
      </c>
      <c r="G269" s="378">
        <f t="shared" si="85"/>
        <v>151797.06050599998</v>
      </c>
      <c r="H269" s="380">
        <f t="shared" si="86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4"/>
        <v>-18246.039857999996</v>
      </c>
      <c r="G270" s="378">
        <f t="shared" si="85"/>
        <v>154609.05985799999</v>
      </c>
      <c r="H270" s="379">
        <f t="shared" si="86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4"/>
        <v>-20423.199632000014</v>
      </c>
      <c r="G271" s="378">
        <f t="shared" si="85"/>
        <v>157431.05963200002</v>
      </c>
      <c r="H271" s="379">
        <f t="shared" si="86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4"/>
        <v>-20451.260000000017</v>
      </c>
      <c r="G272" s="378">
        <f t="shared" si="85"/>
        <v>159151.26</v>
      </c>
      <c r="H272" s="379">
        <f t="shared" si="86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4"/>
        <v>-12770.498441999989</v>
      </c>
      <c r="G273" s="378">
        <f t="shared" si="85"/>
        <v>154553.19844199999</v>
      </c>
      <c r="H273" s="379">
        <f t="shared" si="86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4"/>
        <v>-12774.627693999981</v>
      </c>
      <c r="G274" s="378">
        <f t="shared" si="85"/>
        <v>148697.32769399998</v>
      </c>
      <c r="H274" s="379">
        <f t="shared" si="86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7">C275*(E275-D275)</f>
        <v>-10733.467693999992</v>
      </c>
      <c r="G275" s="378">
        <f t="shared" ref="G275:G286" si="88">IF(C275=0, 0,D275*C275)</f>
        <v>148697.32769399998</v>
      </c>
      <c r="H275" s="379">
        <f t="shared" ref="H275:H286" si="89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7"/>
        <v>-14237.112315999999</v>
      </c>
      <c r="G276" s="378">
        <f t="shared" si="88"/>
        <v>151573.33231600001</v>
      </c>
      <c r="H276" s="379">
        <f t="shared" si="89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7"/>
        <v>-14933.404899999989</v>
      </c>
      <c r="G277" s="378">
        <f t="shared" si="88"/>
        <v>148629.38489999998</v>
      </c>
      <c r="H277" s="379">
        <f t="shared" si="89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7"/>
        <v>-14951.241703999996</v>
      </c>
      <c r="G278" s="378">
        <f t="shared" si="88"/>
        <v>151529.221704</v>
      </c>
      <c r="H278" s="379">
        <f t="shared" si="89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7"/>
        <v>-14945.406348000004</v>
      </c>
      <c r="G279" s="378">
        <f t="shared" si="88"/>
        <v>154405.386348</v>
      </c>
      <c r="H279" s="379">
        <f t="shared" si="89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7"/>
        <v>-18303.73</v>
      </c>
      <c r="G280" s="378">
        <f t="shared" si="88"/>
        <v>158903.73000000001</v>
      </c>
      <c r="H280" s="379">
        <f t="shared" si="89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7"/>
        <v>-7311.0640000000021</v>
      </c>
      <c r="G281" s="378">
        <f t="shared" si="88"/>
        <v>148151.10399999999</v>
      </c>
      <c r="H281" s="379">
        <f t="shared" si="89"/>
        <v>-4.9348697394789594E-2</v>
      </c>
      <c r="I281" s="378" t="s">
        <v>296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7"/>
        <v>-7285.3417480000098</v>
      </c>
      <c r="G282" s="378">
        <f t="shared" si="88"/>
        <v>143571.38174800001</v>
      </c>
      <c r="H282" s="379">
        <f t="shared" si="89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7"/>
        <v>-1007.5158000000105</v>
      </c>
      <c r="G283" s="378">
        <f t="shared" si="88"/>
        <v>138987.71580000001</v>
      </c>
      <c r="H283" s="379">
        <f t="shared" si="89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7"/>
        <v>-1091.5898499999998</v>
      </c>
      <c r="G284" s="378">
        <f t="shared" si="88"/>
        <v>127941.78985</v>
      </c>
      <c r="H284" s="379">
        <f t="shared" si="89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7"/>
        <v>-1074.5375999999919</v>
      </c>
      <c r="G285" s="378">
        <f t="shared" si="88"/>
        <v>124522.1376</v>
      </c>
      <c r="H285" s="379">
        <f t="shared" si="89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7"/>
        <v>-975.11200799999187</v>
      </c>
      <c r="G286" s="378">
        <f t="shared" si="88"/>
        <v>131005.31200799999</v>
      </c>
      <c r="H286" s="379">
        <f t="shared" si="89"/>
        <v>-7.4433012910228059E-3</v>
      </c>
      <c r="I286" s="378" t="s">
        <v>297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90">C288*(E288-D288)</f>
        <v>-320.8720079999913</v>
      </c>
      <c r="G288" s="378">
        <f t="shared" ref="G288:G297" si="91">IF(C288=0, 0,D288*C288)</f>
        <v>131005.31200799999</v>
      </c>
      <c r="H288" s="379">
        <f t="shared" ref="H288:H297" si="92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90"/>
        <v>-3298.169357999996</v>
      </c>
      <c r="G289" s="378">
        <f t="shared" si="91"/>
        <v>138935.309358</v>
      </c>
      <c r="H289" s="379">
        <f t="shared" si="92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90"/>
        <v>-3293.1673579999938</v>
      </c>
      <c r="G290" s="378">
        <f t="shared" si="91"/>
        <v>146745.30735799999</v>
      </c>
      <c r="H290" s="379">
        <f t="shared" si="92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90"/>
        <v>1163.524950000012</v>
      </c>
      <c r="G291" s="378">
        <f t="shared" si="91"/>
        <v>130665.83504999999</v>
      </c>
      <c r="H291" s="379">
        <f t="shared" si="92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90"/>
        <v>1293.5203380000021</v>
      </c>
      <c r="G292" s="378">
        <f t="shared" si="91"/>
        <v>122475.839662</v>
      </c>
      <c r="H292" s="379">
        <f t="shared" si="92"/>
        <v>1.0561432700275958E-2</v>
      </c>
      <c r="I292" s="378" t="s">
        <v>301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90"/>
        <v>1201.2174379999781</v>
      </c>
      <c r="G293" s="378">
        <f t="shared" si="91"/>
        <v>138341.022562</v>
      </c>
      <c r="H293" s="379">
        <f t="shared" si="92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90"/>
        <v>-3368.3391059999908</v>
      </c>
      <c r="G294" s="378">
        <f t="shared" si="91"/>
        <v>143066.01910599999</v>
      </c>
      <c r="H294" s="379">
        <f t="shared" si="92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90"/>
        <v>-3374.3343760000034</v>
      </c>
      <c r="G295" s="378">
        <f t="shared" si="91"/>
        <v>147740.01437600001</v>
      </c>
      <c r="H295" s="379">
        <f t="shared" si="92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90"/>
        <v>-1890.1133999999961</v>
      </c>
      <c r="G296" s="378">
        <f t="shared" si="91"/>
        <v>154028.27340000001</v>
      </c>
      <c r="H296" s="379">
        <f t="shared" si="92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90"/>
        <v>-17012.580000000009</v>
      </c>
      <c r="G297" s="378">
        <f t="shared" si="91"/>
        <v>159012.58000000002</v>
      </c>
      <c r="H297" s="379">
        <f t="shared" si="92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3">C301*(E301-D301)</f>
        <v>-19935.600000000009</v>
      </c>
      <c r="G301" s="378">
        <f t="shared" ref="G301:G308" si="94">IF(C301=0, 0,D301*C301)</f>
        <v>187335.6</v>
      </c>
      <c r="H301" s="380">
        <f t="shared" ref="H301:H308" si="95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3"/>
        <v>-19900.075000000015</v>
      </c>
      <c r="G302" s="378">
        <f t="shared" si="94"/>
        <v>194275.07500000001</v>
      </c>
      <c r="H302" s="380">
        <f t="shared" si="95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3"/>
        <v>-22705.387499999997</v>
      </c>
      <c r="G303" s="378">
        <f t="shared" si="94"/>
        <v>194205.38750000001</v>
      </c>
      <c r="H303" s="380">
        <f t="shared" si="95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3"/>
        <v>-29391.250000000004</v>
      </c>
      <c r="G304" s="378">
        <f t="shared" si="94"/>
        <v>194141.25</v>
      </c>
      <c r="H304" s="380">
        <f t="shared" si="95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3"/>
        <v>-34359.325000000004</v>
      </c>
      <c r="G305" s="378">
        <f t="shared" si="94"/>
        <v>194109.32500000001</v>
      </c>
      <c r="H305" s="379">
        <f t="shared" si="95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3"/>
        <v>-16630.000000000004</v>
      </c>
      <c r="G306" s="378">
        <f t="shared" si="94"/>
        <v>158130</v>
      </c>
      <c r="H306" s="379">
        <f t="shared" si="95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3"/>
        <v>-21229.999999999996</v>
      </c>
      <c r="G307" s="378">
        <f t="shared" si="94"/>
        <v>171820</v>
      </c>
      <c r="H307" s="379">
        <f t="shared" si="95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3"/>
        <v>6109.9988400000047</v>
      </c>
      <c r="G308" s="378">
        <f t="shared" si="94"/>
        <v>118887.84116000001</v>
      </c>
      <c r="H308" s="379">
        <f t="shared" si="95"/>
        <v>5.1392966516879801E-2</v>
      </c>
      <c r="I308" s="378" t="s">
        <v>313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6">C309*(E309-D309)</f>
        <v>822.70680000000016</v>
      </c>
      <c r="G309" s="378">
        <f t="shared" ref="G309:G326" si="97">IF(C309=0, 0,D309*C309)</f>
        <v>126917.6532</v>
      </c>
      <c r="H309" s="379">
        <f t="shared" ref="H309:H326" si="98">IF(C309=0, D309, (E309-D309)/D309)</f>
        <v>6.4822093637640649E-3</v>
      </c>
      <c r="I309" s="378" t="s">
        <v>319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6"/>
        <v>83.308799999990825</v>
      </c>
      <c r="G310" s="378">
        <f t="shared" si="97"/>
        <v>134772.8112</v>
      </c>
      <c r="H310" s="379">
        <f t="shared" si="98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6"/>
        <v>-4985.4834000000074</v>
      </c>
      <c r="G311" s="378">
        <f t="shared" si="97"/>
        <v>139206.5834</v>
      </c>
      <c r="H311" s="379">
        <f t="shared" si="98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6"/>
        <v>18978.923399999992</v>
      </c>
      <c r="G312" s="378">
        <f t="shared" si="97"/>
        <v>74535.756600000008</v>
      </c>
      <c r="H312" s="379">
        <f t="shared" si="98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6"/>
        <v>18638.087600000006</v>
      </c>
      <c r="G313" s="378">
        <f t="shared" si="97"/>
        <v>65051.332399999999</v>
      </c>
      <c r="H313" s="379">
        <f t="shared" si="98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6"/>
        <v>18627.5</v>
      </c>
      <c r="G314" s="378">
        <f t="shared" si="97"/>
        <v>70822.5</v>
      </c>
      <c r="H314" s="379">
        <f t="shared" si="98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6"/>
        <v>20177.499999999996</v>
      </c>
      <c r="G315" s="378">
        <f t="shared" si="97"/>
        <v>70822.5</v>
      </c>
      <c r="H315" s="379">
        <f t="shared" si="98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6"/>
        <v>21382.430000000011</v>
      </c>
      <c r="G316" s="378">
        <f t="shared" si="97"/>
        <v>70717.569999999992</v>
      </c>
      <c r="H316" s="379">
        <f t="shared" si="98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6"/>
        <v>20612.23</v>
      </c>
      <c r="G317" s="378">
        <f t="shared" si="97"/>
        <v>70637.77</v>
      </c>
      <c r="H317" s="379">
        <f t="shared" si="98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6"/>
        <v>22311.999999999993</v>
      </c>
      <c r="G318" s="378">
        <f t="shared" si="97"/>
        <v>70138</v>
      </c>
      <c r="H318" s="379">
        <f t="shared" si="98"/>
        <v>0.3181157147338104</v>
      </c>
      <c r="I318" s="378" t="s">
        <v>187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6"/>
        <v>20873</v>
      </c>
      <c r="G319" s="378">
        <f t="shared" si="97"/>
        <v>70127</v>
      </c>
      <c r="H319" s="379">
        <f t="shared" si="98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6"/>
        <v>20073</v>
      </c>
      <c r="G320" s="378">
        <f t="shared" si="97"/>
        <v>70127</v>
      </c>
      <c r="H320" s="379">
        <f t="shared" si="98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6"/>
        <v>17654.651999999998</v>
      </c>
      <c r="G321" s="378">
        <f t="shared" si="97"/>
        <v>87765.347999999998</v>
      </c>
      <c r="H321" s="380">
        <f t="shared" si="98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6"/>
        <v>16484.261999999992</v>
      </c>
      <c r="G322" s="378">
        <f t="shared" si="97"/>
        <v>87375.737999999998</v>
      </c>
      <c r="H322" s="380">
        <f t="shared" si="98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6"/>
        <v>20939.061000000002</v>
      </c>
      <c r="G323" s="378">
        <f t="shared" si="97"/>
        <v>78335.938999999998</v>
      </c>
      <c r="H323" s="380">
        <f t="shared" si="98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6"/>
        <v>20604.060000000005</v>
      </c>
      <c r="G324" s="378">
        <f t="shared" si="97"/>
        <v>87275.94</v>
      </c>
      <c r="H324" s="380">
        <f t="shared" si="98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6"/>
        <v>17593.872000000007</v>
      </c>
      <c r="G325" s="378">
        <f t="shared" si="97"/>
        <v>87166.127999999997</v>
      </c>
      <c r="H325" s="380">
        <f t="shared" si="98"/>
        <v>0.20184299112150547</v>
      </c>
      <c r="I325" s="378"/>
    </row>
    <row r="326" spans="1:10" x14ac:dyDescent="0.25">
      <c r="A326" s="233" t="s">
        <v>348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6"/>
        <v>16453.871999999999</v>
      </c>
      <c r="G326" s="378">
        <f t="shared" si="97"/>
        <v>87166.127999999997</v>
      </c>
      <c r="H326" s="380">
        <f t="shared" si="98"/>
        <v>0.1887645164185795</v>
      </c>
      <c r="I326" s="378"/>
    </row>
    <row r="327" spans="1:10" x14ac:dyDescent="0.25">
      <c r="A327" t="s">
        <v>348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99">C327*(E327-D327)</f>
        <v>19333.872000000003</v>
      </c>
      <c r="G327" s="378">
        <f t="shared" ref="G327:G341" si="100">IF(C327=0, 0,D327*C327)</f>
        <v>87166.127999999997</v>
      </c>
      <c r="H327" s="380">
        <f t="shared" ref="H327:H341" si="101">IF(C327=0, D327, (E327-D327)/D327)</f>
        <v>0.22180487356281334</v>
      </c>
      <c r="I327" s="378"/>
    </row>
    <row r="328" spans="1:10" x14ac:dyDescent="0.25">
      <c r="A328" t="s">
        <v>383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99"/>
        <v>19450.98</v>
      </c>
      <c r="G328" s="378">
        <f t="shared" si="100"/>
        <v>87049.02</v>
      </c>
      <c r="H328" s="380">
        <f t="shared" si="101"/>
        <v>0.22344858104088938</v>
      </c>
      <c r="I328" s="378"/>
    </row>
    <row r="329" spans="1:10" x14ac:dyDescent="0.25">
      <c r="A329" t="s">
        <v>387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99"/>
        <v>17423.978999999996</v>
      </c>
      <c r="G329" s="378">
        <f t="shared" si="100"/>
        <v>88777.021000000008</v>
      </c>
      <c r="H329" s="380">
        <f t="shared" si="101"/>
        <v>0.19626676817641803</v>
      </c>
      <c r="I329" s="378"/>
    </row>
    <row r="330" spans="1:10" x14ac:dyDescent="0.25">
      <c r="A330" t="s">
        <v>398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99"/>
        <v>11978.979600000011</v>
      </c>
      <c r="G330" s="378">
        <f t="shared" si="100"/>
        <v>102078.02039999999</v>
      </c>
      <c r="H330" s="380">
        <f t="shared" si="101"/>
        <v>0.11735121383682331</v>
      </c>
      <c r="I330" s="378"/>
    </row>
    <row r="331" spans="1:10" x14ac:dyDescent="0.25">
      <c r="A331" t="s">
        <v>399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99"/>
        <v>13568.870699999996</v>
      </c>
      <c r="G331" s="378">
        <f t="shared" si="100"/>
        <v>102006.1293</v>
      </c>
      <c r="H331" s="380">
        <f t="shared" si="101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99"/>
        <v>12886.949999999995</v>
      </c>
      <c r="G332" s="378">
        <f t="shared" si="100"/>
        <v>86653.05</v>
      </c>
      <c r="H332" s="380">
        <f t="shared" si="101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99"/>
        <v>13051.947999999999</v>
      </c>
      <c r="G333" s="378">
        <f t="shared" si="100"/>
        <v>103078.052</v>
      </c>
      <c r="H333" s="380">
        <f t="shared" si="101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99"/>
        <v>13089.952800000001</v>
      </c>
      <c r="G334" s="378">
        <f t="shared" si="100"/>
        <v>106358.0472</v>
      </c>
      <c r="H334" s="380">
        <f t="shared" si="101"/>
        <v>0.12307439958337259</v>
      </c>
      <c r="I334" s="378"/>
    </row>
    <row r="335" spans="1:10" x14ac:dyDescent="0.25">
      <c r="A335" t="s">
        <v>403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99"/>
        <v>13075.699000000004</v>
      </c>
      <c r="G335" s="378">
        <f t="shared" si="100"/>
        <v>94759.300999999992</v>
      </c>
      <c r="H335" s="380">
        <f t="shared" si="101"/>
        <v>0.13798855481215511</v>
      </c>
      <c r="I335" s="378"/>
    </row>
    <row r="336" spans="1:10" ht="15" customHeight="1" x14ac:dyDescent="0.25">
      <c r="A336" t="s">
        <v>406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99"/>
        <v>13867.271999999995</v>
      </c>
      <c r="G336" s="378">
        <f>IF(C336=0, 0,D336*C336)</f>
        <v>86212.728000000003</v>
      </c>
      <c r="H336" s="380">
        <f t="shared" si="101"/>
        <v>0.16084947456946261</v>
      </c>
      <c r="I336" s="378"/>
    </row>
    <row r="337" spans="1:13" x14ac:dyDescent="0.25">
      <c r="A337" t="s">
        <v>414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99"/>
        <v>17083.611900000004</v>
      </c>
      <c r="G337" s="378">
        <f t="shared" si="100"/>
        <v>74235.388099999996</v>
      </c>
      <c r="H337" s="380">
        <f t="shared" si="101"/>
        <v>0.2301276027140485</v>
      </c>
      <c r="I337" s="378"/>
    </row>
    <row r="338" spans="1:13" x14ac:dyDescent="0.25">
      <c r="A338" t="s">
        <v>425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99"/>
        <v>13252.614000000001</v>
      </c>
      <c r="G338" s="378">
        <f t="shared" si="100"/>
        <v>85867.385999999999</v>
      </c>
      <c r="H338" s="380">
        <f t="shared" si="101"/>
        <v>0.15433815581622576</v>
      </c>
      <c r="I338" s="378"/>
    </row>
    <row r="339" spans="1:13" x14ac:dyDescent="0.25">
      <c r="A339" t="s">
        <v>430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99"/>
        <v>10351.611600000004</v>
      </c>
      <c r="G339" s="378">
        <f t="shared" si="100"/>
        <v>95446.388400000011</v>
      </c>
      <c r="H339" s="380">
        <f t="shared" si="101"/>
        <v>0.10845472283998965</v>
      </c>
      <c r="I339" s="378"/>
    </row>
    <row r="340" spans="1:13" x14ac:dyDescent="0.25">
      <c r="A340" t="s">
        <v>454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99"/>
        <v>12307.2804</v>
      </c>
      <c r="G340" s="378">
        <f t="shared" si="100"/>
        <v>80602.719600000011</v>
      </c>
      <c r="H340" s="380">
        <f t="shared" si="101"/>
        <v>0.1526906345229572</v>
      </c>
      <c r="I340" s="378"/>
    </row>
    <row r="341" spans="1:13" x14ac:dyDescent="0.25">
      <c r="A341" t="s">
        <v>456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99"/>
        <v>11781.900000000011</v>
      </c>
      <c r="G341" s="378">
        <f t="shared" si="100"/>
        <v>80387.100000000006</v>
      </c>
      <c r="H341" s="380">
        <f t="shared" si="101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2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3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2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3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2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3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2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3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2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3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2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3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2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3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2"/>
        <v>2477</v>
      </c>
      <c r="G359" s="640" t="s">
        <v>139</v>
      </c>
      <c r="H359" s="541">
        <v>500</v>
      </c>
      <c r="I359" s="524">
        <v>15.95</v>
      </c>
      <c r="J359" s="525">
        <v>0.15</v>
      </c>
      <c r="K359" s="622">
        <f t="shared" si="103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2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3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2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3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2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3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2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3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2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3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2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3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2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3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2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3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2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3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2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3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2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3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2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3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2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3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2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3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2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3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2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3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2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3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2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3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2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3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2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3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2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2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2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4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2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4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2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4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2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4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2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4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2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4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2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4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2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4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2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4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2"/>
        <v>6052</v>
      </c>
      <c r="G391" s="641" t="s">
        <v>183</v>
      </c>
      <c r="H391" s="541">
        <v>500</v>
      </c>
      <c r="I391" s="524">
        <v>7.73</v>
      </c>
      <c r="J391" s="525">
        <v>0.08</v>
      </c>
      <c r="K391" s="525">
        <f t="shared" si="104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2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4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2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4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2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4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2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2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2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5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2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5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2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5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2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5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2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5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2"/>
        <v>7920</v>
      </c>
      <c r="G402" s="640" t="s">
        <v>185</v>
      </c>
      <c r="H402" s="541">
        <v>400</v>
      </c>
      <c r="I402" s="524">
        <v>9.09</v>
      </c>
      <c r="J402" s="525">
        <v>0.1</v>
      </c>
      <c r="K402" s="525">
        <f t="shared" si="105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2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5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2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5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2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5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2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5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2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5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2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5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2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5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2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5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2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5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2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5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2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5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2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5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2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5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6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5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6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5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6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5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6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5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6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5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6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5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6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5"/>
        <v>5606.85</v>
      </c>
      <c r="L422" s="523"/>
      <c r="M422" s="525"/>
    </row>
    <row r="423" spans="1:13" ht="30" x14ac:dyDescent="0.25">
      <c r="A423" s="523"/>
      <c r="B423" s="642" t="s">
        <v>181</v>
      </c>
      <c r="C423" s="523">
        <v>3000</v>
      </c>
      <c r="D423" s="524">
        <v>7.55</v>
      </c>
      <c r="E423" s="525">
        <v>0</v>
      </c>
      <c r="F423" s="525">
        <f t="shared" si="106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5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6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5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6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5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6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5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6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5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6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5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6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5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6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5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6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5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6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5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6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5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6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5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6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5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6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5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6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5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6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5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6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5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6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5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6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5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6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5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6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5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6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5"/>
        <v>6434.86</v>
      </c>
      <c r="L444" s="523"/>
      <c r="M444" s="525"/>
    </row>
    <row r="445" spans="1:13" ht="45" x14ac:dyDescent="0.25">
      <c r="A445" s="523"/>
      <c r="B445" s="642" t="s">
        <v>195</v>
      </c>
      <c r="C445" s="523">
        <v>650</v>
      </c>
      <c r="D445" s="524">
        <v>11.22</v>
      </c>
      <c r="E445" s="525">
        <v>0</v>
      </c>
      <c r="F445" s="525">
        <f t="shared" si="106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5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6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5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6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5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6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5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6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5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6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5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6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5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6"/>
        <v>1040</v>
      </c>
      <c r="G452" s="644" t="s">
        <v>222</v>
      </c>
      <c r="H452" s="541">
        <v>500</v>
      </c>
      <c r="I452" s="524">
        <v>13.91</v>
      </c>
      <c r="J452" s="525">
        <v>0.15</v>
      </c>
      <c r="K452" s="525">
        <f t="shared" si="105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6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5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6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5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6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5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6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5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6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6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6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6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6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200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6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6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6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6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6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6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6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204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6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6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6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6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6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6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207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6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6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6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6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6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7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7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7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7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7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7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7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7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7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7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7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7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7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7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7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7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8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7"/>
        <v>32844.239999999998</v>
      </c>
      <c r="G496" s="641" t="s">
        <v>231</v>
      </c>
      <c r="H496" s="541">
        <v>500</v>
      </c>
      <c r="I496" s="524">
        <v>15.48</v>
      </c>
      <c r="J496" s="525">
        <v>0.17</v>
      </c>
      <c r="K496" s="525">
        <f t="shared" si="108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7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8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7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8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7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8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7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8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7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8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7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8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7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8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7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8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7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8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7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8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7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8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7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8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7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8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7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8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7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8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7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8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7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8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7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8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7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8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7"/>
        <v>7325</v>
      </c>
      <c r="G516" s="646" t="s">
        <v>264</v>
      </c>
      <c r="H516" s="541">
        <v>500</v>
      </c>
      <c r="I516" s="524">
        <v>16.18</v>
      </c>
      <c r="J516" s="525">
        <v>0.18</v>
      </c>
      <c r="K516" s="525">
        <f t="shared" si="108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7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8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7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8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7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8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7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8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7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8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7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8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7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8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7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8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7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8"/>
        <v>8359.82</v>
      </c>
      <c r="L525" s="647" t="s">
        <v>277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7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8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7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8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7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8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7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8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7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8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7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8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7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8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7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8"/>
        <v>4583.8999999999996</v>
      </c>
      <c r="L533" s="523"/>
      <c r="M533" s="525"/>
    </row>
    <row r="534" spans="1:13" ht="30" x14ac:dyDescent="0.25">
      <c r="A534" s="629" t="s">
        <v>287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7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8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7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8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7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8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7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8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7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8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7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8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7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8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7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8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7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8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7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8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09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8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09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8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09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8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09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8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09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8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09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8"/>
        <v>14279.69</v>
      </c>
      <c r="L549" s="523"/>
      <c r="M549" s="525"/>
    </row>
    <row r="550" spans="1:13" ht="30" x14ac:dyDescent="0.25">
      <c r="A550" s="629" t="s">
        <v>303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09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8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09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8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09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8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09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8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09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8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09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8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09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8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09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8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09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8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8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8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10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8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10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8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10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8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10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8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10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8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10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8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10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8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10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8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10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8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10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8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8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1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8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1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8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1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8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1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8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1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8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1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8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1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8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1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8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1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8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1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1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1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1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1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1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1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1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196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1001" priority="108">
      <formula>F97&gt;0</formula>
    </cfRule>
    <cfRule type="expression" dxfId="1000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999" priority="101">
      <formula>F90&gt;0</formula>
    </cfRule>
    <cfRule type="expression" dxfId="998" priority="102">
      <formula>F90&lt;0</formula>
    </cfRule>
  </conditionalFormatting>
  <conditionalFormatting sqref="H90:H96">
    <cfRule type="expression" dxfId="997" priority="97">
      <formula>H90&gt;0</formula>
    </cfRule>
    <cfRule type="expression" dxfId="996" priority="98">
      <formula>H90&lt;0</formula>
    </cfRule>
  </conditionalFormatting>
  <conditionalFormatting sqref="Q8">
    <cfRule type="expression" dxfId="995" priority="83">
      <formula>Q8&gt;0</formula>
    </cfRule>
    <cfRule type="expression" dxfId="994" priority="84">
      <formula>Q8&lt;0</formula>
    </cfRule>
  </conditionalFormatting>
  <conditionalFormatting sqref="Q7">
    <cfRule type="expression" dxfId="993" priority="85">
      <formula>Q7&gt;0</formula>
    </cfRule>
    <cfRule type="expression" dxfId="992" priority="86">
      <formula>Q7&lt;0</formula>
    </cfRule>
  </conditionalFormatting>
  <conditionalFormatting sqref="F198:F204">
    <cfRule type="expression" dxfId="991" priority="57">
      <formula>F198&gt;0</formula>
    </cfRule>
    <cfRule type="expression" dxfId="990" priority="58">
      <formula>F198&lt;0</formula>
    </cfRule>
  </conditionalFormatting>
  <conditionalFormatting sqref="F123:F141 H123:H141">
    <cfRule type="expression" dxfId="989" priority="79">
      <formula>F123&gt;0</formula>
    </cfRule>
    <cfRule type="expression" dxfId="988" priority="80">
      <formula>F123&lt;0</formula>
    </cfRule>
  </conditionalFormatting>
  <conditionalFormatting sqref="F116:F122">
    <cfRule type="expression" dxfId="987" priority="77">
      <formula>F116&gt;0</formula>
    </cfRule>
    <cfRule type="expression" dxfId="986" priority="78">
      <formula>F116&lt;0</formula>
    </cfRule>
  </conditionalFormatting>
  <conditionalFormatting sqref="H116:H122">
    <cfRule type="expression" dxfId="985" priority="75">
      <formula>H116&gt;0</formula>
    </cfRule>
    <cfRule type="expression" dxfId="984" priority="76">
      <formula>H116&lt;0</formula>
    </cfRule>
  </conditionalFormatting>
  <conditionalFormatting sqref="F149:F167 H149:H167">
    <cfRule type="expression" dxfId="983" priority="73">
      <formula>F149&gt;0</formula>
    </cfRule>
    <cfRule type="expression" dxfId="982" priority="74">
      <formula>F149&lt;0</formula>
    </cfRule>
  </conditionalFormatting>
  <conditionalFormatting sqref="F142:F148">
    <cfRule type="expression" dxfId="981" priority="71">
      <formula>F142&gt;0</formula>
    </cfRule>
    <cfRule type="expression" dxfId="980" priority="72">
      <formula>F142&lt;0</formula>
    </cfRule>
  </conditionalFormatting>
  <conditionalFormatting sqref="H142:H148">
    <cfRule type="expression" dxfId="979" priority="69">
      <formula>H142&gt;0</formula>
    </cfRule>
    <cfRule type="expression" dxfId="978" priority="70">
      <formula>H142&lt;0</formula>
    </cfRule>
  </conditionalFormatting>
  <conditionalFormatting sqref="F175:F192 H175:H192">
    <cfRule type="expression" dxfId="977" priority="67">
      <formula>F175&gt;0</formula>
    </cfRule>
    <cfRule type="expression" dxfId="976" priority="68">
      <formula>F175&lt;0</formula>
    </cfRule>
  </conditionalFormatting>
  <conditionalFormatting sqref="F168:F174">
    <cfRule type="expression" dxfId="975" priority="65">
      <formula>F168&gt;0</formula>
    </cfRule>
    <cfRule type="expression" dxfId="974" priority="66">
      <formula>F168&lt;0</formula>
    </cfRule>
  </conditionalFormatting>
  <conditionalFormatting sqref="H168:H174">
    <cfRule type="expression" dxfId="973" priority="63">
      <formula>H168&gt;0</formula>
    </cfRule>
    <cfRule type="expression" dxfId="972" priority="64">
      <formula>H168&lt;0</formula>
    </cfRule>
  </conditionalFormatting>
  <conditionalFormatting sqref="F193:F197 H193:H197">
    <cfRule type="expression" dxfId="971" priority="61">
      <formula>F193&gt;0</formula>
    </cfRule>
    <cfRule type="expression" dxfId="970" priority="62">
      <formula>F193&lt;0</formula>
    </cfRule>
  </conditionalFormatting>
  <conditionalFormatting sqref="F205:F220 H205:H220">
    <cfRule type="expression" dxfId="969" priority="59">
      <formula>F205&gt;0</formula>
    </cfRule>
    <cfRule type="expression" dxfId="968" priority="60">
      <formula>F205&lt;0</formula>
    </cfRule>
  </conditionalFormatting>
  <conditionalFormatting sqref="H198:H204">
    <cfRule type="expression" dxfId="967" priority="55">
      <formula>H198&gt;0</formula>
    </cfRule>
    <cfRule type="expression" dxfId="966" priority="56">
      <formula>H198&lt;0</formula>
    </cfRule>
  </conditionalFormatting>
  <conditionalFormatting sqref="F221 H221">
    <cfRule type="expression" dxfId="965" priority="53">
      <formula>F221&gt;0</formula>
    </cfRule>
    <cfRule type="expression" dxfId="964" priority="54">
      <formula>F221&lt;0</formula>
    </cfRule>
  </conditionalFormatting>
  <conditionalFormatting sqref="F222:F226 H222:H226">
    <cfRule type="expression" dxfId="963" priority="51">
      <formula>F222&gt;0</formula>
    </cfRule>
    <cfRule type="expression" dxfId="962" priority="52">
      <formula>F222&lt;0</formula>
    </cfRule>
  </conditionalFormatting>
  <conditionalFormatting sqref="F234:F249 H234:H249">
    <cfRule type="expression" dxfId="961" priority="49">
      <formula>F234&gt;0</formula>
    </cfRule>
    <cfRule type="expression" dxfId="960" priority="50">
      <formula>F234&lt;0</formula>
    </cfRule>
  </conditionalFormatting>
  <conditionalFormatting sqref="F227:F233">
    <cfRule type="expression" dxfId="959" priority="47">
      <formula>F227&gt;0</formula>
    </cfRule>
    <cfRule type="expression" dxfId="958" priority="48">
      <formula>F227&lt;0</formula>
    </cfRule>
  </conditionalFormatting>
  <conditionalFormatting sqref="H227:H233">
    <cfRule type="expression" dxfId="957" priority="45">
      <formula>H227&gt;0</formula>
    </cfRule>
    <cfRule type="expression" dxfId="956" priority="46">
      <formula>H227&lt;0</formula>
    </cfRule>
  </conditionalFormatting>
  <conditionalFormatting sqref="F251:F256 H251:H256">
    <cfRule type="expression" dxfId="955" priority="43">
      <formula>F251&gt;0</formula>
    </cfRule>
    <cfRule type="expression" dxfId="954" priority="44">
      <formula>F251&lt;0</formula>
    </cfRule>
  </conditionalFormatting>
  <conditionalFormatting sqref="F257 H257">
    <cfRule type="expression" dxfId="953" priority="41">
      <formula>F257&gt;0</formula>
    </cfRule>
    <cfRule type="expression" dxfId="952" priority="42">
      <formula>F257&lt;0</formula>
    </cfRule>
  </conditionalFormatting>
  <conditionalFormatting sqref="F258:F262 H258:H262">
    <cfRule type="expression" dxfId="951" priority="39">
      <formula>F258&gt;0</formula>
    </cfRule>
    <cfRule type="expression" dxfId="950" priority="40">
      <formula>F258&lt;0</formula>
    </cfRule>
  </conditionalFormatting>
  <conditionalFormatting sqref="F270:F285 H270:H285">
    <cfRule type="expression" dxfId="949" priority="37">
      <formula>F270&gt;0</formula>
    </cfRule>
    <cfRule type="expression" dxfId="948" priority="38">
      <formula>F270&lt;0</formula>
    </cfRule>
  </conditionalFormatting>
  <conditionalFormatting sqref="F263:F269">
    <cfRule type="expression" dxfId="947" priority="35">
      <formula>F263&gt;0</formula>
    </cfRule>
    <cfRule type="expression" dxfId="946" priority="36">
      <formula>F263&lt;0</formula>
    </cfRule>
  </conditionalFormatting>
  <conditionalFormatting sqref="H263:H269">
    <cfRule type="expression" dxfId="945" priority="33">
      <formula>H263&gt;0</formula>
    </cfRule>
    <cfRule type="expression" dxfId="944" priority="34">
      <formula>H263&lt;0</formula>
    </cfRule>
  </conditionalFormatting>
  <conditionalFormatting sqref="F286:F291 H286:H291">
    <cfRule type="expression" dxfId="943" priority="31">
      <formula>F286&gt;0</formula>
    </cfRule>
    <cfRule type="expression" dxfId="942" priority="32">
      <formula>F286&lt;0</formula>
    </cfRule>
  </conditionalFormatting>
  <conditionalFormatting sqref="F292 H292">
    <cfRule type="expression" dxfId="941" priority="29">
      <formula>F292&gt;0</formula>
    </cfRule>
    <cfRule type="expression" dxfId="940" priority="30">
      <formula>F292&lt;0</formula>
    </cfRule>
  </conditionalFormatting>
  <conditionalFormatting sqref="F293:F297 H293:H297">
    <cfRule type="expression" dxfId="939" priority="27">
      <formula>F293&gt;0</formula>
    </cfRule>
    <cfRule type="expression" dxfId="938" priority="28">
      <formula>F293&lt;0</formula>
    </cfRule>
  </conditionalFormatting>
  <conditionalFormatting sqref="F305:F320 H305:H320">
    <cfRule type="expression" dxfId="937" priority="25">
      <formula>F305&gt;0</formula>
    </cfRule>
    <cfRule type="expression" dxfId="936" priority="26">
      <formula>F305&lt;0</formula>
    </cfRule>
  </conditionalFormatting>
  <conditionalFormatting sqref="F298:F304">
    <cfRule type="expression" dxfId="935" priority="23">
      <formula>F298&gt;0</formula>
    </cfRule>
    <cfRule type="expression" dxfId="934" priority="24">
      <formula>F298&lt;0</formula>
    </cfRule>
  </conditionalFormatting>
  <conditionalFormatting sqref="H298:H304">
    <cfRule type="expression" dxfId="933" priority="21">
      <formula>H298&gt;0</formula>
    </cfRule>
    <cfRule type="expression" dxfId="932" priority="22">
      <formula>H298&lt;0</formula>
    </cfRule>
  </conditionalFormatting>
  <conditionalFormatting sqref="M349">
    <cfRule type="expression" dxfId="931" priority="19">
      <formula>M349&gt;0</formula>
    </cfRule>
    <cfRule type="expression" dxfId="930" priority="20">
      <formula>M349&lt;0</formula>
    </cfRule>
  </conditionalFormatting>
  <conditionalFormatting sqref="F72:F86 H72:H86">
    <cfRule type="expression" dxfId="929" priority="17">
      <formula>F72&gt;0</formula>
    </cfRule>
    <cfRule type="expression" dxfId="928" priority="18">
      <formula>F72&lt;0</formula>
    </cfRule>
  </conditionalFormatting>
  <conditionalFormatting sqref="F60:F71">
    <cfRule type="expression" dxfId="927" priority="15">
      <formula>F60&gt;0</formula>
    </cfRule>
    <cfRule type="expression" dxfId="926" priority="16">
      <formula>F60&lt;0</formula>
    </cfRule>
  </conditionalFormatting>
  <conditionalFormatting sqref="H60:H71">
    <cfRule type="expression" dxfId="925" priority="13">
      <formula>H60&gt;0</formula>
    </cfRule>
    <cfRule type="expression" dxfId="924" priority="14">
      <formula>H60&lt;0</formula>
    </cfRule>
  </conditionalFormatting>
  <conditionalFormatting sqref="F54:F59 H54:H59">
    <cfRule type="expression" dxfId="923" priority="11">
      <formula>F54&gt;0</formula>
    </cfRule>
    <cfRule type="expression" dxfId="922" priority="12">
      <formula>F54&lt;0</formula>
    </cfRule>
  </conditionalFormatting>
  <conditionalFormatting sqref="J56:K56">
    <cfRule type="expression" dxfId="921" priority="9">
      <formula>J56&gt;0</formula>
    </cfRule>
    <cfRule type="expression" dxfId="920" priority="10">
      <formula>J56&lt;0</formula>
    </cfRule>
  </conditionalFormatting>
  <conditionalFormatting sqref="J57:K63 K62:K86">
    <cfRule type="expression" dxfId="919" priority="7">
      <formula>J57&gt;0</formula>
    </cfRule>
    <cfRule type="expression" dxfId="918" priority="8">
      <formula>J57&lt;0</formula>
    </cfRule>
  </conditionalFormatting>
  <conditionalFormatting sqref="L56:L76">
    <cfRule type="expression" dxfId="917" priority="5">
      <formula>L56&gt;0</formula>
    </cfRule>
    <cfRule type="expression" dxfId="916" priority="6">
      <formula>L56&lt;0</formula>
    </cfRule>
  </conditionalFormatting>
  <conditionalFormatting sqref="L77:L86">
    <cfRule type="expression" dxfId="915" priority="3">
      <formula>L77&gt;0</formula>
    </cfRule>
    <cfRule type="expression" dxfId="914" priority="4">
      <formula>L77&lt;0</formula>
    </cfRule>
  </conditionalFormatting>
  <conditionalFormatting sqref="Q10">
    <cfRule type="expression" dxfId="913" priority="1">
      <formula>Q10&gt;0</formula>
    </cfRule>
    <cfRule type="expression" dxfId="912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3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7" t="s">
        <v>368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31.859253333333331</v>
      </c>
      <c r="T3" s="1" t="s">
        <v>488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 t="s">
        <v>535</v>
      </c>
      <c r="M4" s="3"/>
      <c r="N4" s="4"/>
      <c r="O4" s="11" t="s">
        <v>66</v>
      </c>
      <c r="Q4" s="491">
        <v>30.43</v>
      </c>
      <c r="R4" s="498">
        <v>1.7000000000000001E-2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45645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47788.88</v>
      </c>
      <c r="T6" t="s">
        <v>563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-395.91000000000349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-2143.8799999999974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-4.4861482420178032E-2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/>
      <c r="C14" s="4"/>
      <c r="D14" s="238"/>
      <c r="E14" s="3"/>
      <c r="F14" s="3"/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/>
      <c r="C15" s="4"/>
      <c r="D15" s="238"/>
      <c r="E15" s="3"/>
      <c r="F15" s="3"/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75.900000000000006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76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534</v>
      </c>
      <c r="K34" s="227" t="s">
        <v>150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388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415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432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W39" s="132">
        <v>42779</v>
      </c>
      <c r="X39" s="10" t="s">
        <v>386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389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O40" s="704" t="s">
        <v>78</v>
      </c>
      <c r="P40" s="704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457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466</v>
      </c>
      <c r="J41" s="40"/>
      <c r="K41" s="40"/>
      <c r="O41" s="82">
        <v>1.1000000000000001</v>
      </c>
      <c r="P41" s="82">
        <f>O41*$Q$4</f>
        <v>33.472999999999999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356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O42" s="82">
        <v>1.0900000000000001</v>
      </c>
      <c r="P42" s="82">
        <f t="shared" ref="P42:P61" si="9">O42*$Q$4</f>
        <v>33.168700000000001</v>
      </c>
      <c r="Q42" s="2"/>
      <c r="T42" s="90" t="s">
        <v>112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491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32.864400000000003</v>
      </c>
      <c r="Q43" s="2"/>
      <c r="T43" s="127" t="s">
        <v>97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497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32.560099999999998</v>
      </c>
      <c r="Q44" s="2"/>
      <c r="T44" s="92" t="s">
        <v>98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32.255800000000001</v>
      </c>
      <c r="Q45" s="2"/>
      <c r="T45" s="92" t="s">
        <v>99</v>
      </c>
      <c r="U45" s="87" t="s">
        <v>128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29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31.951499999999999</v>
      </c>
      <c r="Q46" s="2"/>
      <c r="T46" s="92" t="s">
        <v>100</v>
      </c>
      <c r="U46" s="87" t="s">
        <v>128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29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31.647200000000002</v>
      </c>
      <c r="Q47" s="2"/>
      <c r="T47" s="92" t="s">
        <v>101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29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31.3429</v>
      </c>
      <c r="Q48" s="2"/>
      <c r="T48" s="92" t="s">
        <v>102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8">C49*(E49-D49)</f>
        <v>-3764.9999999999968</v>
      </c>
      <c r="G49" s="40">
        <f t="shared" ref="G49" si="29">D49*C49</f>
        <v>47790</v>
      </c>
      <c r="H49" s="229">
        <f t="shared" ref="H49" si="30">(E49-D49)/D49</f>
        <v>-7.878217200251092E-2</v>
      </c>
      <c r="I49" s="40"/>
      <c r="J49" s="40"/>
      <c r="K49" s="40">
        <v>-2016</v>
      </c>
      <c r="O49" s="82">
        <v>1.02</v>
      </c>
      <c r="P49" s="82">
        <f t="shared" si="9"/>
        <v>31.038599999999999</v>
      </c>
      <c r="Q49" s="2"/>
      <c r="T49" s="92" t="s">
        <v>103</v>
      </c>
      <c r="U49" s="87" t="s">
        <v>551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30.734300000000001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30.43</v>
      </c>
      <c r="Q51" s="2"/>
      <c r="T51" s="92" t="s">
        <v>104</v>
      </c>
      <c r="U51" s="87" t="s">
        <v>658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B52" s="10"/>
      <c r="C52" s="10"/>
      <c r="D52" s="40"/>
      <c r="E52" s="40"/>
      <c r="F52" s="40"/>
      <c r="G52" s="10"/>
      <c r="H52" s="10"/>
      <c r="I52" s="40"/>
      <c r="J52" s="40"/>
      <c r="K52" s="40"/>
      <c r="O52" s="82">
        <v>0.99</v>
      </c>
      <c r="P52" s="82">
        <f t="shared" si="9"/>
        <v>30.125699999999998</v>
      </c>
      <c r="Q52" s="2"/>
      <c r="T52" s="92" t="s">
        <v>105</v>
      </c>
      <c r="U52" s="87" t="s">
        <v>659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O53" s="82">
        <v>0.98</v>
      </c>
      <c r="P53" s="82">
        <f t="shared" si="9"/>
        <v>29.821400000000001</v>
      </c>
      <c r="Q53" s="2"/>
      <c r="T53" s="92" t="s">
        <v>106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O54" s="82">
        <v>0.97</v>
      </c>
      <c r="P54" s="82">
        <f t="shared" si="9"/>
        <v>29.517099999999999</v>
      </c>
      <c r="T54" s="92" t="s">
        <v>109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O55" s="82">
        <v>0.96</v>
      </c>
      <c r="P55" s="82">
        <f t="shared" si="9"/>
        <v>29.212799999999998</v>
      </c>
      <c r="T55" s="92" t="s">
        <v>107</v>
      </c>
      <c r="U55" s="87" t="s">
        <v>660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O56" s="82">
        <v>0.95</v>
      </c>
      <c r="P56" s="82">
        <f t="shared" si="9"/>
        <v>28.9085</v>
      </c>
      <c r="T56" s="92" t="s">
        <v>110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O57" s="82">
        <v>0.94</v>
      </c>
      <c r="P57" s="82">
        <f t="shared" si="9"/>
        <v>28.604199999999999</v>
      </c>
      <c r="T57" s="92" t="s">
        <v>111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O58" s="82">
        <v>0.93</v>
      </c>
      <c r="P58" s="82">
        <f t="shared" si="9"/>
        <v>28.299900000000001</v>
      </c>
      <c r="T58" s="92" t="s">
        <v>108</v>
      </c>
      <c r="U58" s="87" t="s">
        <v>592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27.9956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27.691300000000002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27.387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1">C65*(E65-D65)</f>
        <v>-33.800000000000097</v>
      </c>
      <c r="G65" s="378">
        <f t="shared" ref="G65:G78" si="32">D65*C65</f>
        <v>3591.7999999999997</v>
      </c>
      <c r="H65" s="379">
        <f t="shared" ref="H65:H78" si="33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1"/>
        <v>85.200000000000387</v>
      </c>
      <c r="G66" s="378">
        <f t="shared" si="32"/>
        <v>3591.7999999999997</v>
      </c>
      <c r="H66" s="379">
        <f t="shared" si="33"/>
        <v>2.3720697143493622E-2</v>
      </c>
      <c r="I66" s="378"/>
      <c r="O66" s="11" t="s">
        <v>762</v>
      </c>
      <c r="S66" s="23" t="s">
        <v>761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1"/>
        <v>-136.80000000000021</v>
      </c>
      <c r="G67" s="378">
        <f t="shared" si="32"/>
        <v>3591.7999999999997</v>
      </c>
      <c r="H67" s="379">
        <f t="shared" si="33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1"/>
        <v>-147.56000000000029</v>
      </c>
      <c r="G68" s="378">
        <f t="shared" si="32"/>
        <v>4959.3599999999997</v>
      </c>
      <c r="H68" s="379">
        <f t="shared" si="33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1"/>
        <v>-49.199999999999591</v>
      </c>
      <c r="G69" s="378">
        <f t="shared" si="32"/>
        <v>8408.4</v>
      </c>
      <c r="H69" s="379">
        <f t="shared" si="33"/>
        <v>-5.8512915655772315E-3</v>
      </c>
      <c r="I69" s="378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1"/>
        <v>109.60000000000036</v>
      </c>
      <c r="G70" s="378">
        <f t="shared" si="32"/>
        <v>6994.4000000000005</v>
      </c>
      <c r="H70" s="379">
        <f t="shared" si="33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1"/>
        <v>-6.4000000000007162</v>
      </c>
      <c r="G71" s="378">
        <f t="shared" si="32"/>
        <v>6994.4000000000005</v>
      </c>
      <c r="H71" s="379">
        <f t="shared" si="33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1"/>
        <v>166.71999999999912</v>
      </c>
      <c r="G72" s="378">
        <f t="shared" si="32"/>
        <v>5554.880000000001</v>
      </c>
      <c r="H72" s="379">
        <f t="shared" si="33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1"/>
        <v>218.88000000000034</v>
      </c>
      <c r="G73" s="378">
        <f t="shared" si="32"/>
        <v>5544.32</v>
      </c>
      <c r="H73" s="379">
        <f t="shared" si="33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1"/>
        <v>298.88000000000034</v>
      </c>
      <c r="G74" s="378">
        <f t="shared" si="32"/>
        <v>5544.32</v>
      </c>
      <c r="H74" s="379">
        <f t="shared" si="33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1"/>
        <v>363.18000000000006</v>
      </c>
      <c r="G75" s="378">
        <f t="shared" si="32"/>
        <v>1845.42</v>
      </c>
      <c r="H75" s="379">
        <f t="shared" si="33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1"/>
        <v>329.12000000000035</v>
      </c>
      <c r="G76" s="378">
        <f t="shared" si="32"/>
        <v>5384.48</v>
      </c>
      <c r="H76" s="379">
        <f t="shared" si="33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1"/>
        <v>169.60000000000036</v>
      </c>
      <c r="G77" s="378">
        <f t="shared" si="32"/>
        <v>5384</v>
      </c>
      <c r="H77" s="379">
        <f t="shared" si="33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1"/>
        <v>474.7199999999998</v>
      </c>
      <c r="G78" s="378">
        <f t="shared" si="32"/>
        <v>5384.48</v>
      </c>
      <c r="H78" s="379">
        <f t="shared" si="33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34">C79*(E79-D79)</f>
        <v>588.31999999999994</v>
      </c>
      <c r="G79" s="378">
        <f t="shared" ref="G79:G92" si="35">D79*C79</f>
        <v>5384.48</v>
      </c>
      <c r="H79" s="379">
        <f t="shared" ref="H79:H121" si="36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34"/>
        <v>673.12000000000012</v>
      </c>
      <c r="G80" s="378">
        <f t="shared" si="35"/>
        <v>5384.48</v>
      </c>
      <c r="H80" s="379">
        <f t="shared" si="36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34"/>
        <v>597.9200000000003</v>
      </c>
      <c r="G81" s="378">
        <f t="shared" si="35"/>
        <v>5384.48</v>
      </c>
      <c r="H81" s="379">
        <f t="shared" si="36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34"/>
        <v>489.12000000000035</v>
      </c>
      <c r="G82" s="378">
        <f t="shared" si="35"/>
        <v>5384.48</v>
      </c>
      <c r="H82" s="379">
        <f t="shared" si="36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34"/>
        <v>409.12000000000035</v>
      </c>
      <c r="G83" s="378">
        <f t="shared" si="35"/>
        <v>5384.48</v>
      </c>
      <c r="H83" s="379">
        <f t="shared" si="36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34"/>
        <v>439.52</v>
      </c>
      <c r="G84" s="378">
        <f t="shared" si="35"/>
        <v>5384.48</v>
      </c>
      <c r="H84" s="379">
        <f t="shared" si="36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34"/>
        <v>369.12000000000035</v>
      </c>
      <c r="G85" s="378">
        <f t="shared" si="35"/>
        <v>5384.48</v>
      </c>
      <c r="H85" s="379">
        <f t="shared" si="36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34"/>
        <v>341.92000000000007</v>
      </c>
      <c r="G86" s="378">
        <f t="shared" si="35"/>
        <v>5384.48</v>
      </c>
      <c r="H86" s="379">
        <f t="shared" si="36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34"/>
        <v>442.72000000000048</v>
      </c>
      <c r="G87" s="378">
        <f t="shared" si="35"/>
        <v>5384.48</v>
      </c>
      <c r="H87" s="379">
        <f t="shared" si="36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34"/>
        <v>90.619999999999621</v>
      </c>
      <c r="G88" s="378">
        <f t="shared" si="35"/>
        <v>7821.38</v>
      </c>
      <c r="H88" s="379">
        <f t="shared" si="36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34"/>
        <v>51.480000000000103</v>
      </c>
      <c r="G89" s="378">
        <f t="shared" si="35"/>
        <v>8837.92</v>
      </c>
      <c r="H89" s="379">
        <f t="shared" si="36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34"/>
        <v>-376.80000000000007</v>
      </c>
      <c r="G90" s="378">
        <f t="shared" si="35"/>
        <v>10159.799999999999</v>
      </c>
      <c r="H90" s="379">
        <f t="shared" si="36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34"/>
        <v>-388.00000000000239</v>
      </c>
      <c r="G91" s="378">
        <f t="shared" si="35"/>
        <v>13408.000000000002</v>
      </c>
      <c r="H91" s="379">
        <f t="shared" si="36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34"/>
        <v>-262.9400000000004</v>
      </c>
      <c r="G92" s="378">
        <f t="shared" si="35"/>
        <v>13354.939999999999</v>
      </c>
      <c r="H92" s="379">
        <f t="shared" si="36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34"/>
        <v>-514.93999999999858</v>
      </c>
      <c r="G93" s="378">
        <f t="shared" ref="G93:G98" si="37">D93*C93</f>
        <v>13354.939999999999</v>
      </c>
      <c r="H93" s="379">
        <f t="shared" si="36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34"/>
        <v>-582.93999999999892</v>
      </c>
      <c r="G94" s="378">
        <f t="shared" si="37"/>
        <v>16522.939999999999</v>
      </c>
      <c r="H94" s="379">
        <f t="shared" si="36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34"/>
        <v>-292.93999999999801</v>
      </c>
      <c r="G95" s="378">
        <f t="shared" si="37"/>
        <v>16522.939999999999</v>
      </c>
      <c r="H95" s="379">
        <f t="shared" si="36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34"/>
        <v>-217.93999999999869</v>
      </c>
      <c r="G96" s="378">
        <f t="shared" si="37"/>
        <v>16522.939999999999</v>
      </c>
      <c r="H96" s="379">
        <f t="shared" si="36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34"/>
        <v>-92.93999999999869</v>
      </c>
      <c r="G97" s="378">
        <f t="shared" si="37"/>
        <v>16522.939999999999</v>
      </c>
      <c r="H97" s="379">
        <f t="shared" si="36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34"/>
        <v>-397.93999999999841</v>
      </c>
      <c r="G98" s="378">
        <f t="shared" si="37"/>
        <v>16522.939999999999</v>
      </c>
      <c r="H98" s="379">
        <f t="shared" si="36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34"/>
        <v>-27.939999999997411</v>
      </c>
      <c r="G99" s="378">
        <f t="shared" ref="G99:G121" si="38">D99*C99</f>
        <v>16522.939999999999</v>
      </c>
      <c r="H99" s="379">
        <f t="shared" si="36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34"/>
        <v>-142.9399999999994</v>
      </c>
      <c r="G100" s="378">
        <f t="shared" si="38"/>
        <v>16522.939999999999</v>
      </c>
      <c r="H100" s="379">
        <f t="shared" si="36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34"/>
        <v>-357.93999999999926</v>
      </c>
      <c r="G101" s="378">
        <f t="shared" si="38"/>
        <v>16522.939999999999</v>
      </c>
      <c r="H101" s="379">
        <f t="shared" si="36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34"/>
        <v>-442.94000000000011</v>
      </c>
      <c r="G102" s="378">
        <f t="shared" si="38"/>
        <v>16522.939999999999</v>
      </c>
      <c r="H102" s="379">
        <f t="shared" si="36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34"/>
        <v>-542.93999999999801</v>
      </c>
      <c r="G103" s="378">
        <f t="shared" si="38"/>
        <v>16522.939999999999</v>
      </c>
      <c r="H103" s="379">
        <f t="shared" si="36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34"/>
        <v>-224.94000000000014</v>
      </c>
      <c r="G104" s="378">
        <f t="shared" si="38"/>
        <v>16474.939999999999</v>
      </c>
      <c r="H104" s="379">
        <f t="shared" si="36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34"/>
        <v>-139.93999999999929</v>
      </c>
      <c r="G105" s="378">
        <f t="shared" si="38"/>
        <v>16474.939999999999</v>
      </c>
      <c r="H105" s="379">
        <f t="shared" si="36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34"/>
        <v>-847.93799999999919</v>
      </c>
      <c r="G106" s="378">
        <f t="shared" si="38"/>
        <v>19639.937999999998</v>
      </c>
      <c r="H106" s="379">
        <f t="shared" si="36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34"/>
        <v>-833.93799999999771</v>
      </c>
      <c r="G107" s="378">
        <f t="shared" si="38"/>
        <v>22757.937999999998</v>
      </c>
      <c r="H107" s="379">
        <f t="shared" si="36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34"/>
        <v>-840.93799999999885</v>
      </c>
      <c r="G108" s="378">
        <f t="shared" si="38"/>
        <v>22757.937999999998</v>
      </c>
      <c r="H108" s="379">
        <f t="shared" si="36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34"/>
        <v>-700.9379999999968</v>
      </c>
      <c r="G109" s="378">
        <f t="shared" si="38"/>
        <v>22757.937999999998</v>
      </c>
      <c r="H109" s="379">
        <f t="shared" si="36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34"/>
        <v>-1125.9439999999984</v>
      </c>
      <c r="G110" s="378">
        <f t="shared" si="38"/>
        <v>25837.944</v>
      </c>
      <c r="H110" s="379">
        <f t="shared" si="36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34"/>
        <v>-1205.9439999999995</v>
      </c>
      <c r="G111" s="378">
        <f t="shared" si="38"/>
        <v>25837.944</v>
      </c>
      <c r="H111" s="379">
        <f t="shared" si="36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34"/>
        <v>-965.94399999999894</v>
      </c>
      <c r="G112" s="378">
        <f t="shared" si="38"/>
        <v>25837.944</v>
      </c>
      <c r="H112" s="379">
        <f t="shared" si="36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34"/>
        <v>-1477.9439999999995</v>
      </c>
      <c r="G113" s="378">
        <f t="shared" si="38"/>
        <v>25837.944</v>
      </c>
      <c r="H113" s="379">
        <f t="shared" si="36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34"/>
        <v>-1773.936000000002</v>
      </c>
      <c r="G114" s="378">
        <f t="shared" si="38"/>
        <v>28845.936000000002</v>
      </c>
      <c r="H114" s="379">
        <f t="shared" si="36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34"/>
        <v>-1935.9360000000017</v>
      </c>
      <c r="G115" s="378">
        <f t="shared" si="38"/>
        <v>28845.936000000002</v>
      </c>
      <c r="H115" s="379">
        <f t="shared" si="36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34"/>
        <v>-1989.9360000000006</v>
      </c>
      <c r="G116" s="378">
        <f t="shared" si="38"/>
        <v>28845.936000000002</v>
      </c>
      <c r="H116" s="379">
        <f t="shared" si="36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34"/>
        <v>-2133.9360000000006</v>
      </c>
      <c r="G117" s="378">
        <f t="shared" si="38"/>
        <v>28845.936000000002</v>
      </c>
      <c r="H117" s="379">
        <f t="shared" si="36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34"/>
        <v>-2505.9399999999991</v>
      </c>
      <c r="G118" s="378">
        <f t="shared" si="38"/>
        <v>31785.94</v>
      </c>
      <c r="H118" s="379">
        <f t="shared" si="36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34"/>
        <v>-2945.94</v>
      </c>
      <c r="G119" s="378">
        <f t="shared" si="38"/>
        <v>31785.94</v>
      </c>
      <c r="H119" s="379">
        <f t="shared" si="36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34"/>
        <v>-2415.9399999999991</v>
      </c>
      <c r="G120" s="378">
        <f t="shared" si="38"/>
        <v>31785.94</v>
      </c>
      <c r="H120" s="379">
        <f t="shared" si="36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34"/>
        <v>-2785.94</v>
      </c>
      <c r="G121" s="378">
        <f t="shared" si="38"/>
        <v>31785.94</v>
      </c>
      <c r="H121" s="379">
        <f t="shared" si="36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39">C122*(E122-D122)</f>
        <v>-1145.9399999999996</v>
      </c>
      <c r="G122" s="378">
        <f t="shared" ref="G122:G127" si="40">D122*C122</f>
        <v>31785.94</v>
      </c>
      <c r="H122" s="379">
        <f t="shared" ref="H122:H127" si="41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39"/>
        <v>-520.01099999999701</v>
      </c>
      <c r="G123" s="378">
        <f t="shared" si="40"/>
        <v>28654.010999999999</v>
      </c>
      <c r="H123" s="379">
        <f t="shared" si="41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39"/>
        <v>-783.99999999999886</v>
      </c>
      <c r="G124" s="378">
        <f t="shared" si="40"/>
        <v>31764</v>
      </c>
      <c r="H124" s="379">
        <f t="shared" si="41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39"/>
        <v>350.64000000000027</v>
      </c>
      <c r="G125" s="378">
        <f t="shared" si="40"/>
        <v>15759.359999999999</v>
      </c>
      <c r="H125" s="379">
        <f t="shared" si="41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39"/>
        <v>-398.86400000000037</v>
      </c>
      <c r="G126" s="378">
        <f t="shared" si="40"/>
        <v>25214.864000000001</v>
      </c>
      <c r="H126" s="379">
        <f t="shared" si="41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39"/>
        <v>1280.8600000000013</v>
      </c>
      <c r="G127" s="378">
        <f t="shared" si="40"/>
        <v>12271.14</v>
      </c>
      <c r="H127" s="379">
        <f t="shared" si="41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2">C128*(E128-D128)</f>
        <v>648.8599999999991</v>
      </c>
      <c r="G128" s="378">
        <f t="shared" ref="G128:G134" si="43">D128*C128</f>
        <v>12271.14</v>
      </c>
      <c r="H128" s="379">
        <f t="shared" ref="H128:H134" si="44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2"/>
        <v>1108.8599999999985</v>
      </c>
      <c r="G129" s="378">
        <f t="shared" si="43"/>
        <v>12211.14</v>
      </c>
      <c r="H129" s="379">
        <f t="shared" si="44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2"/>
        <v>1467.7889999999991</v>
      </c>
      <c r="G130" s="378">
        <f t="shared" si="43"/>
        <v>8789.2109999999993</v>
      </c>
      <c r="H130" s="379">
        <f t="shared" si="44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2"/>
        <v>1645.7100000000005</v>
      </c>
      <c r="G131" s="378">
        <f t="shared" si="43"/>
        <v>5310.29</v>
      </c>
      <c r="H131" s="379">
        <f t="shared" si="44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2"/>
        <v>1537.7099999999996</v>
      </c>
      <c r="G132" s="378">
        <f t="shared" si="43"/>
        <v>8728.2900000000009</v>
      </c>
      <c r="H132" s="379">
        <f t="shared" si="44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2"/>
        <v>1754.0499999999997</v>
      </c>
      <c r="G133" s="378">
        <f t="shared" si="43"/>
        <v>1717.95</v>
      </c>
      <c r="H133" s="379">
        <f t="shared" si="44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2"/>
        <v>1742.0399999999997</v>
      </c>
      <c r="G134" s="378">
        <f t="shared" si="43"/>
        <v>8673.9599999999991</v>
      </c>
      <c r="H134" s="379">
        <f t="shared" si="44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45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45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45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46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45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46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45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46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45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46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45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46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45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46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45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46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45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46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45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46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45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46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45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46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45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46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45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46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45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46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45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46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45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46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45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45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45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11" priority="49">
      <formula>F69&gt;0</formula>
    </cfRule>
    <cfRule type="expression" dxfId="910" priority="50">
      <formula>F69&lt;0</formula>
    </cfRule>
  </conditionalFormatting>
  <conditionalFormatting sqref="F74:F87 F90:F134 F137:F138">
    <cfRule type="expression" dxfId="909" priority="45">
      <formula>F74&gt;0</formula>
    </cfRule>
    <cfRule type="expression" dxfId="908" priority="46">
      <formula>F74&lt;0</formula>
    </cfRule>
  </conditionalFormatting>
  <conditionalFormatting sqref="F74:F87 F90:F134 F137:F138">
    <cfRule type="expression" dxfId="907" priority="47">
      <formula>F74&gt;0</formula>
    </cfRule>
    <cfRule type="expression" dxfId="906" priority="48">
      <formula>F74&lt;0</formula>
    </cfRule>
  </conditionalFormatting>
  <conditionalFormatting sqref="H69:H87 H90:H134 H137:H138">
    <cfRule type="expression" dxfId="905" priority="43">
      <formula>H69&gt;0</formula>
    </cfRule>
    <cfRule type="expression" dxfId="904" priority="44">
      <formula>H69&lt;0</formula>
    </cfRule>
  </conditionalFormatting>
  <conditionalFormatting sqref="F65:F68">
    <cfRule type="expression" dxfId="903" priority="37">
      <formula>F65&gt;0</formula>
    </cfRule>
    <cfRule type="expression" dxfId="902" priority="38">
      <formula>F65&lt;0</formula>
    </cfRule>
  </conditionalFormatting>
  <conditionalFormatting sqref="H65:H68">
    <cfRule type="expression" dxfId="901" priority="35">
      <formula>H65&gt;0</formula>
    </cfRule>
    <cfRule type="expression" dxfId="900" priority="36">
      <formula>H65&lt;0</formula>
    </cfRule>
  </conditionalFormatting>
  <conditionalFormatting sqref="Q8">
    <cfRule type="expression" dxfId="899" priority="31">
      <formula>Q8&gt;0</formula>
    </cfRule>
    <cfRule type="expression" dxfId="898" priority="32">
      <formula>Q8&lt;0</formula>
    </cfRule>
  </conditionalFormatting>
  <conditionalFormatting sqref="Q7">
    <cfRule type="expression" dxfId="897" priority="33">
      <formula>Q7&gt;0</formula>
    </cfRule>
    <cfRule type="expression" dxfId="896" priority="34">
      <formula>Q7&lt;0</formula>
    </cfRule>
  </conditionalFormatting>
  <conditionalFormatting sqref="F88">
    <cfRule type="expression" dxfId="895" priority="27">
      <formula>F88&gt;0</formula>
    </cfRule>
    <cfRule type="expression" dxfId="894" priority="28">
      <formula>F88&lt;0</formula>
    </cfRule>
  </conditionalFormatting>
  <conditionalFormatting sqref="F88">
    <cfRule type="expression" dxfId="893" priority="29">
      <formula>F88&gt;0</formula>
    </cfRule>
    <cfRule type="expression" dxfId="892" priority="30">
      <formula>F88&lt;0</formula>
    </cfRule>
  </conditionalFormatting>
  <conditionalFormatting sqref="H88">
    <cfRule type="expression" dxfId="891" priority="25">
      <formula>H88&gt;0</formula>
    </cfRule>
    <cfRule type="expression" dxfId="890" priority="26">
      <formula>H88&lt;0</formula>
    </cfRule>
  </conditionalFormatting>
  <conditionalFormatting sqref="F89">
    <cfRule type="expression" dxfId="889" priority="21">
      <formula>F89&gt;0</formula>
    </cfRule>
    <cfRule type="expression" dxfId="888" priority="22">
      <formula>F89&lt;0</formula>
    </cfRule>
  </conditionalFormatting>
  <conditionalFormatting sqref="F89">
    <cfRule type="expression" dxfId="887" priority="23">
      <formula>F89&gt;0</formula>
    </cfRule>
    <cfRule type="expression" dxfId="886" priority="24">
      <formula>F89&lt;0</formula>
    </cfRule>
  </conditionalFormatting>
  <conditionalFormatting sqref="H89">
    <cfRule type="expression" dxfId="885" priority="19">
      <formula>H89&gt;0</formula>
    </cfRule>
    <cfRule type="expression" dxfId="884" priority="20">
      <formula>H89&lt;0</formula>
    </cfRule>
  </conditionalFormatting>
  <conditionalFormatting sqref="F135:F136">
    <cfRule type="expression" dxfId="883" priority="15">
      <formula>F135&gt;0</formula>
    </cfRule>
    <cfRule type="expression" dxfId="882" priority="16">
      <formula>F135&lt;0</formula>
    </cfRule>
  </conditionalFormatting>
  <conditionalFormatting sqref="F135:F136">
    <cfRule type="expression" dxfId="881" priority="17">
      <formula>F135&gt;0</formula>
    </cfRule>
    <cfRule type="expression" dxfId="880" priority="18">
      <formula>F135&lt;0</formula>
    </cfRule>
  </conditionalFormatting>
  <conditionalFormatting sqref="H135:H136">
    <cfRule type="expression" dxfId="879" priority="13">
      <formula>H135&gt;0</formula>
    </cfRule>
    <cfRule type="expression" dxfId="878" priority="14">
      <formula>H135&lt;0</formula>
    </cfRule>
  </conditionalFormatting>
  <conditionalFormatting sqref="F35:F49">
    <cfRule type="expression" dxfId="877" priority="11">
      <formula>F35&gt;0</formula>
    </cfRule>
    <cfRule type="expression" dxfId="876" priority="12">
      <formula>F35&lt;0</formula>
    </cfRule>
  </conditionalFormatting>
  <conditionalFormatting sqref="H35:H49">
    <cfRule type="expression" dxfId="875" priority="9">
      <formula>H35&gt;0</formula>
    </cfRule>
    <cfRule type="expression" dxfId="874" priority="10">
      <formula>H35&lt;0</formula>
    </cfRule>
  </conditionalFormatting>
  <conditionalFormatting sqref="Q10">
    <cfRule type="expression" dxfId="873" priority="7">
      <formula>Q10&gt;0</formula>
    </cfRule>
    <cfRule type="expression" dxfId="872" priority="8">
      <formula>Q10&lt;0</formula>
    </cfRule>
  </conditionalFormatting>
  <conditionalFormatting sqref="J45:K45">
    <cfRule type="expression" dxfId="871" priority="5">
      <formula>J45&gt;0</formula>
    </cfRule>
    <cfRule type="expression" dxfId="870" priority="6">
      <formula>J45&lt;0</formula>
    </cfRule>
  </conditionalFormatting>
  <conditionalFormatting sqref="K46">
    <cfRule type="expression" dxfId="869" priority="3">
      <formula>K46&gt;0</formula>
    </cfRule>
    <cfRule type="expression" dxfId="868" priority="4">
      <formula>K46&lt;0</formula>
    </cfRule>
  </conditionalFormatting>
  <conditionalFormatting sqref="K47:K58">
    <cfRule type="expression" dxfId="867" priority="1">
      <formula>K47&gt;0</formula>
    </cfRule>
    <cfRule type="expression" dxfId="866" priority="2">
      <formula>K47&lt;0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11.01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11.01</v>
      </c>
      <c r="R4" s="498">
        <v>-2.7000000000000001E-3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4" t="s">
        <v>78</v>
      </c>
      <c r="P40" s="704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12.111000000000001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259</v>
      </c>
      <c r="O42" s="82">
        <v>1.0900000000000001</v>
      </c>
      <c r="P42" s="82">
        <f t="shared" ref="P42:P61" si="8">O42*$Q$4</f>
        <v>12.000900000000001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11.8908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11.780700000000001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11.6706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11.560500000000001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11.4504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11.340300000000001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11.2302</v>
      </c>
      <c r="Q49" s="2"/>
      <c r="T49" s="92" t="s">
        <v>103</v>
      </c>
      <c r="U49" s="87" t="s">
        <v>393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11.120100000000001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11.01</v>
      </c>
      <c r="Q51" s="2"/>
      <c r="T51" s="92" t="s">
        <v>104</v>
      </c>
      <c r="U51" s="87" t="s">
        <v>661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10.899899999999999</v>
      </c>
      <c r="Q52" s="2"/>
      <c r="T52" s="92" t="s">
        <v>105</v>
      </c>
      <c r="U52" s="87" t="s">
        <v>411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10.7898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10.679699999999999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10.569599999999999</v>
      </c>
      <c r="T55" s="92" t="s">
        <v>107</v>
      </c>
      <c r="U55" s="87" t="s">
        <v>662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10.459499999999998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10.349399999999999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10.2393</v>
      </c>
      <c r="T58" s="92" t="s">
        <v>108</v>
      </c>
      <c r="U58" s="87" t="s">
        <v>584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10.129200000000001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10.0191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9.9090000000000007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199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196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65" priority="25">
      <formula>F30&gt;0</formula>
    </cfRule>
    <cfRule type="expression" dxfId="864" priority="26">
      <formula>F30&lt;0</formula>
    </cfRule>
  </conditionalFormatting>
  <conditionalFormatting sqref="F34:F42 F46:F74">
    <cfRule type="expression" dxfId="863" priority="21">
      <formula>F34&gt;0</formula>
    </cfRule>
    <cfRule type="expression" dxfId="862" priority="22">
      <formula>F34&lt;0</formula>
    </cfRule>
  </conditionalFormatting>
  <conditionalFormatting sqref="F34:F42 F46:F74">
    <cfRule type="expression" dxfId="861" priority="23">
      <formula>F34&gt;0</formula>
    </cfRule>
    <cfRule type="expression" dxfId="860" priority="24">
      <formula>F34&lt;0</formula>
    </cfRule>
  </conditionalFormatting>
  <conditionalFormatting sqref="H30:H42 H46:H74">
    <cfRule type="expression" dxfId="859" priority="19">
      <formula>H30&gt;0</formula>
    </cfRule>
    <cfRule type="expression" dxfId="858" priority="20">
      <formula>H30&lt;0</formula>
    </cfRule>
  </conditionalFormatting>
  <conditionalFormatting sqref="F25:F29">
    <cfRule type="expression" dxfId="857" priority="13">
      <formula>F25&gt;0</formula>
    </cfRule>
    <cfRule type="expression" dxfId="856" priority="14">
      <formula>F25&lt;0</formula>
    </cfRule>
  </conditionalFormatting>
  <conditionalFormatting sqref="H25:H29">
    <cfRule type="expression" dxfId="855" priority="11">
      <formula>H25&gt;0</formula>
    </cfRule>
    <cfRule type="expression" dxfId="854" priority="12">
      <formula>H25&lt;0</formula>
    </cfRule>
  </conditionalFormatting>
  <conditionalFormatting sqref="Q7">
    <cfRule type="expression" dxfId="853" priority="9">
      <formula>Q7&gt;0</formula>
    </cfRule>
    <cfRule type="expression" dxfId="852" priority="10">
      <formula>Q7&lt;0</formula>
    </cfRule>
  </conditionalFormatting>
  <conditionalFormatting sqref="Q8">
    <cfRule type="expression" dxfId="851" priority="7">
      <formula>Q8&gt;0</formula>
    </cfRule>
    <cfRule type="expression" dxfId="850" priority="8">
      <formula>Q8&lt;0</formula>
    </cfRule>
  </conditionalFormatting>
  <conditionalFormatting sqref="F43:F45">
    <cfRule type="expression" dxfId="849" priority="3">
      <formula>F43&gt;0</formula>
    </cfRule>
    <cfRule type="expression" dxfId="848" priority="4">
      <formula>F43&lt;0</formula>
    </cfRule>
  </conditionalFormatting>
  <conditionalFormatting sqref="F43:F45">
    <cfRule type="expression" dxfId="847" priority="5">
      <formula>F43&gt;0</formula>
    </cfRule>
    <cfRule type="expression" dxfId="846" priority="6">
      <formula>F43&lt;0</formula>
    </cfRule>
  </conditionalFormatting>
  <conditionalFormatting sqref="H43:H45">
    <cfRule type="expression" dxfId="845" priority="1">
      <formula>H43&gt;0</formula>
    </cfRule>
    <cfRule type="expression" dxfId="844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123.2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123.2</v>
      </c>
      <c r="R4" s="498">
        <v>3.2000000000000002E-3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135.52000000000001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134.28800000000001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133.05600000000001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131.82400000000001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130.59200000000001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129.36000000000001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128.12800000000001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126.896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125.664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124.432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123.2</v>
      </c>
      <c r="Q51" s="2"/>
      <c r="T51" s="92" t="s">
        <v>104</v>
      </c>
      <c r="U51" s="129" t="s">
        <v>663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121.968</v>
      </c>
      <c r="Q52" s="2"/>
      <c r="T52" s="92" t="s">
        <v>105</v>
      </c>
      <c r="U52" s="129" t="s">
        <v>664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120.736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119.504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118.27199999999999</v>
      </c>
      <c r="T55" s="92" t="s">
        <v>107</v>
      </c>
      <c r="U55" s="129" t="s">
        <v>665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117.03999999999999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115.80799999999999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114.57600000000001</v>
      </c>
      <c r="T58" s="92" t="s">
        <v>108</v>
      </c>
      <c r="U58" s="129" t="s">
        <v>593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113.34400000000001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112.11200000000001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110.88000000000001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113</v>
      </c>
      <c r="C104" s="510" t="s">
        <v>146</v>
      </c>
      <c r="D104" s="511" t="s">
        <v>145</v>
      </c>
      <c r="E104" s="512" t="s">
        <v>147</v>
      </c>
      <c r="F104" s="512" t="s">
        <v>65</v>
      </c>
      <c r="G104" s="514" t="s">
        <v>151</v>
      </c>
      <c r="H104" s="514" t="s">
        <v>88</v>
      </c>
      <c r="I104" s="514" t="s">
        <v>154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423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440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43" priority="19">
      <formula>F25&gt;0</formula>
    </cfRule>
    <cfRule type="expression" dxfId="842" priority="20">
      <formula>F25&lt;0</formula>
    </cfRule>
  </conditionalFormatting>
  <conditionalFormatting sqref="Q7">
    <cfRule type="expression" dxfId="841" priority="17">
      <formula>Q7&gt;0</formula>
    </cfRule>
    <cfRule type="expression" dxfId="840" priority="18">
      <formula>Q7&lt;0</formula>
    </cfRule>
  </conditionalFormatting>
  <conditionalFormatting sqref="Q8">
    <cfRule type="expression" dxfId="839" priority="15">
      <formula>Q8&gt;0</formula>
    </cfRule>
    <cfRule type="expression" dxfId="838" priority="16">
      <formula>Q8&lt;0</formula>
    </cfRule>
  </conditionalFormatting>
  <conditionalFormatting sqref="M74">
    <cfRule type="expression" dxfId="837" priority="9">
      <formula>M74&gt;0</formula>
    </cfRule>
    <cfRule type="expression" dxfId="836" priority="10">
      <formula>M74&lt;0</formula>
    </cfRule>
  </conditionalFormatting>
  <conditionalFormatting sqref="F113:F149 H113:H149">
    <cfRule type="expression" dxfId="835" priority="7">
      <formula>F113&gt;0</formula>
    </cfRule>
    <cfRule type="expression" dxfId="834" priority="8">
      <formula>F113&lt;0</formula>
    </cfRule>
  </conditionalFormatting>
  <conditionalFormatting sqref="F105:F112">
    <cfRule type="expression" dxfId="833" priority="5">
      <formula>F105&gt;0</formula>
    </cfRule>
    <cfRule type="expression" dxfId="832" priority="6">
      <formula>F105&lt;0</formula>
    </cfRule>
  </conditionalFormatting>
  <conditionalFormatting sqref="H105:H112">
    <cfRule type="expression" dxfId="831" priority="3">
      <formula>H105&gt;0</formula>
    </cfRule>
    <cfRule type="expression" dxfId="830" priority="4">
      <formula>H105&lt;0</formula>
    </cfRule>
  </conditionalFormatting>
  <conditionalFormatting sqref="Q10">
    <cfRule type="expression" dxfId="829" priority="1">
      <formula>Q10&gt;0</formula>
    </cfRule>
    <cfRule type="expression" dxfId="828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24.307700000000072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12.47</v>
      </c>
      <c r="R4" s="498">
        <v>4.8800000000000003E-2</v>
      </c>
      <c r="T4" s="1" t="s">
        <v>485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24940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48615.40000000014</v>
      </c>
      <c r="T6" t="s">
        <v>486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-23675.40000000014</v>
      </c>
      <c r="R7">
        <v>1400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-23675.40000000014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-0.48699383322980111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13.717000000000002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13.592300000000002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13.467600000000001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13.342900000000002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5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13.218200000000001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5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13.093500000000001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12.968800000000002</v>
      </c>
      <c r="Q49" s="2"/>
      <c r="T49" s="107" t="s">
        <v>103</v>
      </c>
      <c r="U49" s="105" t="s">
        <v>666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12.844100000000001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12.7194</v>
      </c>
      <c r="Q51" s="2"/>
      <c r="T51" s="107" t="s">
        <v>104</v>
      </c>
      <c r="U51" s="105" t="s">
        <v>667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12.594700000000001</v>
      </c>
      <c r="Q52" s="2"/>
      <c r="T52" s="107" t="s">
        <v>105</v>
      </c>
      <c r="U52" s="105" t="s">
        <v>552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12.47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12.3453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12.220600000000001</v>
      </c>
      <c r="T55" s="107" t="s">
        <v>107</v>
      </c>
      <c r="U55" s="105" t="s">
        <v>668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12.0959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11.9712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11.846500000000001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11.7218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11.597100000000001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11.4724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11.347700000000001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11.223000000000001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531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532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0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6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6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7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7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497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497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497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40405</v>
      </c>
      <c r="I118" s="80"/>
      <c r="J118" s="14"/>
      <c r="K118" s="18">
        <f>SUM(K2:K117)</f>
        <v>545167.29999999993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397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401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418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426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429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434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435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436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441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441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441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" si="44">C264*(E264-D264)</f>
        <v>-23676</v>
      </c>
      <c r="G264" s="40">
        <f t="shared" ref="G264" si="45">IF(C264=0, 0,D264*C264)</f>
        <v>48616</v>
      </c>
      <c r="H264" s="230">
        <f t="shared" ref="H264" si="46">IF(C264=0, D264, (E264-D264)/D264)</f>
        <v>-0.48700016455487904</v>
      </c>
      <c r="I264" s="198"/>
      <c r="J264" s="40"/>
      <c r="K264" s="40"/>
    </row>
    <row r="265" spans="1:11" x14ac:dyDescent="0.25">
      <c r="B265" s="191"/>
      <c r="C265" s="280"/>
      <c r="D265" s="281"/>
      <c r="E265" s="40"/>
      <c r="F265" s="40"/>
      <c r="G265" s="40"/>
      <c r="H265" s="230"/>
      <c r="I265" s="198"/>
      <c r="J265" s="40"/>
      <c r="K265" s="40"/>
    </row>
    <row r="266" spans="1:11" x14ac:dyDescent="0.25">
      <c r="B266" s="191"/>
      <c r="C266" s="280"/>
      <c r="D266" s="281"/>
      <c r="E266" s="40"/>
      <c r="F266" s="40"/>
      <c r="G266" s="40"/>
      <c r="H266" s="230"/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27" priority="74">
      <formula>F12&gt;0</formula>
    </cfRule>
    <cfRule type="expression" dxfId="82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25" priority="67">
      <formula>F124&gt;0</formula>
    </cfRule>
    <cfRule type="expression" dxfId="824" priority="68">
      <formula>F124&lt;0</formula>
    </cfRule>
  </conditionalFormatting>
  <conditionalFormatting sqref="H124:H130">
    <cfRule type="expression" dxfId="823" priority="55">
      <formula>H124&gt;0</formula>
    </cfRule>
    <cfRule type="expression" dxfId="822" priority="56">
      <formula>H124&lt;0</formula>
    </cfRule>
  </conditionalFormatting>
  <conditionalFormatting sqref="H131">
    <cfRule type="expression" dxfId="821" priority="53">
      <formula>H131&gt;0</formula>
    </cfRule>
    <cfRule type="expression" dxfId="820" priority="54">
      <formula>H131&lt;0</formula>
    </cfRule>
  </conditionalFormatting>
  <conditionalFormatting sqref="H132">
    <cfRule type="expression" dxfId="819" priority="51">
      <formula>H132&gt;0</formula>
    </cfRule>
    <cfRule type="expression" dxfId="818" priority="52">
      <formula>H132&lt;0</formula>
    </cfRule>
  </conditionalFormatting>
  <conditionalFormatting sqref="H133:H135">
    <cfRule type="expression" dxfId="817" priority="49">
      <formula>H133&gt;0</formula>
    </cfRule>
    <cfRule type="expression" dxfId="816" priority="50">
      <formula>H133&lt;0</formula>
    </cfRule>
  </conditionalFormatting>
  <conditionalFormatting sqref="H136">
    <cfRule type="expression" dxfId="815" priority="45">
      <formula>H136&gt;0</formula>
    </cfRule>
    <cfRule type="expression" dxfId="814" priority="46">
      <formula>H136&lt;0</formula>
    </cfRule>
  </conditionalFormatting>
  <conditionalFormatting sqref="Q7">
    <cfRule type="expression" dxfId="813" priority="39">
      <formula>Q7&gt;0</formula>
    </cfRule>
    <cfRule type="expression" dxfId="812" priority="40">
      <formula>Q7&lt;0</formula>
    </cfRule>
  </conditionalFormatting>
  <conditionalFormatting sqref="Q8">
    <cfRule type="expression" dxfId="811" priority="37">
      <formula>Q8&gt;0</formula>
    </cfRule>
    <cfRule type="expression" dxfId="810" priority="38">
      <formula>Q8&lt;0</formula>
    </cfRule>
  </conditionalFormatting>
  <conditionalFormatting sqref="F167:F178 H167:H178">
    <cfRule type="expression" dxfId="809" priority="35">
      <formula>F167&gt;0</formula>
    </cfRule>
    <cfRule type="expression" dxfId="808" priority="36">
      <formula>F167&lt;0</formula>
    </cfRule>
  </conditionalFormatting>
  <conditionalFormatting sqref="F183:F197 H183:H197">
    <cfRule type="expression" dxfId="807" priority="33">
      <formula>F183&gt;0</formula>
    </cfRule>
    <cfRule type="expression" dxfId="806" priority="34">
      <formula>F183&lt;0</formula>
    </cfRule>
  </conditionalFormatting>
  <conditionalFormatting sqref="F198:F206 H198:H206">
    <cfRule type="expression" dxfId="805" priority="31">
      <formula>F198&gt;0</formula>
    </cfRule>
    <cfRule type="expression" dxfId="804" priority="32">
      <formula>F198&lt;0</formula>
    </cfRule>
  </conditionalFormatting>
  <conditionalFormatting sqref="F141:F147 H141:H147">
    <cfRule type="expression" dxfId="803" priority="29">
      <formula>F141&gt;0</formula>
    </cfRule>
    <cfRule type="expression" dxfId="802" priority="30">
      <formula>F141&lt;0</formula>
    </cfRule>
  </conditionalFormatting>
  <conditionalFormatting sqref="H149:H152 F149:F152">
    <cfRule type="expression" dxfId="801" priority="27">
      <formula>F149&gt;0</formula>
    </cfRule>
    <cfRule type="expression" dxfId="800" priority="28">
      <formula>F149&lt;0</formula>
    </cfRule>
  </conditionalFormatting>
  <conditionalFormatting sqref="F226 H215:H218 H257:H260 F257:F260 H226 H231:H233 F231:F233 F235:F244 H235:H244">
    <cfRule type="expression" dxfId="799" priority="25">
      <formula>F215&gt;0</formula>
    </cfRule>
    <cfRule type="expression" dxfId="798" priority="26">
      <formula>F215&lt;0</formula>
    </cfRule>
  </conditionalFormatting>
  <conditionalFormatting sqref="F207:F218">
    <cfRule type="expression" dxfId="797" priority="23">
      <formula>F207&gt;0</formula>
    </cfRule>
    <cfRule type="expression" dxfId="796" priority="24">
      <formula>F207&lt;0</formula>
    </cfRule>
  </conditionalFormatting>
  <conditionalFormatting sqref="H207:H208">
    <cfRule type="expression" dxfId="795" priority="21">
      <formula>H207&gt;0</formula>
    </cfRule>
    <cfRule type="expression" dxfId="794" priority="22">
      <formula>H207&lt;0</formula>
    </cfRule>
  </conditionalFormatting>
  <conditionalFormatting sqref="H209">
    <cfRule type="expression" dxfId="793" priority="19">
      <formula>H209&gt;0</formula>
    </cfRule>
    <cfRule type="expression" dxfId="792" priority="20">
      <formula>H209&lt;0</formula>
    </cfRule>
  </conditionalFormatting>
  <conditionalFormatting sqref="H210">
    <cfRule type="expression" dxfId="791" priority="17">
      <formula>H210&gt;0</formula>
    </cfRule>
    <cfRule type="expression" dxfId="790" priority="18">
      <formula>H210&lt;0</formula>
    </cfRule>
  </conditionalFormatting>
  <conditionalFormatting sqref="H211:H213">
    <cfRule type="expression" dxfId="789" priority="15">
      <formula>H211&gt;0</formula>
    </cfRule>
    <cfRule type="expression" dxfId="788" priority="16">
      <formula>H211&lt;0</formula>
    </cfRule>
  </conditionalFormatting>
  <conditionalFormatting sqref="H214">
    <cfRule type="expression" dxfId="787" priority="13">
      <formula>H214&gt;0</formula>
    </cfRule>
    <cfRule type="expression" dxfId="786" priority="14">
      <formula>H214&lt;0</formula>
    </cfRule>
  </conditionalFormatting>
  <conditionalFormatting sqref="F245:F256 H245:H256">
    <cfRule type="expression" dxfId="785" priority="11">
      <formula>F245&gt;0</formula>
    </cfRule>
    <cfRule type="expression" dxfId="784" priority="12">
      <formula>F245&lt;0</formula>
    </cfRule>
  </conditionalFormatting>
  <conditionalFormatting sqref="F261:F275 H261:H275">
    <cfRule type="expression" dxfId="783" priority="9">
      <formula>F261&gt;0</formula>
    </cfRule>
    <cfRule type="expression" dxfId="782" priority="10">
      <formula>F261&lt;0</formula>
    </cfRule>
  </conditionalFormatting>
  <conditionalFormatting sqref="F276:F283 H276:H283">
    <cfRule type="expression" dxfId="781" priority="7">
      <formula>F276&gt;0</formula>
    </cfRule>
    <cfRule type="expression" dxfId="780" priority="8">
      <formula>F276&lt;0</formula>
    </cfRule>
  </conditionalFormatting>
  <conditionalFormatting sqref="F219:F225 H219:H225">
    <cfRule type="expression" dxfId="779" priority="5">
      <formula>F219&gt;0</formula>
    </cfRule>
    <cfRule type="expression" dxfId="778" priority="6">
      <formula>F219&lt;0</formula>
    </cfRule>
  </conditionalFormatting>
  <conditionalFormatting sqref="H227:H230 F227:F230">
    <cfRule type="expression" dxfId="777" priority="3">
      <formula>F227&gt;0</formula>
    </cfRule>
    <cfRule type="expression" dxfId="776" priority="4">
      <formula>F227&lt;0</formula>
    </cfRule>
  </conditionalFormatting>
  <conditionalFormatting sqref="H234 F234">
    <cfRule type="expression" dxfId="775" priority="1">
      <formula>F234&gt;0</formula>
    </cfRule>
    <cfRule type="expression" dxfId="77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110.25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110.25</v>
      </c>
      <c r="R4" s="498">
        <v>-3.3E-3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4" t="s">
        <v>78</v>
      </c>
      <c r="P40" s="704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121.27500000000001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120.17250000000001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119.07000000000001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117.9675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116.86500000000001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115.7625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114.66000000000001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113.5575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112.455</v>
      </c>
      <c r="Q49" s="2"/>
      <c r="T49" s="92" t="s">
        <v>121</v>
      </c>
      <c r="U49" s="129" t="s">
        <v>410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111.35250000000001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110.25</v>
      </c>
      <c r="Q51" s="2"/>
      <c r="T51" s="92" t="s">
        <v>104</v>
      </c>
      <c r="U51" s="129" t="s">
        <v>669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109.14749999999999</v>
      </c>
      <c r="Q52" s="2"/>
      <c r="T52" s="92" t="s">
        <v>105</v>
      </c>
      <c r="U52" s="129" t="s">
        <v>443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108.045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106.9425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105.83999999999999</v>
      </c>
      <c r="T55" s="92" t="s">
        <v>107</v>
      </c>
      <c r="U55" s="129" t="s">
        <v>670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104.7375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103.63499999999999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102.5325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101.43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100.3275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99.225000000000009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80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80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80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80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80"/>
      <c r="C76" s="660"/>
      <c r="D76" s="658"/>
      <c r="E76" s="658"/>
      <c r="F76" s="658"/>
      <c r="G76" s="680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73" priority="43">
      <formula>F33&gt;0</formula>
    </cfRule>
    <cfRule type="expression" dxfId="772" priority="44">
      <formula>F33&lt;0</formula>
    </cfRule>
  </conditionalFormatting>
  <conditionalFormatting sqref="Q7">
    <cfRule type="expression" dxfId="771" priority="41">
      <formula>Q7&gt;0</formula>
    </cfRule>
    <cfRule type="expression" dxfId="770" priority="42">
      <formula>Q7&lt;0</formula>
    </cfRule>
  </conditionalFormatting>
  <conditionalFormatting sqref="Q8">
    <cfRule type="expression" dxfId="769" priority="39">
      <formula>Q8&gt;0</formula>
    </cfRule>
    <cfRule type="expression" dxfId="768" priority="40">
      <formula>Q8&lt;0</formula>
    </cfRule>
  </conditionalFormatting>
  <conditionalFormatting sqref="F29 F32">
    <cfRule type="expression" dxfId="767" priority="37">
      <formula>F29&gt;0</formula>
    </cfRule>
    <cfRule type="expression" dxfId="766" priority="38">
      <formula>F29&lt;0</formula>
    </cfRule>
  </conditionalFormatting>
  <conditionalFormatting sqref="H29 H32">
    <cfRule type="expression" dxfId="765" priority="35">
      <formula>H29&gt;0</formula>
    </cfRule>
    <cfRule type="expression" dxfId="764" priority="36">
      <formula>H29&lt;0</formula>
    </cfRule>
  </conditionalFormatting>
  <conditionalFormatting sqref="F30:F31">
    <cfRule type="expression" dxfId="763" priority="33">
      <formula>F30&gt;0</formula>
    </cfRule>
    <cfRule type="expression" dxfId="762" priority="34">
      <formula>F30&lt;0</formula>
    </cfRule>
  </conditionalFormatting>
  <conditionalFormatting sqref="H30:H31">
    <cfRule type="expression" dxfId="761" priority="31">
      <formula>H30&gt;0</formula>
    </cfRule>
    <cfRule type="expression" dxfId="760" priority="32">
      <formula>H30&lt;0</formula>
    </cfRule>
  </conditionalFormatting>
  <conditionalFormatting sqref="F105:F140 H105:H140">
    <cfRule type="expression" dxfId="759" priority="29">
      <formula>F105&gt;0</formula>
    </cfRule>
    <cfRule type="expression" dxfId="758" priority="30">
      <formula>F105&lt;0</formula>
    </cfRule>
  </conditionalFormatting>
  <conditionalFormatting sqref="F96:F99">
    <cfRule type="expression" dxfId="757" priority="27">
      <formula>F96&gt;0</formula>
    </cfRule>
    <cfRule type="expression" dxfId="756" priority="28">
      <formula>F96&lt;0</formula>
    </cfRule>
  </conditionalFormatting>
  <conditionalFormatting sqref="H96:H99">
    <cfRule type="expression" dxfId="755" priority="25">
      <formula>H96&gt;0</formula>
    </cfRule>
    <cfRule type="expression" dxfId="754" priority="26">
      <formula>H96&lt;0</formula>
    </cfRule>
  </conditionalFormatting>
  <conditionalFormatting sqref="F25:F28">
    <cfRule type="expression" dxfId="753" priority="19">
      <formula>F25&gt;0</formula>
    </cfRule>
    <cfRule type="expression" dxfId="752" priority="20">
      <formula>F25&lt;0</formula>
    </cfRule>
  </conditionalFormatting>
  <conditionalFormatting sqref="H25:H28">
    <cfRule type="expression" dxfId="751" priority="17">
      <formula>H25&gt;0</formula>
    </cfRule>
    <cfRule type="expression" dxfId="750" priority="18">
      <formula>H25&lt;0</formula>
    </cfRule>
  </conditionalFormatting>
  <conditionalFormatting sqref="J27">
    <cfRule type="expression" dxfId="749" priority="15">
      <formula>J27&gt;0</formula>
    </cfRule>
    <cfRule type="expression" dxfId="748" priority="16">
      <formula>J27&lt;0</formula>
    </cfRule>
  </conditionalFormatting>
  <conditionalFormatting sqref="F104">
    <cfRule type="expression" dxfId="747" priority="13">
      <formula>F104&gt;0</formula>
    </cfRule>
    <cfRule type="expression" dxfId="746" priority="14">
      <formula>F104&lt;0</formula>
    </cfRule>
  </conditionalFormatting>
  <conditionalFormatting sqref="H104">
    <cfRule type="expression" dxfId="745" priority="11">
      <formula>H104&gt;0</formula>
    </cfRule>
    <cfRule type="expression" dxfId="744" priority="12">
      <formula>H104&lt;0</formula>
    </cfRule>
  </conditionalFormatting>
  <conditionalFormatting sqref="F100:F103">
    <cfRule type="expression" dxfId="743" priority="9">
      <formula>F100&gt;0</formula>
    </cfRule>
    <cfRule type="expression" dxfId="742" priority="10">
      <formula>F100&lt;0</formula>
    </cfRule>
  </conditionalFormatting>
  <conditionalFormatting sqref="H100:H103">
    <cfRule type="expression" dxfId="741" priority="7">
      <formula>H100&gt;0</formula>
    </cfRule>
    <cfRule type="expression" dxfId="740" priority="8">
      <formula>H100&lt;0</formula>
    </cfRule>
  </conditionalFormatting>
  <conditionalFormatting sqref="J102">
    <cfRule type="expression" dxfId="739" priority="5">
      <formula>J102&gt;0</formula>
    </cfRule>
    <cfRule type="expression" dxfId="738" priority="6">
      <formula>J102&lt;0</formula>
    </cfRule>
  </conditionalFormatting>
  <conditionalFormatting sqref="Q10">
    <cfRule type="expression" dxfId="737" priority="3">
      <formula>Q10&gt;0</formula>
    </cfRule>
    <cfRule type="expression" dxfId="736" priority="4">
      <formula>Q10&lt;0</formula>
    </cfRule>
  </conditionalFormatting>
  <conditionalFormatting sqref="M71">
    <cfRule type="expression" dxfId="735" priority="1">
      <formula>M71&gt;0</formula>
    </cfRule>
    <cfRule type="expression" dxfId="73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54.24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54.24</v>
      </c>
      <c r="R4" s="498">
        <v>-5.8999999999999999E-3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671" t="s">
        <v>113</v>
      </c>
      <c r="C22" s="671" t="s">
        <v>146</v>
      </c>
      <c r="D22" s="672" t="s">
        <v>145</v>
      </c>
      <c r="E22" s="673" t="s">
        <v>147</v>
      </c>
      <c r="F22" s="674" t="s">
        <v>65</v>
      </c>
      <c r="G22" s="675" t="s">
        <v>151</v>
      </c>
      <c r="H22" s="674" t="s">
        <v>88</v>
      </c>
      <c r="I22" s="675" t="s">
        <v>154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676"/>
      <c r="C23" s="9"/>
      <c r="D23" s="677"/>
      <c r="E23" s="41"/>
      <c r="F23" s="41"/>
      <c r="G23" s="41"/>
      <c r="H23" s="678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676"/>
      <c r="C24" s="9"/>
      <c r="D24" s="677"/>
      <c r="E24" s="41"/>
      <c r="F24" s="41"/>
      <c r="G24" s="41"/>
      <c r="H24" s="678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676"/>
      <c r="C25" s="9"/>
      <c r="D25" s="677"/>
      <c r="E25" s="41"/>
      <c r="F25" s="41"/>
      <c r="G25" s="41"/>
      <c r="H25" s="678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676"/>
      <c r="C26" s="9"/>
      <c r="D26" s="677"/>
      <c r="E26" s="41"/>
      <c r="F26" s="41"/>
      <c r="G26" s="41"/>
      <c r="H26" s="678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676"/>
      <c r="C27" s="9"/>
      <c r="D27" s="677"/>
      <c r="E27" s="41"/>
      <c r="F27" s="41"/>
      <c r="G27" s="41"/>
      <c r="H27" s="678"/>
      <c r="I27" s="41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676"/>
      <c r="C28" s="9"/>
      <c r="D28" s="677"/>
      <c r="E28" s="41"/>
      <c r="F28" s="41"/>
      <c r="G28" s="41"/>
      <c r="H28" s="678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676"/>
      <c r="C29" s="9"/>
      <c r="D29" s="677"/>
      <c r="E29" s="41"/>
      <c r="F29" s="41"/>
      <c r="G29" s="41"/>
      <c r="H29" s="678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676"/>
      <c r="C30" s="9"/>
      <c r="D30" s="677"/>
      <c r="E30" s="41"/>
      <c r="F30" s="41"/>
      <c r="G30" s="41"/>
      <c r="H30" s="678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676"/>
      <c r="C31" s="9"/>
      <c r="D31" s="677"/>
      <c r="E31" s="41"/>
      <c r="F31" s="41"/>
      <c r="G31" s="41"/>
      <c r="H31" s="678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676"/>
      <c r="C32" s="9"/>
      <c r="D32" s="677"/>
      <c r="E32" s="41"/>
      <c r="F32" s="41"/>
      <c r="G32" s="41"/>
      <c r="H32" s="678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676"/>
      <c r="C33" s="9"/>
      <c r="D33" s="677"/>
      <c r="E33" s="41"/>
      <c r="F33" s="41"/>
      <c r="G33" s="41"/>
      <c r="H33" s="678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676"/>
      <c r="C34" s="9"/>
      <c r="D34" s="677"/>
      <c r="E34" s="41"/>
      <c r="F34" s="41"/>
      <c r="G34" s="41"/>
      <c r="H34" s="678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4" t="s">
        <v>78</v>
      </c>
      <c r="P44" s="704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9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9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59.664000000000009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9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9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59.121600000000008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58.579200000000007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58.036800000000007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57.494400000000006</v>
      </c>
      <c r="T49" s="92" t="s">
        <v>121</v>
      </c>
      <c r="U49" s="129" t="s">
        <v>571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56.952000000000005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56.409600000000005</v>
      </c>
      <c r="T51" s="92" t="s">
        <v>104</v>
      </c>
      <c r="U51" s="129" t="s">
        <v>671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55.867200000000004</v>
      </c>
      <c r="T52" s="92" t="s">
        <v>105</v>
      </c>
      <c r="U52" s="129" t="s">
        <v>672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55.324800000000003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54.782400000000003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54.24</v>
      </c>
      <c r="T55" s="92" t="s">
        <v>107</v>
      </c>
      <c r="U55" s="129" t="s">
        <v>673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53.697600000000001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53.155200000000001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52.6128</v>
      </c>
      <c r="T58" s="92" t="s">
        <v>108</v>
      </c>
      <c r="U58" s="129" t="s">
        <v>594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52.070399999999999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51.527999999999999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50.985599999999998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50.443200000000004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49.900800000000004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49.358400000000003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48.816000000000003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33" priority="43">
      <formula>F27&gt;0</formula>
    </cfRule>
    <cfRule type="expression" dxfId="732" priority="44">
      <formula>F27&lt;0</formula>
    </cfRule>
  </conditionalFormatting>
  <conditionalFormatting sqref="H27:H33">
    <cfRule type="expression" dxfId="731" priority="39">
      <formula>H27&gt;0</formula>
    </cfRule>
    <cfRule type="expression" dxfId="730" priority="40">
      <formula>H27&lt;0</formula>
    </cfRule>
  </conditionalFormatting>
  <conditionalFormatting sqref="F23:F26">
    <cfRule type="expression" dxfId="729" priority="25">
      <formula>F23&gt;0</formula>
    </cfRule>
    <cfRule type="expression" dxfId="728" priority="26">
      <formula>F23&lt;0</formula>
    </cfRule>
  </conditionalFormatting>
  <conditionalFormatting sqref="H23:H26">
    <cfRule type="expression" dxfId="727" priority="23">
      <formula>H23&gt;0</formula>
    </cfRule>
    <cfRule type="expression" dxfId="726" priority="24">
      <formula>H23&lt;0</formula>
    </cfRule>
  </conditionalFormatting>
  <conditionalFormatting sqref="Q8">
    <cfRule type="expression" dxfId="725" priority="19">
      <formula>Q8&gt;0</formula>
    </cfRule>
    <cfRule type="expression" dxfId="724" priority="20">
      <formula>Q8&lt;0</formula>
    </cfRule>
  </conditionalFormatting>
  <conditionalFormatting sqref="Q7">
    <cfRule type="expression" dxfId="723" priority="21">
      <formula>Q7&gt;0</formula>
    </cfRule>
    <cfRule type="expression" dxfId="722" priority="22">
      <formula>Q7&lt;0</formula>
    </cfRule>
  </conditionalFormatting>
  <conditionalFormatting sqref="F34">
    <cfRule type="expression" dxfId="721" priority="17">
      <formula>F34&gt;0</formula>
    </cfRule>
    <cfRule type="expression" dxfId="720" priority="18">
      <formula>F34&lt;0</formula>
    </cfRule>
  </conditionalFormatting>
  <conditionalFormatting sqref="H34">
    <cfRule type="expression" dxfId="719" priority="15">
      <formula>H34&gt;0</formula>
    </cfRule>
    <cfRule type="expression" dxfId="718" priority="16">
      <formula>H34&lt;0</formula>
    </cfRule>
  </conditionalFormatting>
  <conditionalFormatting sqref="M36">
    <cfRule type="expression" dxfId="717" priority="5">
      <formula>M36&gt;0</formula>
    </cfRule>
    <cfRule type="expression" dxfId="716" priority="6">
      <formula>M36&lt;0</formula>
    </cfRule>
  </conditionalFormatting>
  <conditionalFormatting sqref="Q10">
    <cfRule type="expression" dxfId="715" priority="1">
      <formula>Q10&gt;0</formula>
    </cfRule>
    <cfRule type="expression" dxfId="714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400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3"/>
      <c r="I3" s="3"/>
      <c r="J3" s="3"/>
      <c r="K3" s="3"/>
      <c r="L3" s="4" t="s">
        <v>539</v>
      </c>
      <c r="M3" s="4"/>
      <c r="O3" s="11" t="s">
        <v>58</v>
      </c>
      <c r="Q3" s="228">
        <f>IF(Q2=0, Q4, (F18-K18-M18)/Q2)</f>
        <v>26.953899999999997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6">
        <f t="shared" ref="AE3:AE66" si="1">AC3/AC4-1</f>
        <v>8.6475268073331613E-3</v>
      </c>
    </row>
    <row r="4" spans="1:31" x14ac:dyDescent="0.25">
      <c r="B4" s="497">
        <v>42836</v>
      </c>
      <c r="C4" s="4">
        <v>100</v>
      </c>
      <c r="D4" s="3">
        <v>28.35</v>
      </c>
      <c r="E4" s="3">
        <v>0</v>
      </c>
      <c r="F4" s="3">
        <f>D4*C4+E4</f>
        <v>2835</v>
      </c>
      <c r="G4" s="73"/>
      <c r="H4" s="183"/>
      <c r="I4" s="3"/>
      <c r="J4" s="3"/>
      <c r="K4" s="3"/>
      <c r="L4" s="4"/>
      <c r="O4" s="11" t="s">
        <v>66</v>
      </c>
      <c r="Q4" s="55">
        <v>23.7</v>
      </c>
      <c r="R4" s="498">
        <v>1.0200000000000001E-2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6">
        <f t="shared" si="1"/>
        <v>-9.2529129540781518E-3</v>
      </c>
    </row>
    <row r="5" spans="1:31" x14ac:dyDescent="0.25">
      <c r="B5" s="497">
        <v>42857</v>
      </c>
      <c r="C5" s="4">
        <v>100</v>
      </c>
      <c r="D5" s="3">
        <v>25.01</v>
      </c>
      <c r="E5" s="3">
        <v>0</v>
      </c>
      <c r="F5" s="3">
        <f>D5*C5+E5</f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9480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6">
        <f t="shared" si="1"/>
        <v>-5.7921635434412533E-3</v>
      </c>
    </row>
    <row r="6" spans="1:31" x14ac:dyDescent="0.25">
      <c r="B6" s="497">
        <v>42858</v>
      </c>
      <c r="C6" s="4">
        <v>100</v>
      </c>
      <c r="D6" s="3">
        <v>23.98</v>
      </c>
      <c r="E6" s="3">
        <v>0</v>
      </c>
      <c r="F6" s="3">
        <f>D6*C6+E6</f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10781.56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6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150.69999999999891</v>
      </c>
      <c r="R7">
        <v>100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6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-1301.5599999999995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6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-0.12072093463283602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6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6">
        <f t="shared" si="1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6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6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6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6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6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6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6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13700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6">
        <f t="shared" si="1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2848</v>
      </c>
      <c r="G19" s="354"/>
      <c r="H19" s="354">
        <f>SumByColor($A$19,H2:H17)</f>
        <v>100</v>
      </c>
      <c r="I19" s="354"/>
      <c r="J19" s="354"/>
      <c r="K19" s="355">
        <f>SumByColor($A$19,K2:K17)</f>
        <v>2891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6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6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6">
        <f t="shared" si="1"/>
        <v>1.1510289501220683E-2</v>
      </c>
    </row>
    <row r="22" spans="1:31" x14ac:dyDescent="0.25">
      <c r="B22" s="510" t="s">
        <v>113</v>
      </c>
      <c r="C22" s="510" t="s">
        <v>146</v>
      </c>
      <c r="D22" s="511" t="s">
        <v>145</v>
      </c>
      <c r="E22" s="512" t="s">
        <v>147</v>
      </c>
      <c r="F22" s="512" t="s">
        <v>65</v>
      </c>
      <c r="G22" s="514" t="s">
        <v>151</v>
      </c>
      <c r="H22" s="514" t="s">
        <v>88</v>
      </c>
      <c r="I22" s="514" t="s">
        <v>154</v>
      </c>
      <c r="J22" s="514" t="s">
        <v>534</v>
      </c>
      <c r="K22" s="514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6">
        <f t="shared" si="1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2">C23*(E23-D23)</f>
        <v>267.00000000000017</v>
      </c>
      <c r="G23" s="556">
        <f t="shared" ref="G23:G28" si="3">D23*C23</f>
        <v>2758</v>
      </c>
      <c r="H23" s="598">
        <f t="shared" ref="H23:H28" si="4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6">
        <f t="shared" si="1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2"/>
        <v>436.92999999999989</v>
      </c>
      <c r="G24" s="556">
        <f t="shared" si="3"/>
        <v>2718.07</v>
      </c>
      <c r="H24" s="598">
        <f t="shared" si="4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6">
        <f t="shared" si="1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29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6">
        <f t="shared" si="1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29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6">
        <f t="shared" si="1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29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6">
        <f t="shared" si="1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29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6" t="e">
        <f t="shared" si="1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29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502</v>
      </c>
      <c r="Y29" s="10"/>
      <c r="Z29" s="10"/>
      <c r="AA29" s="10"/>
      <c r="AB29" s="94"/>
      <c r="AC29" s="10"/>
      <c r="AD29" s="2">
        <f t="shared" si="0"/>
        <v>0</v>
      </c>
      <c r="AE29" s="136">
        <f t="shared" si="1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4" si="8">C30*(E30-D30)</f>
        <v>-130.55999999999983</v>
      </c>
      <c r="G30" s="40">
        <f t="shared" ref="G30:G34" si="9">D30*C30</f>
        <v>3047.56</v>
      </c>
      <c r="H30" s="229">
        <f t="shared" ref="H30:H34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6">
        <f t="shared" si="1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8"/>
        <v>-144.55999999999989</v>
      </c>
      <c r="G31" s="40">
        <f t="shared" si="9"/>
        <v>5882.56</v>
      </c>
      <c r="H31" s="229">
        <f t="shared" si="10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6">
        <f t="shared" si="1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8"/>
        <v>-898.56000000000017</v>
      </c>
      <c r="G32" s="40">
        <f t="shared" si="9"/>
        <v>8383.56</v>
      </c>
      <c r="H32" s="229">
        <f t="shared" si="10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6">
        <f t="shared" si="1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8"/>
        <v>-1189.5600000000002</v>
      </c>
      <c r="G33" s="40">
        <f t="shared" si="9"/>
        <v>10781.56</v>
      </c>
      <c r="H33" s="229">
        <f t="shared" si="10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6">
        <f t="shared" si="1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8"/>
        <v>-1401.5600000000006</v>
      </c>
      <c r="G34" s="40">
        <f t="shared" si="9"/>
        <v>10781.56</v>
      </c>
      <c r="H34" s="229">
        <f t="shared" si="10"/>
        <v>-0.12999603025907203</v>
      </c>
      <c r="I34" s="40"/>
      <c r="J34" s="40"/>
      <c r="K34" s="40">
        <v>-1402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6">
        <f t="shared" si="1"/>
        <v>1.5015015015016342E-3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6">
        <f t="shared" si="1"/>
        <v>1.3390139987827121E-2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6">
        <f t="shared" si="1"/>
        <v>-1.8811585547924836E-2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6">
        <f t="shared" si="1"/>
        <v>-6.8208778173189932E-3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6">
        <f t="shared" si="1"/>
        <v>7.7704722056186615E-3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6">
        <f t="shared" si="1"/>
        <v>2.7325759901750013E-2</v>
      </c>
    </row>
    <row r="40" spans="1:31" ht="20.25" thickBot="1" x14ac:dyDescent="0.35">
      <c r="O40" s="704" t="s">
        <v>78</v>
      </c>
      <c r="P40" s="704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6">
        <f t="shared" si="1"/>
        <v>3.2329635499207532E-2</v>
      </c>
    </row>
    <row r="41" spans="1:31" ht="15.75" thickTop="1" x14ac:dyDescent="0.25">
      <c r="B41" s="510" t="s">
        <v>113</v>
      </c>
      <c r="C41" s="510" t="s">
        <v>146</v>
      </c>
      <c r="D41" s="511" t="s">
        <v>145</v>
      </c>
      <c r="E41" s="512" t="s">
        <v>147</v>
      </c>
      <c r="F41" s="512" t="s">
        <v>65</v>
      </c>
      <c r="G41" s="514" t="s">
        <v>151</v>
      </c>
      <c r="H41" s="514" t="s">
        <v>88</v>
      </c>
      <c r="I41" s="514" t="s">
        <v>154</v>
      </c>
      <c r="O41" s="82">
        <v>1.1000000000000001</v>
      </c>
      <c r="P41" s="82">
        <f>O41*$Q$4</f>
        <v>26.07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6">
        <f t="shared" si="1"/>
        <v>-1.1901033510804848E-2</v>
      </c>
    </row>
    <row r="42" spans="1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1">C42*(E42-D42)</f>
        <v>-30.999999999999872</v>
      </c>
      <c r="G42" s="378">
        <f t="shared" ref="G42:G47" si="12">D42*C42</f>
        <v>2500</v>
      </c>
      <c r="H42" s="379">
        <f t="shared" ref="H42:H47" si="13">(E42-D42)/D42</f>
        <v>-1.2399999999999949E-2</v>
      </c>
      <c r="I42" s="378"/>
      <c r="O42" s="82">
        <v>1.0900000000000001</v>
      </c>
      <c r="P42" s="82">
        <f t="shared" ref="P42:P61" si="14">O42*$Q$4</f>
        <v>25.833000000000002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6">
        <f t="shared" si="1"/>
        <v>-6.2597809076680999E-4</v>
      </c>
    </row>
    <row r="43" spans="1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1"/>
        <v>26.000000000000156</v>
      </c>
      <c r="G43" s="378">
        <f t="shared" si="12"/>
        <v>2500</v>
      </c>
      <c r="H43" s="379">
        <f t="shared" si="13"/>
        <v>1.0400000000000062E-2</v>
      </c>
      <c r="I43" s="378"/>
      <c r="O43" s="82">
        <v>1.08</v>
      </c>
      <c r="P43" s="82">
        <f t="shared" si="14"/>
        <v>25.596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6">
        <f t="shared" si="1"/>
        <v>6.2992125984251413E-3</v>
      </c>
    </row>
    <row r="44" spans="1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1"/>
        <v>157.00000000000003</v>
      </c>
      <c r="G44" s="378">
        <f t="shared" si="12"/>
        <v>2500</v>
      </c>
      <c r="H44" s="379">
        <f t="shared" si="13"/>
        <v>6.2800000000000009E-2</v>
      </c>
      <c r="I44" s="378"/>
      <c r="O44" s="82">
        <v>1.07</v>
      </c>
      <c r="P44" s="82">
        <f t="shared" si="14"/>
        <v>25.359000000000002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6">
        <f t="shared" si="1"/>
        <v>5.7016154577129718E-3</v>
      </c>
    </row>
    <row r="45" spans="1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1"/>
        <v>46.999999999999886</v>
      </c>
      <c r="G45" s="378">
        <f t="shared" si="12"/>
        <v>2500</v>
      </c>
      <c r="H45" s="379">
        <f t="shared" si="13"/>
        <v>1.8799999999999956E-2</v>
      </c>
      <c r="I45" s="378"/>
      <c r="O45" s="82">
        <v>1.06</v>
      </c>
      <c r="P45" s="82">
        <f t="shared" si="14"/>
        <v>25.122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6">
        <f t="shared" si="1"/>
        <v>1.2508017960231044E-2</v>
      </c>
    </row>
    <row r="46" spans="1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1"/>
        <v>69.000000000000128</v>
      </c>
      <c r="G46" s="378">
        <f t="shared" si="12"/>
        <v>2500</v>
      </c>
      <c r="H46" s="379">
        <f t="shared" si="13"/>
        <v>2.7600000000000052E-2</v>
      </c>
      <c r="I46" s="378"/>
      <c r="O46" s="82">
        <v>1.05</v>
      </c>
      <c r="P46" s="82">
        <f t="shared" si="14"/>
        <v>24.885000000000002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6">
        <f t="shared" si="1"/>
        <v>-7.0063694267515908E-3</v>
      </c>
    </row>
    <row r="47" spans="1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1"/>
        <v>148.00000000000006</v>
      </c>
      <c r="G47" s="378">
        <f t="shared" si="12"/>
        <v>2500</v>
      </c>
      <c r="H47" s="379">
        <f t="shared" si="13"/>
        <v>5.9200000000000016E-2</v>
      </c>
      <c r="I47" s="378"/>
      <c r="O47" s="82">
        <v>1.04</v>
      </c>
      <c r="P47" s="82">
        <f t="shared" si="14"/>
        <v>24.648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6">
        <f t="shared" si="1"/>
        <v>9.6463022508037621E-3</v>
      </c>
    </row>
    <row r="48" spans="1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5">C48*(E48-D48)</f>
        <v>428.00000000000011</v>
      </c>
      <c r="G48" s="378">
        <f t="shared" ref="G48:G54" si="16">D48*C48</f>
        <v>2500</v>
      </c>
      <c r="H48" s="379">
        <f t="shared" ref="H48:H54" si="17">(E48-D48)/D48</f>
        <v>0.17120000000000005</v>
      </c>
      <c r="I48" s="378"/>
      <c r="O48" s="82">
        <v>1.03</v>
      </c>
      <c r="P48" s="82">
        <f t="shared" si="14"/>
        <v>24.411000000000001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6">
        <f t="shared" si="1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5"/>
        <v>368</v>
      </c>
      <c r="G49" s="378">
        <f t="shared" si="16"/>
        <v>2500</v>
      </c>
      <c r="H49" s="379">
        <f t="shared" si="17"/>
        <v>0.1472</v>
      </c>
      <c r="I49" s="378"/>
      <c r="O49" s="82">
        <v>1.02</v>
      </c>
      <c r="P49" s="82">
        <f t="shared" si="14"/>
        <v>24.173999999999999</v>
      </c>
      <c r="Q49" s="2"/>
      <c r="T49" s="92" t="s">
        <v>121</v>
      </c>
      <c r="U49" s="129" t="s">
        <v>447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6">
        <f t="shared" si="1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5"/>
        <v>401.00000000000017</v>
      </c>
      <c r="G50" s="378">
        <f t="shared" si="16"/>
        <v>2500</v>
      </c>
      <c r="H50" s="379">
        <f t="shared" si="17"/>
        <v>0.16040000000000007</v>
      </c>
      <c r="I50" s="378"/>
      <c r="O50" s="82">
        <v>1.01</v>
      </c>
      <c r="P50" s="82">
        <f t="shared" si="14"/>
        <v>23.937000000000001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6">
        <f t="shared" si="1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5"/>
        <v>389.00000000000006</v>
      </c>
      <c r="G51" s="378">
        <f t="shared" si="16"/>
        <v>2500</v>
      </c>
      <c r="H51" s="379">
        <f t="shared" si="17"/>
        <v>0.15560000000000002</v>
      </c>
      <c r="I51" s="378"/>
      <c r="O51" s="82">
        <v>1</v>
      </c>
      <c r="P51" s="82">
        <f t="shared" si="14"/>
        <v>23.7</v>
      </c>
      <c r="Q51" s="2"/>
      <c r="T51" s="92" t="s">
        <v>104</v>
      </c>
      <c r="U51" s="129" t="s">
        <v>674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6">
        <f t="shared" si="1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5"/>
        <v>362.99999999999989</v>
      </c>
      <c r="G52" s="378">
        <f t="shared" si="16"/>
        <v>2500</v>
      </c>
      <c r="H52" s="379">
        <f t="shared" si="17"/>
        <v>0.14519999999999997</v>
      </c>
      <c r="I52" s="378"/>
      <c r="O52" s="82">
        <v>0.99</v>
      </c>
      <c r="P52" s="82">
        <f t="shared" si="14"/>
        <v>23.462999999999997</v>
      </c>
      <c r="Q52" s="2"/>
      <c r="T52" s="92" t="s">
        <v>105</v>
      </c>
      <c r="U52" s="129" t="s">
        <v>461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6">
        <f t="shared" si="1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5"/>
        <v>434</v>
      </c>
      <c r="G53" s="378">
        <f t="shared" si="16"/>
        <v>2500</v>
      </c>
      <c r="H53" s="379">
        <f t="shared" si="17"/>
        <v>0.1736</v>
      </c>
      <c r="I53" s="378"/>
      <c r="O53" s="82">
        <v>0.98</v>
      </c>
      <c r="P53" s="82">
        <f t="shared" si="14"/>
        <v>23.225999999999999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6">
        <f t="shared" si="1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5"/>
        <v>200</v>
      </c>
      <c r="G54" s="378">
        <f t="shared" si="16"/>
        <v>2500</v>
      </c>
      <c r="H54" s="379">
        <f t="shared" si="17"/>
        <v>0.08</v>
      </c>
      <c r="I54" s="378"/>
      <c r="O54" s="82">
        <v>0.97</v>
      </c>
      <c r="P54" s="82">
        <f t="shared" si="14"/>
        <v>22.988999999999997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6">
        <f t="shared" si="1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4"/>
        <v>22.751999999999999</v>
      </c>
      <c r="T55" s="92" t="s">
        <v>107</v>
      </c>
      <c r="U55" s="129" t="s">
        <v>675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6">
        <f t="shared" si="1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4"/>
        <v>22.514999999999997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6">
        <f t="shared" si="1"/>
        <v>-1.1210023079459286E-2</v>
      </c>
    </row>
    <row r="57" spans="2:31" x14ac:dyDescent="0.25">
      <c r="B57" s="189" t="s">
        <v>113</v>
      </c>
      <c r="C57" s="189" t="s">
        <v>146</v>
      </c>
      <c r="D57" s="190" t="s">
        <v>145</v>
      </c>
      <c r="E57" s="192" t="s">
        <v>147</v>
      </c>
      <c r="F57" s="192" t="s">
        <v>65</v>
      </c>
      <c r="G57" s="227" t="s">
        <v>151</v>
      </c>
      <c r="H57" s="227" t="s">
        <v>88</v>
      </c>
      <c r="I57" s="227" t="s">
        <v>154</v>
      </c>
      <c r="O57" s="82">
        <v>0.94</v>
      </c>
      <c r="P57" s="82">
        <f t="shared" si="14"/>
        <v>22.277999999999999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6">
        <f t="shared" si="1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4"/>
        <v>22.041</v>
      </c>
      <c r="T58" s="92" t="s">
        <v>108</v>
      </c>
      <c r="U58" s="129" t="s">
        <v>595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6">
        <f t="shared" si="1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8">C59*(E59-D59)</f>
        <v>-9.9999999999999645</v>
      </c>
      <c r="G59" s="260">
        <f t="shared" ref="G59:G64" si="19">D59*C59</f>
        <v>1287</v>
      </c>
      <c r="H59" s="274">
        <f t="shared" ref="H59:H64" si="20">(E59-D59)/D59</f>
        <v>-7.7700077700077431E-3</v>
      </c>
      <c r="I59" s="260"/>
      <c r="O59" s="82">
        <v>0.92</v>
      </c>
      <c r="P59" s="82">
        <f t="shared" si="14"/>
        <v>21.804000000000002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6">
        <f t="shared" si="1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8"/>
        <v>-45.999999999999908</v>
      </c>
      <c r="G60" s="260">
        <f t="shared" si="19"/>
        <v>1287</v>
      </c>
      <c r="H60" s="274">
        <f t="shared" si="20"/>
        <v>-3.5742035742035674E-2</v>
      </c>
      <c r="I60" s="260"/>
      <c r="O60" s="82">
        <v>0.91</v>
      </c>
      <c r="P60" s="82">
        <f t="shared" si="14"/>
        <v>21.567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6">
        <f t="shared" si="1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8"/>
        <v>-82.000000000000028</v>
      </c>
      <c r="G61" s="260">
        <f t="shared" si="19"/>
        <v>2496</v>
      </c>
      <c r="H61" s="274">
        <f t="shared" si="20"/>
        <v>-3.2852564102564111E-2</v>
      </c>
      <c r="I61" s="260"/>
      <c r="O61" s="82">
        <v>0.9</v>
      </c>
      <c r="P61" s="82">
        <f t="shared" si="14"/>
        <v>21.33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6">
        <f t="shared" si="1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8"/>
        <v>-99.000000000000028</v>
      </c>
      <c r="G62" s="260">
        <f t="shared" si="19"/>
        <v>3720</v>
      </c>
      <c r="H62" s="274">
        <f t="shared" si="20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6">
        <f t="shared" si="1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8"/>
        <v>-121.50000000000034</v>
      </c>
      <c r="G63" s="260">
        <f t="shared" si="19"/>
        <v>3720</v>
      </c>
      <c r="H63" s="274">
        <f t="shared" si="20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6">
        <f t="shared" si="1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8"/>
        <v>-50.999999999999979</v>
      </c>
      <c r="G64" s="260">
        <f t="shared" si="19"/>
        <v>3720</v>
      </c>
      <c r="H64" s="274">
        <f t="shared" si="20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6">
        <f t="shared" si="1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1">C65*(E65-D65)</f>
        <v>13.499999999999979</v>
      </c>
      <c r="G65" s="260">
        <f t="shared" ref="G65:G76" si="22">D65*C65</f>
        <v>3720</v>
      </c>
      <c r="H65" s="274">
        <f t="shared" ref="H65:H76" si="23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6">
        <f t="shared" si="1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1"/>
        <v>40.499999999999936</v>
      </c>
      <c r="G66" s="260">
        <f t="shared" si="22"/>
        <v>3720</v>
      </c>
      <c r="H66" s="274">
        <f t="shared" si="23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6">
        <f t="shared" si="1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1"/>
        <v>7.5000000000001066</v>
      </c>
      <c r="G67" s="260">
        <f t="shared" si="22"/>
        <v>3720</v>
      </c>
      <c r="H67" s="274">
        <f t="shared" si="23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1"/>
        <v>-33.000000000000362</v>
      </c>
      <c r="G68" s="260">
        <f t="shared" si="22"/>
        <v>3720</v>
      </c>
      <c r="H68" s="274">
        <f t="shared" si="23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1"/>
        <v>-211.50000000000003</v>
      </c>
      <c r="G69" s="260">
        <f t="shared" si="22"/>
        <v>3720</v>
      </c>
      <c r="H69" s="274">
        <f t="shared" si="23"/>
        <v>-5.6854838709677426E-2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1"/>
        <v>-144.00000000000011</v>
      </c>
      <c r="G70" s="260">
        <f t="shared" si="22"/>
        <v>3720</v>
      </c>
      <c r="H70" s="274">
        <f t="shared" si="23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1"/>
        <v>-73.500000000000298</v>
      </c>
      <c r="G71" s="260">
        <f t="shared" si="22"/>
        <v>3720</v>
      </c>
      <c r="H71" s="274">
        <f t="shared" si="23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1"/>
        <v>-104.53499999999991</v>
      </c>
      <c r="G72" s="260">
        <f t="shared" si="22"/>
        <v>3694.0349999999999</v>
      </c>
      <c r="H72" s="274">
        <f t="shared" si="23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1"/>
        <v>-164.53499999999968</v>
      </c>
      <c r="G73" s="260">
        <f t="shared" si="22"/>
        <v>3694.0349999999999</v>
      </c>
      <c r="H73" s="274">
        <f t="shared" si="23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1"/>
        <v>8.2949999999998525</v>
      </c>
      <c r="G74" s="260">
        <f t="shared" si="22"/>
        <v>3639.7050000000004</v>
      </c>
      <c r="H74" s="274">
        <f t="shared" si="23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1"/>
        <v>69.794999999999874</v>
      </c>
      <c r="G75" s="260">
        <f t="shared" si="22"/>
        <v>3639.7050000000004</v>
      </c>
      <c r="H75" s="274">
        <f t="shared" si="23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1"/>
        <v>589.25999999999976</v>
      </c>
      <c r="G76" s="260">
        <f t="shared" si="22"/>
        <v>2250.7400000000002</v>
      </c>
      <c r="H76" s="274">
        <f t="shared" si="23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229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353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353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353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353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353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196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13" priority="37">
      <formula>F55&gt;0</formula>
    </cfRule>
    <cfRule type="expression" dxfId="712" priority="38">
      <formula>F55&lt;0</formula>
    </cfRule>
  </conditionalFormatting>
  <conditionalFormatting sqref="Q7">
    <cfRule type="expression" dxfId="711" priority="25">
      <formula>Q7&gt;0</formula>
    </cfRule>
    <cfRule type="expression" dxfId="710" priority="26">
      <formula>Q7&lt;0</formula>
    </cfRule>
  </conditionalFormatting>
  <conditionalFormatting sqref="Q8">
    <cfRule type="expression" dxfId="709" priority="23">
      <formula>Q8&gt;0</formula>
    </cfRule>
    <cfRule type="expression" dxfId="708" priority="24">
      <formula>Q8&lt;0</formula>
    </cfRule>
  </conditionalFormatting>
  <conditionalFormatting sqref="F42:F54">
    <cfRule type="expression" dxfId="707" priority="21">
      <formula>F42&gt;0</formula>
    </cfRule>
    <cfRule type="expression" dxfId="706" priority="22">
      <formula>F42&lt;0</formula>
    </cfRule>
  </conditionalFormatting>
  <conditionalFormatting sqref="H42:H54">
    <cfRule type="expression" dxfId="705" priority="19">
      <formula>H42&gt;0</formula>
    </cfRule>
    <cfRule type="expression" dxfId="704" priority="20">
      <formula>H42&lt;0</formula>
    </cfRule>
  </conditionalFormatting>
  <conditionalFormatting sqref="H58:H61">
    <cfRule type="expression" dxfId="703" priority="15">
      <formula>H58&gt;0</formula>
    </cfRule>
    <cfRule type="expression" dxfId="702" priority="16">
      <formula>H58&lt;0</formula>
    </cfRule>
  </conditionalFormatting>
  <conditionalFormatting sqref="F58:F61">
    <cfRule type="expression" dxfId="701" priority="17">
      <formula>F58&gt;0</formula>
    </cfRule>
    <cfRule type="expression" dxfId="700" priority="18">
      <formula>F58&lt;0</formula>
    </cfRule>
  </conditionalFormatting>
  <conditionalFormatting sqref="M84">
    <cfRule type="expression" dxfId="699" priority="13">
      <formula>M84&gt;0</formula>
    </cfRule>
    <cfRule type="expression" dxfId="698" priority="14">
      <formula>M84&lt;0</formula>
    </cfRule>
  </conditionalFormatting>
  <conditionalFormatting sqref="F23:F24 F31:F39">
    <cfRule type="expression" dxfId="697" priority="11">
      <formula>F23&gt;0</formula>
    </cfRule>
    <cfRule type="expression" dxfId="696" priority="12">
      <formula>F23&lt;0</formula>
    </cfRule>
  </conditionalFormatting>
  <conditionalFormatting sqref="H23:H24 H31:H39">
    <cfRule type="expression" dxfId="695" priority="9">
      <formula>H23&gt;0</formula>
    </cfRule>
    <cfRule type="expression" dxfId="694" priority="10">
      <formula>H23&lt;0</formula>
    </cfRule>
  </conditionalFormatting>
  <conditionalFormatting sqref="Q10">
    <cfRule type="expression" dxfId="693" priority="7">
      <formula>Q10&gt;0</formula>
    </cfRule>
    <cfRule type="expression" dxfId="692" priority="8">
      <formula>Q10&lt;0</formula>
    </cfRule>
  </conditionalFormatting>
  <conditionalFormatting sqref="F25:F30">
    <cfRule type="expression" dxfId="691" priority="5">
      <formula>F25&gt;0</formula>
    </cfRule>
    <cfRule type="expression" dxfId="690" priority="6">
      <formula>F25&lt;0</formula>
    </cfRule>
  </conditionalFormatting>
  <conditionalFormatting sqref="H25:H30">
    <cfRule type="expression" dxfId="689" priority="3">
      <formula>H25&gt;0</formula>
    </cfRule>
    <cfRule type="expression" dxfId="688" priority="4">
      <formula>H25&lt;0</formula>
    </cfRule>
  </conditionalFormatting>
  <conditionalFormatting sqref="K28:K35">
    <cfRule type="expression" dxfId="687" priority="1">
      <formula>K28&gt;0</formula>
    </cfRule>
    <cfRule type="expression" dxfId="686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54.91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54.91</v>
      </c>
      <c r="R4" s="498">
        <v>-2.3999999999999998E-3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560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60.401000000000003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59.851900000000001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59.302799999999998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58.753700000000002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58.204599999999999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57.655499999999996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57.106400000000001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56.557299999999998</v>
      </c>
      <c r="Q48" s="2"/>
      <c r="T48" s="92" t="s">
        <v>331</v>
      </c>
      <c r="U48" s="87" t="s">
        <v>541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56.008199999999995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55.459099999999999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54.91</v>
      </c>
      <c r="Q51" s="2"/>
      <c r="T51" s="92" t="s">
        <v>104</v>
      </c>
      <c r="U51" s="87" t="s">
        <v>676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54.360899999999994</v>
      </c>
      <c r="Q52" s="2"/>
      <c r="T52" s="92" t="s">
        <v>105</v>
      </c>
      <c r="U52" s="87" t="s">
        <v>559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53.811799999999998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53.262699999999995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52.713599999999992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52.164499999999997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51.615399999999994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51.066299999999998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50.517200000000003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49.9681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49.418999999999997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5" priority="9">
      <formula>F39&gt;0</formula>
    </cfRule>
    <cfRule type="expression" dxfId="684" priority="10">
      <formula>F39&lt;0</formula>
    </cfRule>
  </conditionalFormatting>
  <conditionalFormatting sqref="F25:F38">
    <cfRule type="expression" dxfId="683" priority="7">
      <formula>F25&gt;0</formula>
    </cfRule>
    <cfRule type="expression" dxfId="682" priority="8">
      <formula>F25&lt;0</formula>
    </cfRule>
  </conditionalFormatting>
  <conditionalFormatting sqref="H25:H38">
    <cfRule type="expression" dxfId="681" priority="5">
      <formula>H25&gt;0</formula>
    </cfRule>
    <cfRule type="expression" dxfId="680" priority="6">
      <formula>H25&lt;0</formula>
    </cfRule>
  </conditionalFormatting>
  <conditionalFormatting sqref="Q7">
    <cfRule type="expression" dxfId="679" priority="3">
      <formula>Q7&gt;0</formula>
    </cfRule>
    <cfRule type="expression" dxfId="678" priority="4">
      <formula>Q7&lt;0</formula>
    </cfRule>
  </conditionalFormatting>
  <conditionalFormatting sqref="Q8">
    <cfRule type="expression" dxfId="677" priority="1">
      <formula>Q8&gt;0</formula>
    </cfRule>
    <cfRule type="expression" dxfId="67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>I2*H2-J2</f>
        <v>5589.88</v>
      </c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247</v>
      </c>
      <c r="V2" s="16"/>
      <c r="W2" s="139">
        <v>42830</v>
      </c>
      <c r="X2" s="140">
        <v>28.64</v>
      </c>
      <c r="Y2" s="140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6">
        <f>AC2/AC3-1</f>
        <v>-1.1542497376705096E-2</v>
      </c>
    </row>
    <row r="3" spans="1:42" x14ac:dyDescent="0.25">
      <c r="A3" s="23" t="s">
        <v>71</v>
      </c>
      <c r="B3" s="499">
        <v>42796</v>
      </c>
      <c r="C3" s="7">
        <v>550</v>
      </c>
      <c r="D3" s="7">
        <v>24.74</v>
      </c>
      <c r="E3" s="7">
        <v>0</v>
      </c>
      <c r="F3" s="44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>I3*H3-J3</f>
        <v>5635.88</v>
      </c>
      <c r="L3" s="4"/>
      <c r="M3" s="4"/>
      <c r="N3" s="4"/>
      <c r="O3" s="11" t="s">
        <v>58</v>
      </c>
      <c r="Q3" s="506">
        <f>(F22-K22)/Q2</f>
        <v>19.737075000000015</v>
      </c>
      <c r="T3" s="1">
        <v>42621</v>
      </c>
      <c r="U3" s="34" t="s">
        <v>265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6">
        <f t="shared" ref="AE3:AE66" si="2">AC3/AC4-1</f>
        <v>-1.7458100558659373E-3</v>
      </c>
      <c r="AL3" s="232"/>
      <c r="AO3" s="232"/>
    </row>
    <row r="4" spans="1:42" x14ac:dyDescent="0.25">
      <c r="B4" s="499">
        <v>42803</v>
      </c>
      <c r="C4" s="7">
        <v>100</v>
      </c>
      <c r="D4" s="44">
        <v>25.05</v>
      </c>
      <c r="E4" s="44">
        <v>0</v>
      </c>
      <c r="F4" s="44">
        <f t="shared" ref="F4:F9" si="3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>I4*H4-J4</f>
        <v>1415.97</v>
      </c>
      <c r="L4" s="4"/>
      <c r="M4" s="4"/>
      <c r="N4" s="4"/>
      <c r="O4" s="11" t="s">
        <v>66</v>
      </c>
      <c r="Q4" s="199">
        <v>29.03</v>
      </c>
      <c r="R4" s="498">
        <v>-9.9000000000000008E-3</v>
      </c>
      <c r="T4" s="1">
        <v>42627</v>
      </c>
      <c r="U4" s="34" t="s">
        <v>265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6">
        <f t="shared" si="2"/>
        <v>-8.996539792387459E-3</v>
      </c>
      <c r="AL4" s="232"/>
      <c r="AO4" s="232"/>
    </row>
    <row r="5" spans="1:42" x14ac:dyDescent="0.25">
      <c r="B5" s="499">
        <v>42809</v>
      </c>
      <c r="C5" s="7">
        <v>200</v>
      </c>
      <c r="D5" s="44">
        <v>24.98</v>
      </c>
      <c r="E5" s="44">
        <v>0</v>
      </c>
      <c r="F5" s="44">
        <f t="shared" si="3"/>
        <v>4996</v>
      </c>
      <c r="G5" s="453">
        <v>42864</v>
      </c>
      <c r="H5" s="81">
        <v>450</v>
      </c>
      <c r="I5" s="44">
        <v>28.38</v>
      </c>
      <c r="J5" s="44">
        <v>0.28000000000000003</v>
      </c>
      <c r="K5" s="44">
        <f>I5*H5-J5</f>
        <v>12770.72</v>
      </c>
      <c r="L5" s="4"/>
      <c r="M5" s="4"/>
      <c r="N5" s="4"/>
      <c r="O5" s="11" t="s">
        <v>67</v>
      </c>
      <c r="Q5" s="3">
        <f>Q4*Q2</f>
        <v>11612</v>
      </c>
      <c r="T5" t="s">
        <v>339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6">
        <f t="shared" si="2"/>
        <v>-2.4162927166033743E-3</v>
      </c>
      <c r="AL5" s="232"/>
      <c r="AO5" s="232"/>
    </row>
    <row r="6" spans="1:42" x14ac:dyDescent="0.25">
      <c r="B6" s="499">
        <v>42818</v>
      </c>
      <c r="C6" s="7">
        <v>100</v>
      </c>
      <c r="D6" s="44">
        <v>28.48</v>
      </c>
      <c r="E6" s="44">
        <v>0</v>
      </c>
      <c r="F6" s="44">
        <f t="shared" si="3"/>
        <v>2848</v>
      </c>
      <c r="G6" s="453">
        <v>42864</v>
      </c>
      <c r="H6" s="81">
        <v>100</v>
      </c>
      <c r="I6" s="44">
        <v>28.67</v>
      </c>
      <c r="J6" s="44">
        <v>0.06</v>
      </c>
      <c r="K6" s="44">
        <f>I6*H6-J6</f>
        <v>2866.94</v>
      </c>
      <c r="L6" s="4"/>
      <c r="M6" s="4"/>
      <c r="N6" s="4"/>
      <c r="O6" s="11" t="s">
        <v>64</v>
      </c>
      <c r="Q6" s="2">
        <f>Q3*Q2</f>
        <v>7894.8300000000063</v>
      </c>
      <c r="T6" s="23" t="s">
        <v>492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6">
        <f t="shared" si="2"/>
        <v>1.6491228070175445E-2</v>
      </c>
      <c r="AL6" s="232"/>
      <c r="AO6" s="232"/>
    </row>
    <row r="7" spans="1:42" x14ac:dyDescent="0.25">
      <c r="B7" s="500">
        <v>42835</v>
      </c>
      <c r="C7" s="4">
        <v>100</v>
      </c>
      <c r="D7" s="3">
        <v>28.08</v>
      </c>
      <c r="E7" s="3">
        <v>0</v>
      </c>
      <c r="F7" s="3">
        <f t="shared" si="3"/>
        <v>2808</v>
      </c>
      <c r="G7" s="73"/>
      <c r="H7" s="4"/>
      <c r="I7" s="3"/>
      <c r="J7" s="3"/>
      <c r="K7" s="3"/>
      <c r="L7" s="4"/>
      <c r="M7" s="4"/>
      <c r="N7" s="4"/>
      <c r="O7" s="11" t="s">
        <v>180</v>
      </c>
      <c r="Q7" s="2">
        <f>Q10+Q8</f>
        <v>19213.036999999847</v>
      </c>
      <c r="R7">
        <v>100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6">
        <f t="shared" si="2"/>
        <v>-6.6225165562914245E-3</v>
      </c>
    </row>
    <row r="8" spans="1:42" x14ac:dyDescent="0.25">
      <c r="B8" s="501">
        <v>42836</v>
      </c>
      <c r="C8" s="4">
        <v>100</v>
      </c>
      <c r="D8" s="3">
        <v>27.06</v>
      </c>
      <c r="E8" s="3">
        <v>0</v>
      </c>
      <c r="F8" s="3">
        <f t="shared" si="3"/>
        <v>2706</v>
      </c>
      <c r="G8" s="73"/>
      <c r="H8" s="4"/>
      <c r="I8" s="3"/>
      <c r="J8" s="3"/>
      <c r="K8" s="3"/>
      <c r="L8" s="4"/>
      <c r="M8" s="4"/>
      <c r="N8" s="4"/>
      <c r="O8" s="11" t="s">
        <v>182</v>
      </c>
      <c r="P8" s="34"/>
      <c r="Q8" s="2">
        <f>K22+M22-F22+Q2*Q4</f>
        <v>3717.1699999999946</v>
      </c>
      <c r="T8" t="s">
        <v>564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6">
        <f t="shared" si="2"/>
        <v>-2.4339360222531692E-3</v>
      </c>
      <c r="AL8" s="232"/>
      <c r="AO8" s="232"/>
      <c r="AP8" s="232"/>
    </row>
    <row r="9" spans="1:42" x14ac:dyDescent="0.25">
      <c r="B9" s="501">
        <v>42846</v>
      </c>
      <c r="C9" s="4">
        <v>200</v>
      </c>
      <c r="D9" s="3">
        <v>27.34</v>
      </c>
      <c r="E9" s="3">
        <v>-0.78</v>
      </c>
      <c r="F9" s="3">
        <f t="shared" si="3"/>
        <v>5467.22</v>
      </c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0.47083597746879813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6">
        <f t="shared" si="2"/>
        <v>1.1607456911713054E-2</v>
      </c>
    </row>
    <row r="10" spans="1:42" x14ac:dyDescent="0.25">
      <c r="B10" s="30"/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6">
        <f t="shared" si="2"/>
        <v>7.4046089913109236E-2</v>
      </c>
      <c r="AL10" s="232"/>
      <c r="AO10" s="232"/>
    </row>
    <row r="11" spans="1:42" x14ac:dyDescent="0.25">
      <c r="B11" s="30"/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6">
        <f t="shared" si="2"/>
        <v>1.5732924021488959E-2</v>
      </c>
    </row>
    <row r="12" spans="1:42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6">
        <f t="shared" si="2"/>
        <v>2.1159874608150497E-2</v>
      </c>
      <c r="AL12" s="232"/>
      <c r="AO12" s="232"/>
    </row>
    <row r="13" spans="1:42" x14ac:dyDescent="0.25">
      <c r="B13" s="500"/>
      <c r="C13" s="4"/>
      <c r="D13" s="3"/>
      <c r="E13" s="3"/>
      <c r="F13" s="3"/>
      <c r="G13" s="712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6">
        <f t="shared" si="2"/>
        <v>-2.6325829835940562E-2</v>
      </c>
    </row>
    <row r="14" spans="1:42" x14ac:dyDescent="0.25">
      <c r="B14" s="500"/>
      <c r="C14" s="4"/>
      <c r="D14" s="3"/>
      <c r="E14" s="3"/>
      <c r="F14" s="3"/>
      <c r="G14" s="712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6">
        <f t="shared" si="2"/>
        <v>1.5891472868217127E-2</v>
      </c>
      <c r="AL14" s="232"/>
      <c r="AO14" s="232"/>
      <c r="AP14" s="232"/>
    </row>
    <row r="15" spans="1:42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6">
        <f t="shared" si="2"/>
        <v>-9.2165898617511122E-3</v>
      </c>
    </row>
    <row r="16" spans="1:42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6">
        <f t="shared" si="2"/>
        <v>-3.0627871362940429E-3</v>
      </c>
    </row>
    <row r="17" spans="1:41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6">
        <f t="shared" si="2"/>
        <v>2.1110242376856991E-2</v>
      </c>
    </row>
    <row r="18" spans="1:41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6">
        <f t="shared" si="2"/>
        <v>-4.6692607003890885E-3</v>
      </c>
      <c r="AL18" s="232"/>
      <c r="AO18" s="232"/>
    </row>
    <row r="19" spans="1:41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6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6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6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1400</v>
      </c>
      <c r="D22" s="12"/>
      <c r="E22" s="12"/>
      <c r="F22" s="13">
        <f>SUM(F2:F21)</f>
        <v>36174.22</v>
      </c>
      <c r="G22" s="12"/>
      <c r="H22" s="12">
        <f>SUM(H2:H21)</f>
        <v>1000</v>
      </c>
      <c r="I22" s="13"/>
      <c r="J22" s="13"/>
      <c r="K22" s="13">
        <f>SUM(K2:K21)</f>
        <v>28279.389999999996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6">
        <f t="shared" si="2"/>
        <v>-1.0140405616224757E-2</v>
      </c>
    </row>
    <row r="23" spans="1:41" ht="15.75" thickBot="1" x14ac:dyDescent="0.3">
      <c r="A23" s="352" t="s">
        <v>196</v>
      </c>
      <c r="B23" s="353"/>
      <c r="C23" s="354">
        <f>SumByColor($A$23,C2:C21)</f>
        <v>1000</v>
      </c>
      <c r="D23" s="354"/>
      <c r="E23" s="354"/>
      <c r="F23" s="355">
        <f>SumByColor($A$23,F2:F21)</f>
        <v>25193</v>
      </c>
      <c r="G23" s="354"/>
      <c r="H23" s="354">
        <f>SumByColor($A$23,H2:H21)</f>
        <v>1000</v>
      </c>
      <c r="I23" s="354"/>
      <c r="J23" s="354"/>
      <c r="K23" s="355">
        <f>SumByColor($A$23,K2:K21)</f>
        <v>28280</v>
      </c>
      <c r="L23" s="354"/>
      <c r="M23" s="355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6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6">
        <f t="shared" si="2"/>
        <v>5.4751662104028931E-3</v>
      </c>
    </row>
    <row r="25" spans="1:4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6">
        <f t="shared" si="2"/>
        <v>3.5222672064777472E-2</v>
      </c>
    </row>
    <row r="26" spans="1:41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6">
        <f t="shared" si="2"/>
        <v>6.109979633401208E-3</v>
      </c>
    </row>
    <row r="27" spans="1:41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6">
        <f t="shared" si="2"/>
        <v>4.7354948805460761E-2</v>
      </c>
    </row>
    <row r="28" spans="1:41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6">
        <f t="shared" si="2"/>
        <v>-1.3468013468013518E-2</v>
      </c>
    </row>
    <row r="29" spans="1:4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494</v>
      </c>
      <c r="L29" s="227" t="s">
        <v>760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6">
        <f t="shared" si="2"/>
        <v>2.2375215146299698E-2</v>
      </c>
    </row>
    <row r="30" spans="1:41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6">
        <f t="shared" si="2"/>
        <v>-1.0221465076661107E-2</v>
      </c>
    </row>
    <row r="31" spans="1:41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6">
        <f t="shared" si="2"/>
        <v>-1.1368421052631583E-2</v>
      </c>
    </row>
    <row r="32" spans="1:41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6">
        <f t="shared" si="2"/>
        <v>-8.413967185527671E-4</v>
      </c>
    </row>
    <row r="33" spans="1:41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6">
        <f t="shared" si="2"/>
        <v>1.7987152034261156E-2</v>
      </c>
    </row>
    <row r="34" spans="1:41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6">
        <f t="shared" si="2"/>
        <v>1.6100957354221013E-2</v>
      </c>
    </row>
    <row r="35" spans="1:41" x14ac:dyDescent="0.25">
      <c r="A35" s="523" t="s">
        <v>396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6">
        <f t="shared" si="2"/>
        <v>-1.7376194613378804E-3</v>
      </c>
    </row>
    <row r="36" spans="1:41" x14ac:dyDescent="0.25">
      <c r="A36" s="523" t="s">
        <v>413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6">
        <f t="shared" si="2"/>
        <v>-4.325259515570945E-3</v>
      </c>
      <c r="AL36" s="232"/>
    </row>
    <row r="37" spans="1:41" x14ac:dyDescent="0.25">
      <c r="A37" s="523" t="s">
        <v>439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6">
        <f t="shared" si="2"/>
        <v>-3.2635983263598178E-2</v>
      </c>
    </row>
    <row r="38" spans="1:41" x14ac:dyDescent="0.25">
      <c r="A38" s="523" t="s">
        <v>444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6">
        <f t="shared" si="2"/>
        <v>-6.2370062370062929E-3</v>
      </c>
    </row>
    <row r="39" spans="1:41" x14ac:dyDescent="0.25">
      <c r="A39" s="523" t="s">
        <v>458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6">
        <f t="shared" si="2"/>
        <v>-1.6359918200408941E-2</v>
      </c>
    </row>
    <row r="40" spans="1:41" x14ac:dyDescent="0.25">
      <c r="A40" s="664" t="s">
        <v>458</v>
      </c>
      <c r="B40" s="665">
        <v>42788</v>
      </c>
      <c r="C40" s="664">
        <v>1550</v>
      </c>
      <c r="D40" s="683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84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6">
        <f t="shared" si="2"/>
        <v>9.913258983890838E-3</v>
      </c>
    </row>
    <row r="41" spans="1:41" x14ac:dyDescent="0.25">
      <c r="A41" s="664" t="s">
        <v>478</v>
      </c>
      <c r="B41" s="665">
        <v>42790</v>
      </c>
      <c r="C41" s="664">
        <v>1550</v>
      </c>
      <c r="D41" s="683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84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6">
        <f t="shared" si="2"/>
        <v>-1.585365853658538E-2</v>
      </c>
    </row>
    <row r="42" spans="1:41" ht="20.25" thickBot="1" x14ac:dyDescent="0.35">
      <c r="A42" s="664"/>
      <c r="B42" s="665">
        <v>42793</v>
      </c>
      <c r="C42" s="664">
        <v>1550</v>
      </c>
      <c r="D42" s="683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84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T42" s="90" t="s">
        <v>112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6">
        <f t="shared" si="2"/>
        <v>1.0682004930156141E-2</v>
      </c>
      <c r="AL42" s="232"/>
      <c r="AO42" s="232"/>
    </row>
    <row r="43" spans="1:41" ht="15.75" thickTop="1" x14ac:dyDescent="0.25">
      <c r="A43" s="664">
        <v>600</v>
      </c>
      <c r="B43" s="665">
        <v>42795</v>
      </c>
      <c r="C43" s="664">
        <v>1200</v>
      </c>
      <c r="D43" s="683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84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T43" s="127" t="s">
        <v>97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6">
        <f t="shared" si="2"/>
        <v>-1.0569105691056957E-2</v>
      </c>
    </row>
    <row r="44" spans="1:41" ht="20.25" thickBot="1" x14ac:dyDescent="0.35">
      <c r="A44" s="664">
        <v>200</v>
      </c>
      <c r="B44" s="665">
        <v>42796</v>
      </c>
      <c r="C44" s="664">
        <v>1200</v>
      </c>
      <c r="D44" s="683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84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704" t="s">
        <v>78</v>
      </c>
      <c r="P44" s="704"/>
      <c r="T44" s="92" t="s">
        <v>98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6">
        <f t="shared" si="2"/>
        <v>-7.664380798709014E-3</v>
      </c>
    </row>
    <row r="45" spans="1:41" ht="15.75" thickTop="1" x14ac:dyDescent="0.25">
      <c r="A45" s="664">
        <v>100</v>
      </c>
      <c r="B45" s="665">
        <v>42798</v>
      </c>
      <c r="C45" s="664">
        <v>1000</v>
      </c>
      <c r="D45" s="683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84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1.1000000000000001</v>
      </c>
      <c r="P45" s="82">
        <f>O45*$Q$4</f>
        <v>31.933000000000003</v>
      </c>
      <c r="T45" s="92" t="s">
        <v>99</v>
      </c>
      <c r="U45" s="129" t="s">
        <v>677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6">
        <f t="shared" si="2"/>
        <v>1.6161616161616266E-3</v>
      </c>
    </row>
    <row r="46" spans="1:41" x14ac:dyDescent="0.25">
      <c r="A46" s="664">
        <v>100</v>
      </c>
      <c r="B46" s="665">
        <v>42803</v>
      </c>
      <c r="C46" s="664">
        <v>1100</v>
      </c>
      <c r="D46" s="683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84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O46" s="82">
        <v>1.0900000000000001</v>
      </c>
      <c r="P46" s="82">
        <f t="shared" ref="P46:P65" si="23">O46*$Q$4</f>
        <v>31.642700000000005</v>
      </c>
      <c r="T46" s="92" t="s">
        <v>100</v>
      </c>
      <c r="U46" s="129" t="s">
        <v>678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6">
        <f t="shared" si="2"/>
        <v>2.6545002073828261E-2</v>
      </c>
    </row>
    <row r="47" spans="1:41" x14ac:dyDescent="0.25">
      <c r="A47" s="664">
        <v>0</v>
      </c>
      <c r="B47" s="665">
        <v>42804</v>
      </c>
      <c r="C47" s="664">
        <v>1000</v>
      </c>
      <c r="D47" s="683">
        <v>22.371400000000001</v>
      </c>
      <c r="E47" s="666">
        <v>25.18</v>
      </c>
      <c r="F47" s="666">
        <f t="shared" ref="F47" si="24">-C47*(D47-E47)</f>
        <v>2808.5999999999985</v>
      </c>
      <c r="G47" s="666">
        <f t="shared" ref="G47" si="25">IF(C47=0, 0,D47*C47)</f>
        <v>22371.4</v>
      </c>
      <c r="H47" s="684">
        <f t="shared" ref="H47" si="26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O47" s="82">
        <v>1.08</v>
      </c>
      <c r="P47" s="82">
        <f t="shared" si="23"/>
        <v>31.352400000000003</v>
      </c>
      <c r="T47" s="92" t="s">
        <v>101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6">
        <f t="shared" si="2"/>
        <v>-2.8949545078577055E-3</v>
      </c>
    </row>
    <row r="48" spans="1:41" x14ac:dyDescent="0.25">
      <c r="A48" s="664">
        <v>200</v>
      </c>
      <c r="B48" s="665">
        <v>42808</v>
      </c>
      <c r="C48" s="664">
        <v>1000</v>
      </c>
      <c r="D48" s="683">
        <v>22.371400000000001</v>
      </c>
      <c r="E48" s="666">
        <v>25.58</v>
      </c>
      <c r="F48" s="666">
        <f t="shared" ref="F48" si="27">-C48*(D48-E48)</f>
        <v>3208.5999999999972</v>
      </c>
      <c r="G48" s="666">
        <f t="shared" ref="G48" si="28">IF(C48=0, 0,D48*C48)</f>
        <v>22371.4</v>
      </c>
      <c r="H48" s="684">
        <f t="shared" ref="H48" si="29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O48" s="82">
        <v>1.07</v>
      </c>
      <c r="P48" s="82">
        <f t="shared" si="23"/>
        <v>31.062100000000004</v>
      </c>
      <c r="T48" s="92" t="s">
        <v>102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6">
        <f t="shared" si="2"/>
        <v>8.7609511889863434E-3</v>
      </c>
    </row>
    <row r="49" spans="1:41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30">-C49*(D49-E49)</f>
        <v>1484.9999999999995</v>
      </c>
      <c r="G49" s="476">
        <f t="shared" ref="G49" si="31">IF(C49=0, 0,D49*C49)</f>
        <v>24635</v>
      </c>
      <c r="H49" s="689">
        <f t="shared" ref="H49" si="32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O49" s="82">
        <v>1.06</v>
      </c>
      <c r="P49" s="82">
        <f t="shared" si="23"/>
        <v>30.771800000000002</v>
      </c>
      <c r="T49" s="92" t="s">
        <v>121</v>
      </c>
      <c r="U49" s="129" t="s">
        <v>575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6">
        <f t="shared" si="2"/>
        <v>1.9132653061224358E-2</v>
      </c>
    </row>
    <row r="50" spans="1:41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3">-C50*(D50-E50)</f>
        <v>2086.199999999998</v>
      </c>
      <c r="G50" s="476">
        <f t="shared" ref="G50" si="34">IF(C50=0, 0,D50*C50)</f>
        <v>21736.799999999999</v>
      </c>
      <c r="H50" s="689">
        <f t="shared" ref="H50" si="35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O50" s="82">
        <v>1.05</v>
      </c>
      <c r="P50" s="82">
        <f t="shared" si="23"/>
        <v>30.481500000000004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6">
        <f t="shared" si="2"/>
        <v>-1.6977928692699651E-3</v>
      </c>
      <c r="AL50" s="232"/>
      <c r="AO50" s="232"/>
    </row>
    <row r="51" spans="1:41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6">-C51*(D51-E51)</f>
        <v>3844.9999999999991</v>
      </c>
      <c r="G51" s="476">
        <f t="shared" ref="G51:G52" si="37">IF(C51=0, 0,D51*C51)</f>
        <v>24585</v>
      </c>
      <c r="H51" s="689">
        <f t="shared" ref="H51:H52" si="38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O51" s="82">
        <v>1.04</v>
      </c>
      <c r="P51" s="82">
        <f t="shared" si="23"/>
        <v>30.191200000000002</v>
      </c>
      <c r="T51" s="92" t="s">
        <v>104</v>
      </c>
      <c r="U51" s="129" t="s">
        <v>679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6">
        <f t="shared" si="2"/>
        <v>3.1072210065645312E-2</v>
      </c>
    </row>
    <row r="52" spans="1:41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6"/>
        <v>3236.9999999999982</v>
      </c>
      <c r="G52" s="40">
        <f t="shared" si="37"/>
        <v>25193</v>
      </c>
      <c r="H52" s="230">
        <f t="shared" si="38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O52" s="82">
        <v>1.03</v>
      </c>
      <c r="P52" s="82">
        <f t="shared" si="23"/>
        <v>29.900900000000004</v>
      </c>
      <c r="T52" s="92" t="s">
        <v>105</v>
      </c>
      <c r="U52" s="129" t="s">
        <v>565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6">
        <f t="shared" si="2"/>
        <v>4.3855641845591542E-2</v>
      </c>
    </row>
    <row r="53" spans="1:41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0" si="39">-C53*(D53-E53)</f>
        <v>3326.9999999999982</v>
      </c>
      <c r="G53" s="40">
        <f t="shared" ref="G53:G60" si="40">IF(C53=0, 0,D53*C53)</f>
        <v>25193</v>
      </c>
      <c r="H53" s="230">
        <f t="shared" ref="H53:H60" si="41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2">(G53-K53)/C53</f>
        <v>6.37</v>
      </c>
      <c r="M53" s="4"/>
      <c r="N53" s="4"/>
      <c r="O53" s="82">
        <v>1.02</v>
      </c>
      <c r="P53" s="82">
        <f t="shared" si="23"/>
        <v>29.610600000000002</v>
      </c>
      <c r="T53" s="92" t="s">
        <v>106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6">
        <f t="shared" si="2"/>
        <v>-3.1876138433515333E-3</v>
      </c>
    </row>
    <row r="54" spans="1:41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9"/>
        <v>2403.5000000000027</v>
      </c>
      <c r="G54" s="40">
        <f t="shared" si="40"/>
        <v>28000.499999999996</v>
      </c>
      <c r="H54" s="230">
        <f t="shared" si="41"/>
        <v>8.583775289726979E-2</v>
      </c>
      <c r="I54" s="40"/>
      <c r="J54" s="40"/>
      <c r="K54" s="40">
        <v>17899</v>
      </c>
      <c r="L54" s="40">
        <f t="shared" ref="L54:L60" si="43">(G54-K54)/C54</f>
        <v>9.183181818181815</v>
      </c>
      <c r="M54" s="4"/>
      <c r="N54" s="4"/>
      <c r="O54" s="82">
        <v>1.01</v>
      </c>
      <c r="P54" s="82">
        <f t="shared" si="23"/>
        <v>29.320300000000003</v>
      </c>
      <c r="T54" s="92" t="s">
        <v>109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6">
        <f t="shared" si="2"/>
        <v>1.1515430677107252E-2</v>
      </c>
      <c r="AL54" s="232"/>
      <c r="AO54" s="232"/>
    </row>
    <row r="55" spans="1:41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9"/>
        <v>1909.2000000000012</v>
      </c>
      <c r="G55" s="40">
        <f t="shared" si="40"/>
        <v>30706.799999999999</v>
      </c>
      <c r="H55" s="230">
        <f t="shared" si="41"/>
        <v>6.2175153386220684E-2</v>
      </c>
      <c r="I55" s="40"/>
      <c r="J55" s="40"/>
      <c r="K55" s="40">
        <v>17405</v>
      </c>
      <c r="L55" s="40">
        <f t="shared" si="43"/>
        <v>11.084833333333332</v>
      </c>
      <c r="M55" s="4"/>
      <c r="N55" s="4"/>
      <c r="O55" s="82">
        <v>1</v>
      </c>
      <c r="P55" s="82">
        <f t="shared" si="23"/>
        <v>29.03</v>
      </c>
      <c r="T55" s="92" t="s">
        <v>107</v>
      </c>
      <c r="U55" s="129" t="s">
        <v>680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6">
        <f t="shared" si="2"/>
        <v>-2.7329749103942591E-2</v>
      </c>
    </row>
    <row r="56" spans="1:41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9"/>
        <v>2843</v>
      </c>
      <c r="G56" s="40">
        <f t="shared" si="40"/>
        <v>25117</v>
      </c>
      <c r="H56" s="230">
        <f t="shared" si="41"/>
        <v>0.11319026953855954</v>
      </c>
      <c r="I56" s="40">
        <v>25</v>
      </c>
      <c r="J56" s="40"/>
      <c r="K56" s="40">
        <v>18339</v>
      </c>
      <c r="L56" s="40">
        <f t="shared" si="43"/>
        <v>6.7779999999999996</v>
      </c>
      <c r="M56" s="4"/>
      <c r="N56" s="4"/>
      <c r="O56" s="82">
        <v>0.99</v>
      </c>
      <c r="P56" s="82">
        <f t="shared" si="23"/>
        <v>28.739699999999999</v>
      </c>
      <c r="T56" s="92" t="s">
        <v>110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6">
        <f t="shared" si="2"/>
        <v>2.6678932842686409E-2</v>
      </c>
    </row>
    <row r="57" spans="1:41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9"/>
        <v>2199.6000000000022</v>
      </c>
      <c r="G57" s="40">
        <f t="shared" si="40"/>
        <v>30584.399999999998</v>
      </c>
      <c r="H57" s="230">
        <f t="shared" si="41"/>
        <v>7.1919017538352961E-2</v>
      </c>
      <c r="I57" s="40"/>
      <c r="J57" s="40"/>
      <c r="K57" s="40">
        <v>17695</v>
      </c>
      <c r="L57" s="40">
        <f t="shared" si="43"/>
        <v>10.741166666666665</v>
      </c>
      <c r="M57" s="4"/>
      <c r="N57" s="4"/>
      <c r="O57" s="82">
        <v>0.98</v>
      </c>
      <c r="P57" s="82">
        <f t="shared" si="23"/>
        <v>28.449400000000001</v>
      </c>
      <c r="T57" s="92" t="s">
        <v>111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6">
        <f t="shared" si="2"/>
        <v>-1.9837691614066788E-2</v>
      </c>
    </row>
    <row r="58" spans="1:41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9"/>
        <v>2722.0000000000014</v>
      </c>
      <c r="G58" s="40">
        <f t="shared" si="40"/>
        <v>24948</v>
      </c>
      <c r="H58" s="230">
        <f t="shared" si="41"/>
        <v>0.10910694244027583</v>
      </c>
      <c r="I58" s="200" t="s">
        <v>338</v>
      </c>
      <c r="J58" s="40"/>
      <c r="K58" s="40">
        <v>18217</v>
      </c>
      <c r="L58" s="40">
        <f t="shared" si="43"/>
        <v>6.7309999999999999</v>
      </c>
      <c r="M58" s="4"/>
      <c r="N58" s="4"/>
      <c r="O58" s="82">
        <v>0.97</v>
      </c>
      <c r="P58" s="82">
        <f t="shared" si="23"/>
        <v>28.159099999999999</v>
      </c>
      <c r="T58" s="92" t="s">
        <v>108</v>
      </c>
      <c r="U58" s="129" t="s">
        <v>122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6">
        <f t="shared" si="2"/>
        <v>-5.8269834155086908E-3</v>
      </c>
      <c r="AL58" s="232"/>
      <c r="AO58" s="232"/>
    </row>
    <row r="59" spans="1:41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9"/>
        <v>3343.0499999999984</v>
      </c>
      <c r="G59" s="40">
        <f t="shared" si="40"/>
        <v>23532.45</v>
      </c>
      <c r="H59" s="230">
        <f t="shared" si="41"/>
        <v>0.14206128133704729</v>
      </c>
      <c r="I59" s="40"/>
      <c r="J59" s="40"/>
      <c r="K59" s="40">
        <v>18839</v>
      </c>
      <c r="L59" s="40">
        <f t="shared" si="43"/>
        <v>4.9404736842105272</v>
      </c>
      <c r="M59" s="4"/>
      <c r="N59" s="4"/>
      <c r="O59" s="82">
        <v>0.96</v>
      </c>
      <c r="P59" s="82">
        <f t="shared" si="23"/>
        <v>27.8688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6">
        <f t="shared" si="2"/>
        <v>-2.1061869240895148E-2</v>
      </c>
    </row>
    <row r="60" spans="1:41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9"/>
        <v>3329.2000000000003</v>
      </c>
      <c r="G60" s="40">
        <f t="shared" si="40"/>
        <v>7894.7999999999993</v>
      </c>
      <c r="H60" s="230">
        <f t="shared" si="41"/>
        <v>0.42169529310432191</v>
      </c>
      <c r="I60" s="40"/>
      <c r="J60" s="40"/>
      <c r="K60" s="40">
        <v>18825</v>
      </c>
      <c r="L60" s="40">
        <f t="shared" si="43"/>
        <v>-27.325500000000002</v>
      </c>
      <c r="M60" s="4"/>
      <c r="N60" s="4"/>
      <c r="O60" s="82">
        <v>0.95</v>
      </c>
      <c r="P60" s="82">
        <f t="shared" si="23"/>
        <v>27.578499999999998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6">
        <f t="shared" si="2"/>
        <v>1.3790035587188498E-2</v>
      </c>
    </row>
    <row r="61" spans="1:41" x14ac:dyDescent="0.25">
      <c r="B61" s="191"/>
      <c r="C61" s="10"/>
      <c r="D61" s="198"/>
      <c r="E61" s="40"/>
      <c r="F61" s="40"/>
      <c r="G61" s="40"/>
      <c r="H61" s="230"/>
      <c r="I61" s="40"/>
      <c r="J61" s="40"/>
      <c r="K61" s="40"/>
      <c r="L61" s="40"/>
      <c r="M61" s="4"/>
      <c r="N61" s="4"/>
      <c r="O61" s="82">
        <v>0.94</v>
      </c>
      <c r="P61" s="82">
        <f t="shared" si="23"/>
        <v>27.2882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6">
        <f t="shared" si="2"/>
        <v>6.2667860340197556E-3</v>
      </c>
    </row>
    <row r="62" spans="1:41" x14ac:dyDescent="0.25">
      <c r="B62" s="191"/>
      <c r="C62" s="10"/>
      <c r="D62" s="198"/>
      <c r="E62" s="40"/>
      <c r="F62" s="40"/>
      <c r="G62" s="40"/>
      <c r="H62" s="230"/>
      <c r="I62" s="40"/>
      <c r="J62" s="40"/>
      <c r="K62" s="40"/>
      <c r="L62" s="40"/>
      <c r="M62" s="4"/>
      <c r="N62" s="4"/>
      <c r="O62" s="82">
        <v>0.93</v>
      </c>
      <c r="P62" s="82">
        <f t="shared" si="23"/>
        <v>26.997900000000001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6">
        <f t="shared" si="2"/>
        <v>1.3611615245009201E-2</v>
      </c>
    </row>
    <row r="63" spans="1:41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O63" s="82">
        <v>0.92</v>
      </c>
      <c r="P63" s="82">
        <f t="shared" si="23"/>
        <v>26.707600000000003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6">
        <f t="shared" si="2"/>
        <v>-3.1659882406150919E-3</v>
      </c>
    </row>
    <row r="64" spans="1:41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  <c r="O64" s="82">
        <v>0.91</v>
      </c>
      <c r="P64" s="82">
        <f t="shared" si="23"/>
        <v>26.417300000000001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6">
        <f t="shared" si="2"/>
        <v>-1.1180679785330994E-2</v>
      </c>
    </row>
    <row r="65" spans="2:31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  <c r="O65" s="82">
        <v>0.9</v>
      </c>
      <c r="P65" s="82">
        <f t="shared" si="23"/>
        <v>26.127000000000002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6">
        <f t="shared" si="2"/>
        <v>-8.4257206208426805E-3</v>
      </c>
    </row>
    <row r="66" spans="2:31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6">
        <f t="shared" si="2"/>
        <v>2.8740875912408814E-2</v>
      </c>
    </row>
    <row r="67" spans="2:31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6" t="e">
        <f>AC67/AC68-1</f>
        <v>#DIV/0!</v>
      </c>
    </row>
    <row r="68" spans="2:31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  <c r="S68" s="4"/>
      <c r="T68" s="4"/>
      <c r="U68" s="108"/>
      <c r="W68" s="10" t="s">
        <v>120</v>
      </c>
      <c r="X68" s="10"/>
      <c r="Y68" s="10"/>
      <c r="Z68" s="10"/>
      <c r="AA68" s="10"/>
      <c r="AB68" s="10"/>
      <c r="AC68" s="10"/>
      <c r="AD68">
        <f>Y68-Z68</f>
        <v>0</v>
      </c>
      <c r="AE68" s="136" t="e">
        <f>AC68/AC69-1</f>
        <v>#DIV/0!</v>
      </c>
    </row>
    <row r="69" spans="2:31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  <c r="S69" s="427"/>
      <c r="T69" s="427"/>
      <c r="U69" s="428"/>
    </row>
    <row r="70" spans="2:31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4">-C70*(D70-E70)</f>
        <v>-3110.9999999999973</v>
      </c>
      <c r="G70" s="556">
        <f t="shared" ref="G70:G79" si="45">IF(C70=0, 0,D70*C70)</f>
        <v>88179</v>
      </c>
      <c r="H70" s="604">
        <f t="shared" ref="H70:H84" si="46">IF(C70=0, D70, (E70-D70)/D70)</f>
        <v>-3.5280508964719459E-2</v>
      </c>
      <c r="I70" s="556"/>
      <c r="J70" s="556"/>
      <c r="Q70" s="4"/>
      <c r="R70" s="4"/>
      <c r="S70" s="4"/>
      <c r="T70" s="4"/>
      <c r="U70" s="231"/>
    </row>
    <row r="71" spans="2:31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4"/>
        <v>-1812.9999999999875</v>
      </c>
      <c r="G71" s="556">
        <f t="shared" si="45"/>
        <v>84721</v>
      </c>
      <c r="H71" s="604">
        <f t="shared" si="46"/>
        <v>-2.1399652978600199E-2</v>
      </c>
      <c r="I71" s="556"/>
      <c r="J71" s="556"/>
      <c r="Q71" s="4"/>
      <c r="R71" s="4"/>
      <c r="S71" s="4"/>
      <c r="T71" s="4"/>
      <c r="U71" s="231"/>
    </row>
    <row r="72" spans="2:31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4"/>
        <v>-5303.9999999999955</v>
      </c>
      <c r="G72" s="556">
        <f t="shared" si="45"/>
        <v>87975</v>
      </c>
      <c r="H72" s="604">
        <f t="shared" si="46"/>
        <v>-6.0289855072463719E-2</v>
      </c>
      <c r="I72" s="556"/>
      <c r="J72" s="556"/>
      <c r="Q72" s="4"/>
      <c r="R72" s="4"/>
      <c r="S72" s="4"/>
      <c r="T72" s="4"/>
      <c r="U72" s="231"/>
    </row>
    <row r="73" spans="2:31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4"/>
        <v>2303.5000000000036</v>
      </c>
      <c r="G73" s="556">
        <f t="shared" si="45"/>
        <v>46042.899999999994</v>
      </c>
      <c r="H73" s="604">
        <f t="shared" si="46"/>
        <v>5.0029429075927105E-2</v>
      </c>
      <c r="I73" s="556"/>
      <c r="J73" s="556"/>
      <c r="Q73" s="4"/>
      <c r="R73" s="4"/>
      <c r="S73" s="4"/>
      <c r="T73" s="4"/>
      <c r="U73" s="231"/>
    </row>
    <row r="74" spans="2:31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4"/>
        <v>1305.9000000000083</v>
      </c>
      <c r="G74" s="556">
        <f t="shared" si="45"/>
        <v>49304.979999999996</v>
      </c>
      <c r="H74" s="604">
        <f t="shared" si="46"/>
        <v>2.6486168334314473E-2</v>
      </c>
      <c r="I74" s="556"/>
      <c r="J74" s="556"/>
      <c r="Q74" s="4"/>
      <c r="R74" s="4"/>
      <c r="S74" s="4"/>
      <c r="T74" s="4"/>
      <c r="U74" s="231"/>
    </row>
    <row r="75" spans="2:31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4"/>
        <v>-2283.9999999999918</v>
      </c>
      <c r="G75" s="556">
        <f t="shared" si="45"/>
        <v>96556.1</v>
      </c>
      <c r="H75" s="604">
        <f t="shared" si="46"/>
        <v>-2.3654642223536283E-2</v>
      </c>
      <c r="I75" s="556"/>
      <c r="J75" s="556"/>
      <c r="Q75" s="4"/>
      <c r="R75" s="4"/>
      <c r="S75" s="4"/>
      <c r="T75" s="4"/>
      <c r="U75" s="429"/>
    </row>
    <row r="76" spans="2:31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4"/>
        <v>-2355</v>
      </c>
      <c r="G76" s="556">
        <f t="shared" si="45"/>
        <v>79834.5</v>
      </c>
      <c r="H76" s="604">
        <f t="shared" si="46"/>
        <v>-2.9498525073746312E-2</v>
      </c>
      <c r="I76" s="556"/>
      <c r="J76" s="556"/>
      <c r="Q76" s="4"/>
      <c r="R76" s="4"/>
      <c r="S76" s="4"/>
      <c r="T76" s="4"/>
      <c r="U76" s="108"/>
    </row>
    <row r="77" spans="2:31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4"/>
        <v>-5211.8000000000056</v>
      </c>
      <c r="G77" s="556">
        <f t="shared" si="45"/>
        <v>85362.200000000012</v>
      </c>
      <c r="H77" s="604">
        <f t="shared" si="46"/>
        <v>-6.1055127445169E-2</v>
      </c>
      <c r="I77" s="556"/>
      <c r="J77" s="556"/>
      <c r="Q77" s="4"/>
      <c r="R77" s="4"/>
      <c r="S77" s="4"/>
      <c r="T77" s="4"/>
      <c r="U77" s="108"/>
    </row>
    <row r="78" spans="2:31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4"/>
        <v>-9899.9999999999909</v>
      </c>
      <c r="G78" s="556">
        <f t="shared" si="45"/>
        <v>99240</v>
      </c>
      <c r="H78" s="604">
        <f t="shared" si="46"/>
        <v>-9.9758162031438849E-2</v>
      </c>
      <c r="I78" s="556"/>
      <c r="J78" s="556"/>
      <c r="Q78" s="427"/>
      <c r="R78" s="427"/>
      <c r="S78" s="427"/>
      <c r="T78" s="427"/>
      <c r="U78" s="428"/>
    </row>
    <row r="79" spans="2:31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4"/>
        <v>-7337.0000000000055</v>
      </c>
      <c r="G79" s="556">
        <f t="shared" si="45"/>
        <v>84653.8</v>
      </c>
      <c r="H79" s="604">
        <f t="shared" si="46"/>
        <v>-8.6670651524208067E-2</v>
      </c>
      <c r="I79" s="556"/>
      <c r="J79" s="556"/>
      <c r="Q79" s="4"/>
      <c r="R79" s="4"/>
      <c r="S79" s="4"/>
      <c r="T79" s="4"/>
      <c r="U79" s="231"/>
    </row>
    <row r="80" spans="2:31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4"/>
        <v>-6779.9999999999936</v>
      </c>
      <c r="G80" s="556">
        <f t="shared" ref="G80:G107" si="47">IF(C80=0, 0,D80*C80)</f>
        <v>99120</v>
      </c>
      <c r="H80" s="604">
        <f t="shared" si="46"/>
        <v>-6.8401937046004779E-2</v>
      </c>
      <c r="I80" s="556"/>
      <c r="J80" s="556"/>
      <c r="Q80" s="4"/>
      <c r="R80" s="4"/>
      <c r="S80" s="4"/>
      <c r="T80" s="4"/>
      <c r="U80" s="231"/>
    </row>
    <row r="81" spans="2:21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4"/>
        <v>-6881.5999999999967</v>
      </c>
      <c r="G81" s="556">
        <f t="shared" si="47"/>
        <v>84400.8</v>
      </c>
      <c r="H81" s="604">
        <f t="shared" si="46"/>
        <v>-8.1534772182254162E-2</v>
      </c>
      <c r="I81" s="556"/>
      <c r="J81" s="556"/>
      <c r="Q81" s="4"/>
      <c r="R81" s="4"/>
      <c r="S81" s="4"/>
      <c r="T81" s="4"/>
      <c r="U81" s="429"/>
    </row>
    <row r="82" spans="2:21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4"/>
        <v>-3768.0000000000032</v>
      </c>
      <c r="G82" s="556">
        <f t="shared" si="47"/>
        <v>78798.3</v>
      </c>
      <c r="H82" s="604">
        <f t="shared" si="46"/>
        <v>-4.7818290496114808E-2</v>
      </c>
      <c r="I82" s="556"/>
      <c r="J82" s="556"/>
      <c r="Q82" s="4"/>
      <c r="R82" s="4"/>
      <c r="S82" s="4"/>
      <c r="T82" s="4"/>
      <c r="U82" s="108"/>
    </row>
    <row r="83" spans="2:21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4"/>
        <v>-4301.0000000000073</v>
      </c>
      <c r="G83" s="556">
        <f t="shared" si="47"/>
        <v>84350.200000000012</v>
      </c>
      <c r="H83" s="604">
        <f t="shared" si="46"/>
        <v>-5.0989802039592164E-2</v>
      </c>
      <c r="I83" s="556"/>
      <c r="J83" s="556"/>
      <c r="Q83" s="4"/>
      <c r="R83" s="4"/>
      <c r="S83" s="4"/>
      <c r="T83" s="4"/>
      <c r="U83" s="108"/>
    </row>
    <row r="84" spans="2:21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4"/>
        <v>-5211.8000000000056</v>
      </c>
      <c r="G84" s="556">
        <f t="shared" si="47"/>
        <v>84198.400000000009</v>
      </c>
      <c r="H84" s="604">
        <f t="shared" si="46"/>
        <v>-6.1899038461538526E-2</v>
      </c>
      <c r="I84" s="556"/>
      <c r="J84" s="556"/>
      <c r="Q84" s="4"/>
      <c r="R84" s="4"/>
      <c r="S84" s="4"/>
      <c r="T84" s="4"/>
      <c r="U84" s="108"/>
    </row>
    <row r="85" spans="2:21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4"/>
        <v>-11782.399999999992</v>
      </c>
      <c r="G85" s="556">
        <f t="shared" si="47"/>
        <v>87105.599999999991</v>
      </c>
      <c r="H85" s="604">
        <f t="shared" ref="H85:H107" si="48">IF(C85=0, D85, (E85-D85)/D85)</f>
        <v>-0.13526570048309169</v>
      </c>
      <c r="I85" s="556"/>
      <c r="J85" s="556"/>
    </row>
    <row r="86" spans="2:21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4"/>
        <v>-9968.1999999999935</v>
      </c>
      <c r="G86" s="556">
        <f t="shared" si="47"/>
        <v>84147.799999999988</v>
      </c>
      <c r="H86" s="604">
        <f t="shared" si="48"/>
        <v>-0.11846061334936855</v>
      </c>
      <c r="I86" s="556"/>
      <c r="J86" s="556"/>
    </row>
    <row r="87" spans="2:21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4"/>
        <v>-13054.80000000001</v>
      </c>
      <c r="G87" s="556">
        <f t="shared" si="47"/>
        <v>84097.200000000012</v>
      </c>
      <c r="H87" s="604">
        <f t="shared" si="48"/>
        <v>-0.15523465703971129</v>
      </c>
      <c r="I87" s="556"/>
      <c r="J87" s="556"/>
    </row>
    <row r="88" spans="2:21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4"/>
        <v>-13079.999999999998</v>
      </c>
      <c r="G88" s="556">
        <f t="shared" si="47"/>
        <v>97320</v>
      </c>
      <c r="H88" s="604">
        <f t="shared" si="48"/>
        <v>-0.13440197287299629</v>
      </c>
      <c r="I88" s="556"/>
      <c r="J88" s="556"/>
    </row>
    <row r="89" spans="2:21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4"/>
        <v>-13020.000000000009</v>
      </c>
      <c r="G89" s="556">
        <f t="shared" si="47"/>
        <v>100068</v>
      </c>
      <c r="H89" s="604">
        <f t="shared" si="48"/>
        <v>-0.13011152416356886</v>
      </c>
      <c r="I89" s="556"/>
      <c r="J89" s="556"/>
    </row>
    <row r="90" spans="2:21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4"/>
        <v>-13043.880000000006</v>
      </c>
      <c r="G90" s="556">
        <f t="shared" si="47"/>
        <v>93366.720000000001</v>
      </c>
      <c r="H90" s="604">
        <f t="shared" si="48"/>
        <v>-0.13970588235294124</v>
      </c>
      <c r="I90" s="556"/>
      <c r="J90" s="556"/>
    </row>
    <row r="91" spans="2:21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4"/>
        <v>-13025.958000000004</v>
      </c>
      <c r="G91" s="556">
        <f t="shared" si="47"/>
        <v>84068.358000000007</v>
      </c>
      <c r="H91" s="604">
        <f t="shared" si="48"/>
        <v>-0.15494483667683867</v>
      </c>
      <c r="I91" s="556"/>
      <c r="J91" s="556"/>
    </row>
    <row r="92" spans="2:21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4"/>
        <v>-11521.114000000007</v>
      </c>
      <c r="G92" s="556">
        <f t="shared" si="47"/>
        <v>83980.314000000013</v>
      </c>
      <c r="H92" s="604">
        <f t="shared" si="48"/>
        <v>-0.13718827009863294</v>
      </c>
      <c r="I92" s="556"/>
      <c r="J92" s="556"/>
    </row>
    <row r="93" spans="2:21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4"/>
        <v>-11410.000000000005</v>
      </c>
      <c r="G93" s="556">
        <f t="shared" si="47"/>
        <v>111790</v>
      </c>
      <c r="H93" s="604">
        <f t="shared" si="48"/>
        <v>-0.10206637445209772</v>
      </c>
      <c r="I93" s="556"/>
      <c r="J93" s="556"/>
    </row>
    <row r="94" spans="2:21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4"/>
        <v>-11220.000000000005</v>
      </c>
      <c r="G94" s="556">
        <f t="shared" si="47"/>
        <v>97380</v>
      </c>
      <c r="H94" s="604">
        <f t="shared" si="48"/>
        <v>-0.11521873074553302</v>
      </c>
      <c r="I94" s="556"/>
      <c r="J94" s="556"/>
    </row>
    <row r="95" spans="2:21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4"/>
        <v>-11211.199999999997</v>
      </c>
      <c r="G95" s="556">
        <f t="shared" si="47"/>
        <v>90191.2</v>
      </c>
      <c r="H95" s="604">
        <f t="shared" si="48"/>
        <v>-0.12430481022538781</v>
      </c>
      <c r="I95" s="556"/>
      <c r="J95" s="556"/>
    </row>
    <row r="96" spans="2:21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4"/>
        <v>-9664.6</v>
      </c>
      <c r="G96" s="556">
        <f t="shared" si="47"/>
        <v>83743</v>
      </c>
      <c r="H96" s="604">
        <f t="shared" si="48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4"/>
        <v>-9794.1360000000041</v>
      </c>
      <c r="G97" s="556">
        <f t="shared" si="47"/>
        <v>83720.736000000004</v>
      </c>
      <c r="H97" s="604">
        <f t="shared" si="48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4"/>
        <v>-16274.965999999995</v>
      </c>
      <c r="G98" s="556">
        <f t="shared" si="47"/>
        <v>86390.766000000003</v>
      </c>
      <c r="H98" s="604">
        <f t="shared" si="48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4"/>
        <v>-29899.999999999993</v>
      </c>
      <c r="G99" s="556">
        <f t="shared" si="47"/>
        <v>83600</v>
      </c>
      <c r="H99" s="604">
        <f t="shared" si="48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4"/>
        <v>-28718.02199999999</v>
      </c>
      <c r="G100" s="556">
        <f t="shared" si="47"/>
        <v>86367.621999999988</v>
      </c>
      <c r="H100" s="604">
        <f t="shared" si="48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4"/>
        <v>-30321.199999999997</v>
      </c>
      <c r="G101" s="556">
        <f t="shared" si="47"/>
        <v>81015.199999999997</v>
      </c>
      <c r="H101" s="604">
        <f t="shared" si="48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4"/>
        <v>-29806.800000000003</v>
      </c>
      <c r="G102" s="556">
        <f t="shared" si="47"/>
        <v>72786.8</v>
      </c>
      <c r="H102" s="604">
        <f t="shared" si="48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4"/>
        <v>-29239.199999999993</v>
      </c>
      <c r="G103" s="556">
        <f t="shared" si="47"/>
        <v>68155.199999999997</v>
      </c>
      <c r="H103" s="604">
        <f t="shared" si="48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4"/>
        <v>-30856.212000000007</v>
      </c>
      <c r="G104" s="556">
        <f t="shared" si="47"/>
        <v>86033.612000000008</v>
      </c>
      <c r="H104" s="604">
        <f t="shared" si="48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4"/>
        <v>-24651.563999999995</v>
      </c>
      <c r="G105" s="556">
        <f t="shared" si="47"/>
        <v>80248.363999999987</v>
      </c>
      <c r="H105" s="604">
        <f t="shared" si="48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4"/>
        <v>-24751.381000000001</v>
      </c>
      <c r="G106" s="556">
        <f t="shared" si="47"/>
        <v>86009.581000000006</v>
      </c>
      <c r="H106" s="604">
        <f t="shared" si="48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4"/>
        <v>-28613.610000000004</v>
      </c>
      <c r="G107" s="556">
        <f t="shared" si="47"/>
        <v>86010.11</v>
      </c>
      <c r="H107" s="604">
        <f t="shared" si="48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9">-C108*(D108-E108)</f>
        <v>-28406.616000000002</v>
      </c>
      <c r="G108" s="556">
        <f t="shared" ref="G108:G146" si="50">IF(C108=0, 0,D108*C108)</f>
        <v>85963.266000000003</v>
      </c>
      <c r="H108" s="604">
        <f t="shared" ref="H108:H146" si="51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9"/>
        <v>-27248.360000000008</v>
      </c>
      <c r="G109" s="556">
        <f t="shared" si="50"/>
        <v>85919.360000000015</v>
      </c>
      <c r="H109" s="604">
        <f t="shared" si="51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9"/>
        <v>-26871.468499999992</v>
      </c>
      <c r="G110" s="556">
        <f t="shared" si="50"/>
        <v>84298.1685</v>
      </c>
      <c r="H110" s="604">
        <f t="shared" si="51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9"/>
        <v>-24742.084500000001</v>
      </c>
      <c r="G111" s="556">
        <f t="shared" si="50"/>
        <v>70382.784499999994</v>
      </c>
      <c r="H111" s="604">
        <f t="shared" si="51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9"/>
        <v>-25084.414000000001</v>
      </c>
      <c r="G112" s="556">
        <f t="shared" si="50"/>
        <v>85258.813999999998</v>
      </c>
      <c r="H112" s="604">
        <f t="shared" si="51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9"/>
        <v>-29256.487999999998</v>
      </c>
      <c r="G113" s="556">
        <f t="shared" si="50"/>
        <v>86340.487999999998</v>
      </c>
      <c r="H113" s="604">
        <f t="shared" si="51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9"/>
        <v>-27809.620000000003</v>
      </c>
      <c r="G114" s="556">
        <f t="shared" si="50"/>
        <v>85248.82</v>
      </c>
      <c r="H114" s="604">
        <f t="shared" si="51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9"/>
        <v>-30544.820000000003</v>
      </c>
      <c r="G115" s="556">
        <f t="shared" si="50"/>
        <v>85248.82</v>
      </c>
      <c r="H115" s="604">
        <f t="shared" si="51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9"/>
        <v>-30549.887999999995</v>
      </c>
      <c r="G116" s="556">
        <f t="shared" si="50"/>
        <v>90453.887999999992</v>
      </c>
      <c r="H116" s="604">
        <f t="shared" si="51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9"/>
        <v>-28441.346000000009</v>
      </c>
      <c r="G117" s="556">
        <f t="shared" si="50"/>
        <v>85038.946000000011</v>
      </c>
      <c r="H117" s="604">
        <f t="shared" si="51"/>
        <v>-0.33445082915303309</v>
      </c>
      <c r="I117" s="605" t="s">
        <v>194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9"/>
        <v>-31628.763999999996</v>
      </c>
      <c r="G118" s="556">
        <f t="shared" si="50"/>
        <v>91224.963999999993</v>
      </c>
      <c r="H118" s="604">
        <f t="shared" si="51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9"/>
        <v>-27540.307999999997</v>
      </c>
      <c r="G119" s="556">
        <f t="shared" si="50"/>
        <v>84769.108000000007</v>
      </c>
      <c r="H119" s="604">
        <f t="shared" si="51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9"/>
        <v>-28697.508000000002</v>
      </c>
      <c r="G120" s="556">
        <f t="shared" si="50"/>
        <v>84769.108000000007</v>
      </c>
      <c r="H120" s="604">
        <f t="shared" si="51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9"/>
        <v>-24361.662</v>
      </c>
      <c r="G121" s="556">
        <f t="shared" si="50"/>
        <v>73394.262000000002</v>
      </c>
      <c r="H121" s="604">
        <f t="shared" si="51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9"/>
        <v>-23878.821999999989</v>
      </c>
      <c r="G122" s="556">
        <f t="shared" si="50"/>
        <v>84684.421999999991</v>
      </c>
      <c r="H122" s="604">
        <f t="shared" si="51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9"/>
        <v>-23451.183999999997</v>
      </c>
      <c r="G123" s="556">
        <f t="shared" si="50"/>
        <v>84572.383999999991</v>
      </c>
      <c r="H123" s="604">
        <f t="shared" si="51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9"/>
        <v>-28042.299999999996</v>
      </c>
      <c r="G124" s="556">
        <f t="shared" si="50"/>
        <v>87167.3</v>
      </c>
      <c r="H124" s="604">
        <f t="shared" si="51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9"/>
        <v>-32191.9</v>
      </c>
      <c r="G125" s="556">
        <f t="shared" si="50"/>
        <v>97191.900000000009</v>
      </c>
      <c r="H125" s="604">
        <f t="shared" si="51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9"/>
        <v>-31551.299999999996</v>
      </c>
      <c r="G126" s="556">
        <f t="shared" si="50"/>
        <v>86881.3</v>
      </c>
      <c r="H126" s="604">
        <f t="shared" si="51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9"/>
        <v>-34151.30000000001</v>
      </c>
      <c r="G127" s="556">
        <f t="shared" si="50"/>
        <v>115921.3</v>
      </c>
      <c r="H127" s="604">
        <f t="shared" si="51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9"/>
        <v>-33961.949999999997</v>
      </c>
      <c r="G128" s="556">
        <f t="shared" si="50"/>
        <v>86651.95</v>
      </c>
      <c r="H128" s="604">
        <f t="shared" si="51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9"/>
        <v>-27277.000000000004</v>
      </c>
      <c r="G129" s="556">
        <f t="shared" si="50"/>
        <v>81277.000000000015</v>
      </c>
      <c r="H129" s="604">
        <f t="shared" si="51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9"/>
        <v>-23679.899999999991</v>
      </c>
      <c r="G130" s="556">
        <f t="shared" si="50"/>
        <v>75384.899999999994</v>
      </c>
      <c r="H130" s="604">
        <f t="shared" si="51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9"/>
        <v>-23160.150000000005</v>
      </c>
      <c r="G131" s="556">
        <f t="shared" si="50"/>
        <v>75360.150000000009</v>
      </c>
      <c r="H131" s="604">
        <f t="shared" si="51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9"/>
        <v>-21580</v>
      </c>
      <c r="G132" s="556">
        <f t="shared" si="50"/>
        <v>69380</v>
      </c>
      <c r="H132" s="604">
        <f t="shared" si="51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9"/>
        <v>-20050.800000000003</v>
      </c>
      <c r="G133" s="556">
        <f t="shared" si="50"/>
        <v>69290.8</v>
      </c>
      <c r="H133" s="604">
        <f t="shared" si="51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9"/>
        <v>-16837.537500000002</v>
      </c>
      <c r="G134" s="556">
        <f t="shared" si="50"/>
        <v>61016.287500000006</v>
      </c>
      <c r="H134" s="604">
        <f t="shared" si="51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9"/>
        <v>-17476.399999999998</v>
      </c>
      <c r="G135" s="556">
        <f t="shared" si="50"/>
        <v>68916.399999999994</v>
      </c>
      <c r="H135" s="604">
        <f t="shared" si="51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9"/>
        <v>-18696.400000000005</v>
      </c>
      <c r="G136" s="556">
        <f t="shared" si="50"/>
        <v>68736.400000000009</v>
      </c>
      <c r="H136" s="604">
        <f t="shared" si="51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9"/>
        <v>-20214.768</v>
      </c>
      <c r="G137" s="556">
        <f t="shared" si="50"/>
        <v>78001.168000000005</v>
      </c>
      <c r="H137" s="604">
        <f t="shared" si="51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9"/>
        <v>-21262.920000000002</v>
      </c>
      <c r="G138" s="556">
        <f t="shared" si="50"/>
        <v>78002.12</v>
      </c>
      <c r="H138" s="604">
        <f t="shared" si="51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9"/>
        <v>-20999.216</v>
      </c>
      <c r="G139" s="556">
        <f t="shared" si="50"/>
        <v>77881.216</v>
      </c>
      <c r="H139" s="604">
        <f t="shared" si="51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9"/>
        <v>-19042.620000000006</v>
      </c>
      <c r="G140" s="556">
        <f t="shared" si="50"/>
        <v>75714.62000000001</v>
      </c>
      <c r="H140" s="604">
        <f t="shared" si="51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9"/>
        <v>-17040.800000000003</v>
      </c>
      <c r="G141" s="556">
        <f t="shared" si="50"/>
        <v>68040.800000000003</v>
      </c>
      <c r="H141" s="604">
        <f t="shared" si="51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9"/>
        <v>-12255.250000000002</v>
      </c>
      <c r="G142" s="556">
        <f t="shared" si="50"/>
        <v>47380.250000000007</v>
      </c>
      <c r="H142" s="604">
        <f t="shared" si="51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9"/>
        <v>-13580.100000000006</v>
      </c>
      <c r="G143" s="556">
        <f t="shared" si="50"/>
        <v>54140.100000000006</v>
      </c>
      <c r="H143" s="604">
        <f t="shared" si="51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9"/>
        <v>-13760.25</v>
      </c>
      <c r="G144" s="556">
        <f t="shared" si="50"/>
        <v>60870.25</v>
      </c>
      <c r="H144" s="604">
        <f t="shared" si="51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9"/>
        <v>-14250</v>
      </c>
      <c r="G145" s="556">
        <f t="shared" si="50"/>
        <v>67530</v>
      </c>
      <c r="H145" s="604">
        <f t="shared" si="51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9"/>
        <v>-19047.14</v>
      </c>
      <c r="G146" s="556">
        <f t="shared" si="50"/>
        <v>77261.94</v>
      </c>
      <c r="H146" s="604">
        <f t="shared" si="51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2">-C147*(D147-E147)</f>
        <v>-19222.143999999993</v>
      </c>
      <c r="G147" s="556">
        <f t="shared" ref="G147:G194" si="53">IF(C147=0, 0,D147*C147)</f>
        <v>83551.944000000003</v>
      </c>
      <c r="H147" s="604">
        <f t="shared" ref="H147:H194" si="54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2"/>
        <v>-15240.149999999998</v>
      </c>
      <c r="G148" s="556">
        <f t="shared" si="53"/>
        <v>73695.149999999994</v>
      </c>
      <c r="H148" s="604">
        <f t="shared" si="54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2"/>
        <v>-14340.15</v>
      </c>
      <c r="G149" s="556">
        <f t="shared" si="53"/>
        <v>73695.149999999994</v>
      </c>
      <c r="H149" s="604">
        <f t="shared" si="54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2"/>
        <v>-11794.000000000004</v>
      </c>
      <c r="G150" s="556">
        <f t="shared" si="53"/>
        <v>66834</v>
      </c>
      <c r="H150" s="604">
        <f t="shared" si="54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2"/>
        <v>-11115.000000000004</v>
      </c>
      <c r="G151" s="556">
        <f t="shared" si="53"/>
        <v>73035</v>
      </c>
      <c r="H151" s="604">
        <f t="shared" si="54"/>
        <v>-0.15218730745532968</v>
      </c>
      <c r="I151" s="556" t="s">
        <v>232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2"/>
        <v>-16785.000000000004</v>
      </c>
      <c r="G152" s="556">
        <f t="shared" si="53"/>
        <v>73035</v>
      </c>
      <c r="H152" s="604">
        <f t="shared" si="54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2"/>
        <v>-19431.5</v>
      </c>
      <c r="G153" s="556">
        <f t="shared" si="53"/>
        <v>78981.5</v>
      </c>
      <c r="H153" s="604">
        <f t="shared" si="54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2"/>
        <v>-17741.700000000012</v>
      </c>
      <c r="G154" s="556">
        <f t="shared" si="53"/>
        <v>72641.700000000012</v>
      </c>
      <c r="H154" s="604">
        <f t="shared" si="54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2"/>
        <v>-15851.700000000012</v>
      </c>
      <c r="G155" s="556">
        <f t="shared" si="53"/>
        <v>72641.700000000012</v>
      </c>
      <c r="H155" s="604">
        <f t="shared" si="54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2"/>
        <v>-15763.5</v>
      </c>
      <c r="G156" s="556">
        <f t="shared" si="53"/>
        <v>72643.5</v>
      </c>
      <c r="H156" s="604">
        <f t="shared" si="54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2"/>
        <v>-13333.500000000004</v>
      </c>
      <c r="G157" s="556">
        <f t="shared" si="53"/>
        <v>72643.5</v>
      </c>
      <c r="H157" s="604">
        <f t="shared" si="54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2"/>
        <v>-10052</v>
      </c>
      <c r="G158" s="556">
        <f t="shared" si="53"/>
        <v>65732</v>
      </c>
      <c r="H158" s="604">
        <f t="shared" si="54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2"/>
        <v>-7249.2800000000043</v>
      </c>
      <c r="G159" s="556">
        <f t="shared" si="53"/>
        <v>54193.280000000006</v>
      </c>
      <c r="H159" s="604">
        <f t="shared" si="54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2"/>
        <v>-8771.3200000000015</v>
      </c>
      <c r="G160" s="556">
        <f t="shared" si="53"/>
        <v>57017.32</v>
      </c>
      <c r="H160" s="604">
        <f t="shared" si="54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2"/>
        <v>-10069.200000000003</v>
      </c>
      <c r="G161" s="556">
        <f t="shared" si="53"/>
        <v>65309.200000000004</v>
      </c>
      <c r="H161" s="604">
        <f t="shared" si="54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2"/>
        <v>-10289.249999999993</v>
      </c>
      <c r="G162" s="556">
        <f t="shared" si="53"/>
        <v>72119.25</v>
      </c>
      <c r="H162" s="604">
        <f t="shared" si="54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2"/>
        <v>-11755.169999999996</v>
      </c>
      <c r="G163" s="556">
        <f t="shared" si="53"/>
        <v>74735.17</v>
      </c>
      <c r="H163" s="604">
        <f t="shared" si="54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2"/>
        <v>-8821.7999999999993</v>
      </c>
      <c r="G164" s="556">
        <f t="shared" si="53"/>
        <v>71956.800000000003</v>
      </c>
      <c r="H164" s="604">
        <f t="shared" si="54"/>
        <v>-0.12259855913548129</v>
      </c>
      <c r="I164" s="556" t="s">
        <v>270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2"/>
        <v>-6552.0000000000064</v>
      </c>
      <c r="G165" s="556">
        <f t="shared" si="53"/>
        <v>64632.000000000007</v>
      </c>
      <c r="H165" s="604">
        <f t="shared" si="54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2"/>
        <v>-7832.0000000000082</v>
      </c>
      <c r="G166" s="556">
        <f t="shared" si="53"/>
        <v>64632.000000000007</v>
      </c>
      <c r="H166" s="604">
        <f t="shared" si="54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2"/>
        <v>-3677.4000000000024</v>
      </c>
      <c r="G167" s="556">
        <f t="shared" si="53"/>
        <v>34737.4</v>
      </c>
      <c r="H167" s="604">
        <f t="shared" si="54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2"/>
        <v>-3622.5999999999985</v>
      </c>
      <c r="G168" s="556">
        <f t="shared" si="53"/>
        <v>34662.6</v>
      </c>
      <c r="H168" s="604">
        <f t="shared" si="54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2"/>
        <v>-3122.5999999999985</v>
      </c>
      <c r="G169" s="556">
        <f t="shared" si="53"/>
        <v>34662.6</v>
      </c>
      <c r="H169" s="604">
        <f t="shared" si="54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2"/>
        <v>-2162.5999999999976</v>
      </c>
      <c r="G170" s="556">
        <f t="shared" si="53"/>
        <v>34662.6</v>
      </c>
      <c r="H170" s="604">
        <f t="shared" si="54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2"/>
        <v>-2282.5999999999949</v>
      </c>
      <c r="G171" s="556">
        <f t="shared" si="53"/>
        <v>34662.6</v>
      </c>
      <c r="H171" s="604">
        <f t="shared" si="54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2"/>
        <v>-2262.599999999999</v>
      </c>
      <c r="G172" s="556">
        <f t="shared" si="53"/>
        <v>34662.6</v>
      </c>
      <c r="H172" s="604">
        <f t="shared" si="54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2"/>
        <v>-842.59999999999741</v>
      </c>
      <c r="G173" s="556">
        <f t="shared" si="53"/>
        <v>34662.6</v>
      </c>
      <c r="H173" s="604">
        <f t="shared" si="54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2"/>
        <v>-1182.6000000000008</v>
      </c>
      <c r="G174" s="556">
        <f t="shared" si="53"/>
        <v>34662.6</v>
      </c>
      <c r="H174" s="604">
        <f t="shared" si="54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2"/>
        <v>-1262.599999999999</v>
      </c>
      <c r="G175" s="556">
        <f t="shared" si="53"/>
        <v>34662.6</v>
      </c>
      <c r="H175" s="604">
        <f t="shared" si="54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2"/>
        <v>-527.79999999999916</v>
      </c>
      <c r="G176" s="556">
        <f t="shared" si="53"/>
        <v>34547.800000000003</v>
      </c>
      <c r="H176" s="604">
        <f t="shared" si="54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2"/>
        <v>-148.00000000000324</v>
      </c>
      <c r="G177" s="556">
        <f t="shared" si="53"/>
        <v>34468</v>
      </c>
      <c r="H177" s="604">
        <f t="shared" si="54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2"/>
        <v>421.79999999999751</v>
      </c>
      <c r="G178" s="556">
        <f t="shared" si="53"/>
        <v>25753.200000000001</v>
      </c>
      <c r="H178" s="604">
        <f t="shared" si="54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2"/>
        <v>-655.79999999999927</v>
      </c>
      <c r="G179" s="556">
        <f t="shared" si="53"/>
        <v>34275.799999999996</v>
      </c>
      <c r="H179" s="604">
        <f t="shared" si="54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2"/>
        <v>24.200000000000443</v>
      </c>
      <c r="G180" s="556">
        <f t="shared" si="53"/>
        <v>34275.799999999996</v>
      </c>
      <c r="H180" s="604">
        <f t="shared" si="54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2"/>
        <v>-748.650000000001</v>
      </c>
      <c r="G181" s="556">
        <f t="shared" si="53"/>
        <v>35923.65</v>
      </c>
      <c r="H181" s="604">
        <f t="shared" si="54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2"/>
        <v>-370.65000000000163</v>
      </c>
      <c r="G182" s="556">
        <f t="shared" si="53"/>
        <v>35923.65</v>
      </c>
      <c r="H182" s="604">
        <f t="shared" si="54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2"/>
        <v>721.34999999999752</v>
      </c>
      <c r="G183" s="556">
        <f t="shared" si="53"/>
        <v>35923.65</v>
      </c>
      <c r="H183" s="604">
        <f t="shared" si="54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2"/>
        <v>784.34999999999991</v>
      </c>
      <c r="G184" s="556">
        <f t="shared" si="53"/>
        <v>35923.65</v>
      </c>
      <c r="H184" s="604">
        <f t="shared" si="54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2"/>
        <v>-328.71300000000014</v>
      </c>
      <c r="G185" s="556">
        <f t="shared" si="53"/>
        <v>35923.712999999996</v>
      </c>
      <c r="H185" s="604">
        <f t="shared" si="54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2"/>
        <v>1147.1040000000016</v>
      </c>
      <c r="G186" s="556">
        <f t="shared" si="53"/>
        <v>27108.895999999997</v>
      </c>
      <c r="H186" s="604">
        <f t="shared" si="54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2"/>
        <v>1035.1040000000012</v>
      </c>
      <c r="G187" s="556">
        <f t="shared" si="53"/>
        <v>27108.895999999997</v>
      </c>
      <c r="H187" s="604">
        <f t="shared" si="54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2"/>
        <v>1691.1040000000014</v>
      </c>
      <c r="G188" s="556">
        <f t="shared" si="53"/>
        <v>27108.895999999997</v>
      </c>
      <c r="H188" s="604">
        <f t="shared" si="54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2"/>
        <v>829.27800000000434</v>
      </c>
      <c r="G189" s="556">
        <f t="shared" si="53"/>
        <v>30562.721999999998</v>
      </c>
      <c r="H189" s="604">
        <f t="shared" si="54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2"/>
        <v>1441.2780000000041</v>
      </c>
      <c r="G190" s="556">
        <f t="shared" si="53"/>
        <v>30562.721999999998</v>
      </c>
      <c r="H190" s="604">
        <f t="shared" si="54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2"/>
        <v>1621.2799999999988</v>
      </c>
      <c r="G191" s="556">
        <f t="shared" si="53"/>
        <v>33978.720000000001</v>
      </c>
      <c r="H191" s="604">
        <f t="shared" si="54"/>
        <v>4.7714569589437116E-2</v>
      </c>
      <c r="I191" s="608" t="s">
        <v>300</v>
      </c>
      <c r="J191" s="608" t="s">
        <v>298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2"/>
        <v>1421.2799999999959</v>
      </c>
      <c r="G192" s="556">
        <f t="shared" si="53"/>
        <v>33978.720000000001</v>
      </c>
      <c r="H192" s="604">
        <f t="shared" si="54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2"/>
        <v>987.2939999999993</v>
      </c>
      <c r="G193" s="556">
        <f t="shared" si="53"/>
        <v>37314.705999999998</v>
      </c>
      <c r="H193" s="604">
        <f t="shared" si="54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2"/>
        <v>563.20000000000186</v>
      </c>
      <c r="G194" s="556">
        <f t="shared" si="53"/>
        <v>33866.799999999996</v>
      </c>
      <c r="H194" s="604">
        <f t="shared" si="54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5">-C195*(D195-E195)</f>
        <v>13.200000000004763</v>
      </c>
      <c r="G195" s="556">
        <f t="shared" ref="G195:G200" si="56">IF(C195=0, 0,D195*C195)</f>
        <v>33866.799999999996</v>
      </c>
      <c r="H195" s="604">
        <f t="shared" ref="H195:H200" si="57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5"/>
        <v>1215.1259999999966</v>
      </c>
      <c r="G196" s="556">
        <f t="shared" si="56"/>
        <v>30356.874000000003</v>
      </c>
      <c r="H196" s="604">
        <f t="shared" si="57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5"/>
        <v>1490.8199999999993</v>
      </c>
      <c r="G197" s="556">
        <f t="shared" si="56"/>
        <v>16149.18</v>
      </c>
      <c r="H197" s="604">
        <f t="shared" si="57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5"/>
        <v>1396.8179999999988</v>
      </c>
      <c r="G198" s="556">
        <f t="shared" si="56"/>
        <v>30157.182000000004</v>
      </c>
      <c r="H198" s="604">
        <f t="shared" si="57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5"/>
        <v>1418.8200000000038</v>
      </c>
      <c r="G199" s="556">
        <f t="shared" si="56"/>
        <v>33641.18</v>
      </c>
      <c r="H199" s="604">
        <f t="shared" si="57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5"/>
        <v>894.66600000000085</v>
      </c>
      <c r="G200" s="556">
        <f t="shared" si="56"/>
        <v>33505.333999999995</v>
      </c>
      <c r="H200" s="604">
        <f t="shared" si="57"/>
        <v>2.6702196133905155E-2</v>
      </c>
      <c r="I200" s="608" t="s">
        <v>311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311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311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8">-C203*(D203-E203)</f>
        <v>-135.39999999999708</v>
      </c>
      <c r="G203" s="556">
        <f t="shared" ref="G203:G214" si="59">IF(C203=0, 0,D203*C203)</f>
        <v>33485.4</v>
      </c>
      <c r="H203" s="604">
        <f t="shared" ref="H203:H214" si="60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8"/>
        <v>-85.39999999999992</v>
      </c>
      <c r="G204" s="556">
        <f t="shared" si="59"/>
        <v>33445.4</v>
      </c>
      <c r="H204" s="604">
        <f t="shared" si="60"/>
        <v>-2.5534154173668102E-3</v>
      </c>
      <c r="I204" s="608" t="s">
        <v>311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8"/>
        <v>6304.4477999999999</v>
      </c>
      <c r="G205" s="556">
        <f t="shared" si="59"/>
        <v>29929.552199999998</v>
      </c>
      <c r="H205" s="604">
        <f t="shared" si="60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8"/>
        <v>6185.8829999999971</v>
      </c>
      <c r="G206" s="556">
        <f t="shared" si="59"/>
        <v>26913.117000000002</v>
      </c>
      <c r="H206" s="604">
        <f t="shared" si="60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8"/>
        <v>3488.9400000000032</v>
      </c>
      <c r="G207" s="556">
        <f t="shared" si="59"/>
        <v>29775.059999999998</v>
      </c>
      <c r="H207" s="604">
        <f t="shared" si="60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8"/>
        <v>3544.800000000002</v>
      </c>
      <c r="G208" s="556">
        <f t="shared" si="59"/>
        <v>33415.199999999997</v>
      </c>
      <c r="H208" s="604">
        <f t="shared" si="60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8"/>
        <v>4164.8400000000011</v>
      </c>
      <c r="G209" s="556">
        <f t="shared" si="59"/>
        <v>29657.159999999996</v>
      </c>
      <c r="H209" s="604">
        <f t="shared" si="60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8"/>
        <v>4696.7399999999952</v>
      </c>
      <c r="G210" s="556">
        <f t="shared" si="59"/>
        <v>29611.260000000002</v>
      </c>
      <c r="H210" s="604">
        <f t="shared" si="60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8"/>
        <v>6995.4000000000015</v>
      </c>
      <c r="G211" s="556">
        <f t="shared" si="59"/>
        <v>13444.599999999999</v>
      </c>
      <c r="H211" s="604">
        <f t="shared" si="60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8"/>
        <v>6822.3599999999979</v>
      </c>
      <c r="G212" s="556">
        <f t="shared" si="59"/>
        <v>29213.640000000003</v>
      </c>
      <c r="H212" s="604">
        <f t="shared" si="60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8"/>
        <v>6817.7999999999993</v>
      </c>
      <c r="G213" s="556">
        <f t="shared" si="59"/>
        <v>26215.200000000001</v>
      </c>
      <c r="H213" s="604">
        <f t="shared" si="60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8"/>
        <v>7021.4999999999991</v>
      </c>
      <c r="G214" s="556">
        <f t="shared" si="59"/>
        <v>24180</v>
      </c>
      <c r="H214" s="604">
        <f t="shared" si="60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1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2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1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2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1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2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1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2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1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2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1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2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1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2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1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2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1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2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1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2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1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2"/>
        <v>1795</v>
      </c>
      <c r="G243" s="709">
        <v>42314</v>
      </c>
      <c r="H243" s="259">
        <v>2200</v>
      </c>
      <c r="I243" s="260">
        <v>17.55</v>
      </c>
      <c r="J243" s="260">
        <v>0.77</v>
      </c>
      <c r="K243" s="260">
        <f t="shared" si="61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2"/>
        <v>1241.5</v>
      </c>
      <c r="G244" s="709"/>
      <c r="H244" s="259">
        <v>190</v>
      </c>
      <c r="I244" s="260">
        <v>17.55</v>
      </c>
      <c r="J244" s="260">
        <v>0</v>
      </c>
      <c r="K244" s="260">
        <f t="shared" si="61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2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1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2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1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2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1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2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1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2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1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2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1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2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1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2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1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2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1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2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1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2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1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2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1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2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1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2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1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2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1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2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1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2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1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2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1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2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1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2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1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2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1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2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1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2"/>
        <v>1610.0000000000002</v>
      </c>
      <c r="G267" s="709">
        <v>42447</v>
      </c>
      <c r="H267" s="265">
        <v>355</v>
      </c>
      <c r="I267" s="260">
        <v>11.13</v>
      </c>
      <c r="J267" s="260">
        <v>0.12</v>
      </c>
      <c r="K267" s="260">
        <f t="shared" si="61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2"/>
        <v>13119.999999999998</v>
      </c>
      <c r="G268" s="709"/>
      <c r="H268" s="265">
        <v>40</v>
      </c>
      <c r="I268" s="260">
        <v>11.13</v>
      </c>
      <c r="J268" s="260">
        <v>0</v>
      </c>
      <c r="K268" s="260">
        <f t="shared" si="61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2"/>
        <v>7900</v>
      </c>
      <c r="G269" s="709"/>
      <c r="H269" s="265">
        <v>105</v>
      </c>
      <c r="I269" s="260">
        <v>11.13</v>
      </c>
      <c r="J269" s="260">
        <v>0</v>
      </c>
      <c r="K269" s="260">
        <f t="shared" si="61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2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1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2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1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2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1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2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1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2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1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2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1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2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1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2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1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2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1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2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1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2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1"/>
        <v>19519.57</v>
      </c>
      <c r="L280" s="259"/>
      <c r="M280" s="259"/>
    </row>
    <row r="281" spans="1:13" x14ac:dyDescent="0.25">
      <c r="A281" s="259"/>
      <c r="B281" s="708">
        <v>42317</v>
      </c>
      <c r="C281" s="259">
        <v>190</v>
      </c>
      <c r="D281" s="260">
        <v>17.100000000000001</v>
      </c>
      <c r="E281" s="260">
        <v>0</v>
      </c>
      <c r="F281" s="260">
        <f t="shared" si="62"/>
        <v>3249.0000000000005</v>
      </c>
      <c r="G281" s="709">
        <v>42510</v>
      </c>
      <c r="H281" s="265">
        <v>240</v>
      </c>
      <c r="I281" s="260">
        <v>10.75</v>
      </c>
      <c r="J281" s="260">
        <v>0.12</v>
      </c>
      <c r="K281" s="260">
        <f t="shared" si="61"/>
        <v>2579.88</v>
      </c>
      <c r="L281" s="259"/>
      <c r="M281" s="259"/>
    </row>
    <row r="282" spans="1:13" x14ac:dyDescent="0.25">
      <c r="A282" s="259"/>
      <c r="B282" s="708"/>
      <c r="C282" s="259">
        <v>2</v>
      </c>
      <c r="D282" s="260">
        <v>17.100000000000001</v>
      </c>
      <c r="E282" s="260">
        <v>0</v>
      </c>
      <c r="F282" s="260">
        <f t="shared" si="62"/>
        <v>34.200000000000003</v>
      </c>
      <c r="G282" s="709"/>
      <c r="H282" s="265">
        <v>260</v>
      </c>
      <c r="I282" s="260">
        <v>10.75</v>
      </c>
      <c r="J282" s="260">
        <v>0</v>
      </c>
      <c r="K282" s="260">
        <f t="shared" si="61"/>
        <v>2795</v>
      </c>
      <c r="L282" s="259"/>
      <c r="M282" s="259"/>
    </row>
    <row r="283" spans="1:13" x14ac:dyDescent="0.25">
      <c r="A283" s="259"/>
      <c r="B283" s="708">
        <v>42318</v>
      </c>
      <c r="C283" s="259">
        <v>8</v>
      </c>
      <c r="D283" s="260">
        <v>16.989999999999998</v>
      </c>
      <c r="E283" s="260">
        <v>0</v>
      </c>
      <c r="F283" s="260">
        <f t="shared" si="62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1"/>
        <v>5684.88</v>
      </c>
      <c r="L283" s="259"/>
      <c r="M283" s="259"/>
    </row>
    <row r="284" spans="1:13" x14ac:dyDescent="0.25">
      <c r="A284" s="259"/>
      <c r="B284" s="708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1"/>
        <v>5769.87</v>
      </c>
      <c r="L284" s="259"/>
      <c r="M284" s="259"/>
    </row>
    <row r="285" spans="1:13" x14ac:dyDescent="0.25">
      <c r="A285" s="259"/>
      <c r="B285" s="708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1"/>
        <v>5879.87</v>
      </c>
      <c r="L285" s="259"/>
      <c r="M285" s="259"/>
    </row>
    <row r="286" spans="1:13" x14ac:dyDescent="0.25">
      <c r="A286" s="259"/>
      <c r="B286" s="708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1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3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1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3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1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3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1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3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1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3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3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3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3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3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3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3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3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3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3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3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3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3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3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3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3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3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3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3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3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3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3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3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3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3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3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3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3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3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3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3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10" t="s">
        <v>203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3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10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3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10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3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3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3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3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3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3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3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3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3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3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3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3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3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3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3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3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3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4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3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4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3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4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3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4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3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4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3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4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3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4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3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3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3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3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5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6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5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6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5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6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5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6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5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6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5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6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5"/>
        <v>7224.84</v>
      </c>
      <c r="L356" s="259"/>
      <c r="M356" s="711" t="s">
        <v>263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6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5"/>
        <v>7439.84</v>
      </c>
      <c r="L357" s="259"/>
      <c r="M357" s="711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6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5"/>
        <v>7489.84</v>
      </c>
      <c r="L358" s="259"/>
      <c r="M358" s="711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6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5"/>
        <v>7739.83</v>
      </c>
      <c r="L359" s="259"/>
      <c r="M359" s="711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6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5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6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5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6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5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6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5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6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5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6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5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6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5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6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5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6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5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6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5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6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5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6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5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6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5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6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5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6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5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6"/>
        <v>0</v>
      </c>
      <c r="G375" s="707" t="s">
        <v>324</v>
      </c>
      <c r="H375" s="259">
        <v>100</v>
      </c>
      <c r="I375" s="260">
        <v>19.68</v>
      </c>
      <c r="J375" s="260">
        <v>0.04</v>
      </c>
      <c r="K375" s="260">
        <f t="shared" si="65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6"/>
        <v>0</v>
      </c>
      <c r="G376" s="707"/>
      <c r="H376" s="259">
        <v>200</v>
      </c>
      <c r="I376" s="260">
        <v>19.88</v>
      </c>
      <c r="J376" s="260">
        <v>0.09</v>
      </c>
      <c r="K376" s="260">
        <f t="shared" si="65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6"/>
        <v>0</v>
      </c>
      <c r="G377" s="707"/>
      <c r="H377" s="259">
        <v>200</v>
      </c>
      <c r="I377" s="260">
        <v>20.32</v>
      </c>
      <c r="J377" s="260">
        <v>0.09</v>
      </c>
      <c r="K377" s="260">
        <f t="shared" si="65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6"/>
        <v>0</v>
      </c>
      <c r="G378" s="707"/>
      <c r="H378" s="259">
        <v>300</v>
      </c>
      <c r="I378" s="260">
        <v>20.53</v>
      </c>
      <c r="J378" s="260">
        <v>0.13</v>
      </c>
      <c r="K378" s="260">
        <f t="shared" si="65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5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5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5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5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7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7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7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7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7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7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8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8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8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8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8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196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10">
    <mergeCell ref="M356:M359"/>
    <mergeCell ref="G243:G244"/>
    <mergeCell ref="G267:G269"/>
    <mergeCell ref="O44:P44"/>
    <mergeCell ref="G13:G14"/>
    <mergeCell ref="G375:G378"/>
    <mergeCell ref="B281:B282"/>
    <mergeCell ref="G281:G282"/>
    <mergeCell ref="B283:B286"/>
    <mergeCell ref="A322:A324"/>
  </mergeCells>
  <conditionalFormatting sqref="P16:P28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93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5" priority="91">
      <formula>F70&gt;0</formula>
    </cfRule>
    <cfRule type="expression" dxfId="674" priority="92">
      <formula>F70&lt;0</formula>
    </cfRule>
  </conditionalFormatting>
  <conditionalFormatting sqref="H70:H81">
    <cfRule type="expression" dxfId="673" priority="83">
      <formula>H70&gt;0</formula>
    </cfRule>
    <cfRule type="expression" dxfId="672" priority="84">
      <formula>H70&lt;0</formula>
    </cfRule>
  </conditionalFormatting>
  <conditionalFormatting sqref="H82">
    <cfRule type="expression" dxfId="671" priority="73">
      <formula>H82&gt;0</formula>
    </cfRule>
    <cfRule type="expression" dxfId="670" priority="74">
      <formula>H82&lt;0</formula>
    </cfRule>
  </conditionalFormatting>
  <conditionalFormatting sqref="H83">
    <cfRule type="expression" dxfId="669" priority="69">
      <formula>H83&gt;0</formula>
    </cfRule>
    <cfRule type="expression" dxfId="668" priority="70">
      <formula>H83&lt;0</formula>
    </cfRule>
  </conditionalFormatting>
  <conditionalFormatting sqref="H84:H89">
    <cfRule type="expression" dxfId="667" priority="65">
      <formula>H84&gt;0</formula>
    </cfRule>
    <cfRule type="expression" dxfId="666" priority="66">
      <formula>H84&lt;0</formula>
    </cfRule>
  </conditionalFormatting>
  <conditionalFormatting sqref="Q8">
    <cfRule type="expression" dxfId="665" priority="49">
      <formula>Q8&gt;0</formula>
    </cfRule>
    <cfRule type="expression" dxfId="664" priority="50">
      <formula>Q8&lt;0</formula>
    </cfRule>
  </conditionalFormatting>
  <conditionalFormatting sqref="Q7">
    <cfRule type="expression" dxfId="663" priority="51">
      <formula>Q7&gt;0</formula>
    </cfRule>
    <cfRule type="expression" dxfId="662" priority="52">
      <formula>Q7&lt;0</formula>
    </cfRule>
  </conditionalFormatting>
  <conditionalFormatting sqref="F201 H201">
    <cfRule type="expression" dxfId="661" priority="47">
      <formula>F201&gt;0</formula>
    </cfRule>
    <cfRule type="expression" dxfId="660" priority="48">
      <formula>F201&lt;0</formula>
    </cfRule>
  </conditionalFormatting>
  <conditionalFormatting sqref="F30:F67">
    <cfRule type="expression" dxfId="659" priority="45">
      <formula>F30&gt;0</formula>
    </cfRule>
    <cfRule type="expression" dxfId="658" priority="46">
      <formula>F30&lt;0</formula>
    </cfRule>
  </conditionalFormatting>
  <conditionalFormatting sqref="H30:H67">
    <cfRule type="expression" dxfId="657" priority="43">
      <formula>H30&gt;0</formula>
    </cfRule>
    <cfRule type="expression" dxfId="656" priority="44">
      <formula>H30&lt;0</formula>
    </cfRule>
  </conditionalFormatting>
  <conditionalFormatting sqref="Q10">
    <cfRule type="expression" dxfId="655" priority="41">
      <formula>Q10&gt;0</formula>
    </cfRule>
    <cfRule type="expression" dxfId="654" priority="42">
      <formula>Q10&lt;0</formula>
    </cfRule>
  </conditionalFormatting>
  <conditionalFormatting sqref="J37">
    <cfRule type="expression" dxfId="653" priority="39">
      <formula>J37&gt;0</formula>
    </cfRule>
    <cfRule type="expression" dxfId="652" priority="40">
      <formula>J37&lt;0</formula>
    </cfRule>
  </conditionalFormatting>
  <conditionalFormatting sqref="J43:J44">
    <cfRule type="expression" dxfId="651" priority="37">
      <formula>J43&gt;0</formula>
    </cfRule>
    <cfRule type="expression" dxfId="650" priority="38">
      <formula>J43&lt;0</formula>
    </cfRule>
  </conditionalFormatting>
  <conditionalFormatting sqref="Q9">
    <cfRule type="expression" dxfId="649" priority="35">
      <formula>Q9&gt;0</formula>
    </cfRule>
    <cfRule type="expression" dxfId="648" priority="36">
      <formula>Q9&lt;0</formula>
    </cfRule>
  </conditionalFormatting>
  <conditionalFormatting sqref="J45">
    <cfRule type="expression" dxfId="647" priority="33">
      <formula>J45&gt;0</formula>
    </cfRule>
    <cfRule type="expression" dxfId="646" priority="34">
      <formula>J45&lt;0</formula>
    </cfRule>
  </conditionalFormatting>
  <conditionalFormatting sqref="J46:J48 J50:J53">
    <cfRule type="expression" dxfId="645" priority="31">
      <formula>J46&gt;0</formula>
    </cfRule>
    <cfRule type="expression" dxfId="644" priority="32">
      <formula>J46&lt;0</formula>
    </cfRule>
  </conditionalFormatting>
  <conditionalFormatting sqref="K37">
    <cfRule type="expression" dxfId="643" priority="29">
      <formula>K37&gt;0</formula>
    </cfRule>
    <cfRule type="expression" dxfId="642" priority="30">
      <formula>K37&lt;0</formula>
    </cfRule>
  </conditionalFormatting>
  <conditionalFormatting sqref="K43:K44">
    <cfRule type="expression" dxfId="641" priority="27">
      <formula>K43&gt;0</formula>
    </cfRule>
    <cfRule type="expression" dxfId="640" priority="28">
      <formula>K43&lt;0</formula>
    </cfRule>
  </conditionalFormatting>
  <conditionalFormatting sqref="K45">
    <cfRule type="expression" dxfId="639" priority="25">
      <formula>K45&gt;0</formula>
    </cfRule>
    <cfRule type="expression" dxfId="638" priority="26">
      <formula>K45&lt;0</formula>
    </cfRule>
  </conditionalFormatting>
  <conditionalFormatting sqref="K46:K53">
    <cfRule type="expression" dxfId="637" priority="23">
      <formula>K46&gt;0</formula>
    </cfRule>
    <cfRule type="expression" dxfId="636" priority="24">
      <formula>K46&lt;0</formula>
    </cfRule>
  </conditionalFormatting>
  <conditionalFormatting sqref="L37">
    <cfRule type="expression" dxfId="635" priority="21">
      <formula>L37&gt;0</formula>
    </cfRule>
    <cfRule type="expression" dxfId="634" priority="22">
      <formula>L37&lt;0</formula>
    </cfRule>
  </conditionalFormatting>
  <conditionalFormatting sqref="L43:L44">
    <cfRule type="expression" dxfId="633" priority="19">
      <formula>L43&gt;0</formula>
    </cfRule>
    <cfRule type="expression" dxfId="632" priority="20">
      <formula>L43&lt;0</formula>
    </cfRule>
  </conditionalFormatting>
  <conditionalFormatting sqref="L45">
    <cfRule type="expression" dxfId="631" priority="17">
      <formula>L45&gt;0</formula>
    </cfRule>
    <cfRule type="expression" dxfId="630" priority="18">
      <formula>L45&lt;0</formula>
    </cfRule>
  </conditionalFormatting>
  <conditionalFormatting sqref="L46:L53">
    <cfRule type="expression" dxfId="629" priority="15">
      <formula>L46&gt;0</formula>
    </cfRule>
    <cfRule type="expression" dxfId="628" priority="16">
      <formula>L46&lt;0</formula>
    </cfRule>
  </conditionalFormatting>
  <conditionalFormatting sqref="K54">
    <cfRule type="expression" dxfId="627" priority="13">
      <formula>K54&gt;0</formula>
    </cfRule>
    <cfRule type="expression" dxfId="626" priority="14">
      <formula>K54&lt;0</formula>
    </cfRule>
  </conditionalFormatting>
  <conditionalFormatting sqref="L54:L60">
    <cfRule type="expression" dxfId="625" priority="11">
      <formula>L54&gt;0</formula>
    </cfRule>
    <cfRule type="expression" dxfId="624" priority="12">
      <formula>L54&lt;0</formula>
    </cfRule>
  </conditionalFormatting>
  <conditionalFormatting sqref="K55">
    <cfRule type="expression" dxfId="623" priority="9">
      <formula>K55&gt;0</formula>
    </cfRule>
    <cfRule type="expression" dxfId="622" priority="10">
      <formula>K55&lt;0</formula>
    </cfRule>
  </conditionalFormatting>
  <conditionalFormatting sqref="K56">
    <cfRule type="expression" dxfId="621" priority="3">
      <formula>K56&gt;0</formula>
    </cfRule>
    <cfRule type="expression" dxfId="620" priority="4">
      <formula>K56&lt;0</formula>
    </cfRule>
  </conditionalFormatting>
  <conditionalFormatting sqref="K57:K67">
    <cfRule type="expression" dxfId="619" priority="1">
      <formula>K57&gt;0</formula>
    </cfRule>
    <cfRule type="expression" dxfId="618" priority="2">
      <formula>K57&lt;0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52.55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52.55</v>
      </c>
      <c r="R4" s="516">
        <v>-9.7999999999999997E-3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4" t="s">
        <v>78</v>
      </c>
      <c r="P40" s="704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57.805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57.279499999999999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56.753999999999998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56.228499999999997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55.703000000000003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55.177500000000002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54.652000000000001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54.1265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53.600999999999999</v>
      </c>
      <c r="Q49" s="2"/>
      <c r="T49" s="86" t="s">
        <v>103</v>
      </c>
      <c r="U49" s="88" t="s">
        <v>416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53.075499999999998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52.55</v>
      </c>
      <c r="Q51" s="2"/>
      <c r="T51" s="86" t="s">
        <v>104</v>
      </c>
      <c r="U51" s="87" t="s">
        <v>681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52.024499999999996</v>
      </c>
      <c r="Q52" s="2"/>
      <c r="T52" s="86" t="s">
        <v>105</v>
      </c>
      <c r="U52" s="87" t="s">
        <v>542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51.498999999999995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50.973499999999994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50.447999999999993</v>
      </c>
      <c r="T55" s="86" t="s">
        <v>107</v>
      </c>
      <c r="U55" s="87" t="s">
        <v>682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49.922499999999992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49.396999999999991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48.871499999999997</v>
      </c>
      <c r="T58" s="86" t="s">
        <v>108</v>
      </c>
      <c r="U58" s="87" t="s">
        <v>596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48.345999999999997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47.820499999999996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47.295000000000002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7" priority="11">
      <formula>F27&gt;0</formula>
    </cfRule>
    <cfRule type="expression" dxfId="616" priority="12">
      <formula>F27&lt;0</formula>
    </cfRule>
  </conditionalFormatting>
  <conditionalFormatting sqref="H27:H29">
    <cfRule type="expression" dxfId="615" priority="9">
      <formula>H27&gt;0</formula>
    </cfRule>
    <cfRule type="expression" dxfId="614" priority="10">
      <formula>H27&lt;0</formula>
    </cfRule>
  </conditionalFormatting>
  <conditionalFormatting sqref="F23:F26">
    <cfRule type="expression" dxfId="613" priority="7">
      <formula>F23&gt;0</formula>
    </cfRule>
    <cfRule type="expression" dxfId="612" priority="8">
      <formula>F23&lt;0</formula>
    </cfRule>
  </conditionalFormatting>
  <conditionalFormatting sqref="H23:H26">
    <cfRule type="expression" dxfId="611" priority="5">
      <formula>H23&gt;0</formula>
    </cfRule>
    <cfRule type="expression" dxfId="610" priority="6">
      <formula>H23&lt;0</formula>
    </cfRule>
  </conditionalFormatting>
  <conditionalFormatting sqref="Q8">
    <cfRule type="expression" dxfId="609" priority="1">
      <formula>Q8&gt;0</formula>
    </cfRule>
    <cfRule type="expression" dxfId="608" priority="2">
      <formula>Q8&lt;0</formula>
    </cfRule>
  </conditionalFormatting>
  <conditionalFormatting sqref="Q7">
    <cfRule type="expression" dxfId="607" priority="3">
      <formula>Q7&gt;0</formula>
    </cfRule>
    <cfRule type="expression" dxfId="60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35.69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35.69</v>
      </c>
      <c r="R4" s="516">
        <v>-8.8999999999999999E-3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4" t="s">
        <v>78</v>
      </c>
      <c r="P40" s="704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39.259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38.902099999999997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38.545200000000001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38.188299999999998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37.831400000000002</v>
      </c>
      <c r="Q45" s="2"/>
      <c r="T45" s="86" t="s">
        <v>99</v>
      </c>
      <c r="U45" s="87" t="s">
        <v>683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37.474499999999999</v>
      </c>
      <c r="Q46" s="2"/>
      <c r="T46" s="86" t="s">
        <v>100</v>
      </c>
      <c r="U46" s="87" t="s">
        <v>684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37.117599999999996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36.7607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36.403799999999997</v>
      </c>
      <c r="Q49" s="2"/>
      <c r="T49" s="86" t="s">
        <v>103</v>
      </c>
      <c r="U49" s="88" t="s">
        <v>449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36.046900000000001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35.69</v>
      </c>
      <c r="Q51" s="2"/>
      <c r="T51" s="86" t="s">
        <v>104</v>
      </c>
      <c r="U51" s="87" t="s">
        <v>685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35.333099999999995</v>
      </c>
      <c r="Q52" s="2"/>
      <c r="T52" s="86" t="s">
        <v>105</v>
      </c>
      <c r="U52" s="87" t="s">
        <v>553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34.976199999999999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34.619299999999996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34.2624</v>
      </c>
      <c r="T55" s="86" t="s">
        <v>107</v>
      </c>
      <c r="U55" s="87" t="s">
        <v>686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33.905499999999996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33.548599999999993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33.191699999999997</v>
      </c>
      <c r="T58" s="86" t="s">
        <v>108</v>
      </c>
      <c r="U58" s="87" t="s">
        <v>597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32.834800000000001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32.477899999999998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32.121000000000002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5" priority="7">
      <formula>F21&gt;0</formula>
    </cfRule>
    <cfRule type="expression" dxfId="604" priority="8">
      <formula>F21&lt;0</formula>
    </cfRule>
  </conditionalFormatting>
  <conditionalFormatting sqref="F22">
    <cfRule type="expression" dxfId="603" priority="5">
      <formula>F22&gt;0</formula>
    </cfRule>
    <cfRule type="expression" dxfId="602" priority="6">
      <formula>F22&lt;0</formula>
    </cfRule>
  </conditionalFormatting>
  <conditionalFormatting sqref="Q8">
    <cfRule type="expression" dxfId="601" priority="1">
      <formula>Q8&gt;0</formula>
    </cfRule>
    <cfRule type="expression" dxfId="600" priority="2">
      <formula>Q8&lt;0</formula>
    </cfRule>
  </conditionalFormatting>
  <conditionalFormatting sqref="Q7">
    <cfRule type="expression" dxfId="599" priority="3">
      <formula>Q7&gt;0</formula>
    </cfRule>
    <cfRule type="expression" dxfId="59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49.66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49.66</v>
      </c>
      <c r="R4" s="498">
        <v>8.6999999999999994E-3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4" t="s">
        <v>78</v>
      </c>
      <c r="P44" s="704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54.625999999999998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54.129399999999997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53.632800000000003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53.136200000000002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52.639600000000002</v>
      </c>
      <c r="Q49" s="2"/>
      <c r="R49" s="34"/>
      <c r="T49" s="107" t="s">
        <v>121</v>
      </c>
      <c r="U49" s="105" t="s">
        <v>394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52.143000000000001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51.6464</v>
      </c>
      <c r="Q51" s="2"/>
      <c r="R51" s="34"/>
      <c r="T51" s="107" t="s">
        <v>104</v>
      </c>
      <c r="U51" s="105" t="s">
        <v>687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51.149799999999999</v>
      </c>
      <c r="Q52" s="2"/>
      <c r="R52" s="34"/>
      <c r="T52" s="107" t="s">
        <v>105</v>
      </c>
      <c r="U52" s="105" t="s">
        <v>572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50.653199999999998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50.156599999999997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49.66</v>
      </c>
      <c r="Q55" s="2"/>
      <c r="R55" s="34"/>
      <c r="T55" s="107" t="s">
        <v>107</v>
      </c>
      <c r="U55" s="105" t="s">
        <v>688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49.163399999999996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48.666799999999995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48.170199999999994</v>
      </c>
      <c r="Q58" s="2"/>
      <c r="R58" s="34"/>
      <c r="T58" s="107" t="s">
        <v>108</v>
      </c>
      <c r="U58" s="105" t="s">
        <v>598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47.673599999999993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47.176999999999992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46.680399999999992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46.183799999999998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45.687199999999997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45.190599999999996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44.693999999999996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7" priority="17">
      <formula>F38&gt;0</formula>
    </cfRule>
    <cfRule type="expression" dxfId="596" priority="18">
      <formula>F38&lt;0</formula>
    </cfRule>
  </conditionalFormatting>
  <conditionalFormatting sqref="H38:H72">
    <cfRule type="expression" dxfId="595" priority="9">
      <formula>H38&gt;0</formula>
    </cfRule>
    <cfRule type="expression" dxfId="594" priority="10">
      <formula>H38&lt;0</formula>
    </cfRule>
  </conditionalFormatting>
  <conditionalFormatting sqref="F21:F37">
    <cfRule type="expression" dxfId="593" priority="7">
      <formula>F21&gt;0</formula>
    </cfRule>
    <cfRule type="expression" dxfId="592" priority="8">
      <formula>F21&lt;0</formula>
    </cfRule>
  </conditionalFormatting>
  <conditionalFormatting sqref="H21:H37">
    <cfRule type="expression" dxfId="591" priority="5">
      <formula>H21&gt;0</formula>
    </cfRule>
    <cfRule type="expression" dxfId="590" priority="6">
      <formula>H21&lt;0</formula>
    </cfRule>
  </conditionalFormatting>
  <conditionalFormatting sqref="Q8">
    <cfRule type="expression" dxfId="589" priority="1">
      <formula>Q8&gt;0</formula>
    </cfRule>
    <cfRule type="expression" dxfId="588" priority="2">
      <formula>Q8&lt;0</formula>
    </cfRule>
  </conditionalFormatting>
  <conditionalFormatting sqref="Q7">
    <cfRule type="expression" dxfId="587" priority="3">
      <formula>Q7&gt;0</formula>
    </cfRule>
    <cfRule type="expression" dxfId="58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110.1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110.1</v>
      </c>
      <c r="R4" s="516">
        <v>7.1000000000000004E-3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4" t="s">
        <v>78</v>
      </c>
      <c r="P46" s="704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121.11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120.009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118.908</v>
      </c>
      <c r="Q49" s="34"/>
      <c r="R49"/>
      <c r="T49" s="86" t="s">
        <v>103</v>
      </c>
      <c r="U49" s="93" t="s">
        <v>689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117.807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116.706</v>
      </c>
      <c r="Q51" s="82"/>
      <c r="R51"/>
      <c r="T51" s="86" t="s">
        <v>104</v>
      </c>
      <c r="U51" s="129" t="s">
        <v>690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115.605</v>
      </c>
      <c r="Q52" s="82"/>
      <c r="R52"/>
      <c r="T52" s="86" t="s">
        <v>105</v>
      </c>
      <c r="U52" s="129" t="s">
        <v>545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114.504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113.40299999999999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112.30199999999999</v>
      </c>
      <c r="Q55" s="82"/>
      <c r="R55"/>
      <c r="T55" s="86" t="s">
        <v>107</v>
      </c>
      <c r="U55" s="129" t="s">
        <v>691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111.20099999999999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110.1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108.999</v>
      </c>
      <c r="Q58" s="82"/>
      <c r="R58"/>
      <c r="T58" s="86" t="s">
        <v>108</v>
      </c>
      <c r="U58" s="129" t="s">
        <v>599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107.898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106.797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105.69599999999998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104.59499999999998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103.49399999999999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102.393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101.292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100.191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99.09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5" priority="11">
      <formula>F24&gt;0</formula>
    </cfRule>
    <cfRule type="expression" dxfId="584" priority="12">
      <formula>F24&lt;0</formula>
    </cfRule>
  </conditionalFormatting>
  <conditionalFormatting sqref="H27:H30">
    <cfRule type="expression" dxfId="583" priority="9">
      <formula>H27&gt;0</formula>
    </cfRule>
    <cfRule type="expression" dxfId="582" priority="10">
      <formula>H27&lt;0</formula>
    </cfRule>
  </conditionalFormatting>
  <conditionalFormatting sqref="F25">
    <cfRule type="expression" dxfId="581" priority="7">
      <formula>F25&gt;0</formula>
    </cfRule>
    <cfRule type="expression" dxfId="580" priority="8">
      <formula>F25&lt;0</formula>
    </cfRule>
  </conditionalFormatting>
  <conditionalFormatting sqref="H24:H26">
    <cfRule type="expression" dxfId="579" priority="5">
      <formula>H24&gt;0</formula>
    </cfRule>
    <cfRule type="expression" dxfId="578" priority="6">
      <formula>H24&lt;0</formula>
    </cfRule>
  </conditionalFormatting>
  <conditionalFormatting sqref="Q7">
    <cfRule type="expression" dxfId="577" priority="3">
      <formula>Q7&gt;0</formula>
    </cfRule>
    <cfRule type="expression" dxfId="576" priority="4">
      <formula>Q7&lt;0</formula>
    </cfRule>
  </conditionalFormatting>
  <conditionalFormatting sqref="Q8">
    <cfRule type="expression" dxfId="575" priority="1">
      <formula>Q8&gt;0</formula>
    </cfRule>
    <cfRule type="expression" dxfId="57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52.95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52.95</v>
      </c>
      <c r="R4" s="517">
        <v>-2.07E-2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4" t="s">
        <v>78</v>
      </c>
      <c r="Q39" s="704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58.245000000000005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57.715500000000006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57.186000000000007</v>
      </c>
      <c r="R42" s="34"/>
      <c r="T42" s="86" t="s">
        <v>99</v>
      </c>
      <c r="U42" s="129" t="s">
        <v>692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56.656500000000008</v>
      </c>
      <c r="R43" s="82"/>
      <c r="T43" s="86" t="s">
        <v>100</v>
      </c>
      <c r="U43" s="129" t="s">
        <v>693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56.127000000000002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55.597500000000004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55.068000000000005</v>
      </c>
      <c r="R46" s="82"/>
      <c r="T46" s="86" t="s">
        <v>121</v>
      </c>
      <c r="U46" s="230" t="s">
        <v>446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54.538500000000006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54.009</v>
      </c>
      <c r="R48" s="82"/>
      <c r="T48" s="86" t="s">
        <v>104</v>
      </c>
      <c r="U48" s="129" t="s">
        <v>694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53.479500000000002</v>
      </c>
      <c r="R49" s="82"/>
      <c r="T49" s="86" t="s">
        <v>105</v>
      </c>
      <c r="U49" s="129" t="s">
        <v>600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52.95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52.420500000000004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51.891000000000005</v>
      </c>
      <c r="R52" s="82"/>
      <c r="T52" s="86" t="s">
        <v>107</v>
      </c>
      <c r="U52" s="129" t="s">
        <v>695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51.361499999999999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50.832000000000001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50.302500000000002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49.773000000000003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49.243500000000004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48.714000000000006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48.184500000000007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47.655000000000001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73" priority="17">
      <formula>F28&gt;0</formula>
    </cfRule>
    <cfRule type="expression" dxfId="572" priority="18">
      <formula>F28&lt;0</formula>
    </cfRule>
  </conditionalFormatting>
  <conditionalFormatting sqref="F28 F33:F35">
    <cfRule type="expression" dxfId="571" priority="19">
      <formula>F28&gt;0</formula>
    </cfRule>
    <cfRule type="expression" dxfId="570" priority="20">
      <formula>F28&lt;0</formula>
    </cfRule>
  </conditionalFormatting>
  <conditionalFormatting sqref="H28 H33:H35">
    <cfRule type="expression" dxfId="569" priority="15">
      <formula>H28&gt;0</formula>
    </cfRule>
    <cfRule type="expression" dxfId="568" priority="16">
      <formula>H28&lt;0</formula>
    </cfRule>
  </conditionalFormatting>
  <conditionalFormatting sqref="F21:F27">
    <cfRule type="expression" dxfId="567" priority="13">
      <formula>F21&gt;0</formula>
    </cfRule>
    <cfRule type="expression" dxfId="566" priority="14">
      <formula>F21&lt;0</formula>
    </cfRule>
  </conditionalFormatting>
  <conditionalFormatting sqref="H21:H27">
    <cfRule type="expression" dxfId="565" priority="11">
      <formula>H21&gt;0</formula>
    </cfRule>
    <cfRule type="expression" dxfId="564" priority="12">
      <formula>H21&lt;0</formula>
    </cfRule>
  </conditionalFormatting>
  <conditionalFormatting sqref="Q8">
    <cfRule type="expression" dxfId="563" priority="7">
      <formula>Q8&gt;0</formula>
    </cfRule>
    <cfRule type="expression" dxfId="562" priority="8">
      <formula>Q8&lt;0</formula>
    </cfRule>
  </conditionalFormatting>
  <conditionalFormatting sqref="Q7">
    <cfRule type="expression" dxfId="561" priority="9">
      <formula>Q7&gt;0</formula>
    </cfRule>
    <cfRule type="expression" dxfId="560" priority="10">
      <formula>Q7&lt;0</formula>
    </cfRule>
  </conditionalFormatting>
  <conditionalFormatting sqref="F29:F32">
    <cfRule type="expression" dxfId="559" priority="5">
      <formula>F29&gt;0</formula>
    </cfRule>
    <cfRule type="expression" dxfId="558" priority="6">
      <formula>F29&lt;0</formula>
    </cfRule>
  </conditionalFormatting>
  <conditionalFormatting sqref="H29:H32">
    <cfRule type="expression" dxfId="557" priority="3">
      <formula>H29&gt;0</formula>
    </cfRule>
    <cfRule type="expression" dxfId="556" priority="4">
      <formula>H29&lt;0</formula>
    </cfRule>
  </conditionalFormatting>
  <conditionalFormatting sqref="M37">
    <cfRule type="expression" dxfId="555" priority="1">
      <formula>M37&gt;0</formula>
    </cfRule>
    <cfRule type="expression" dxfId="55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239.38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239.38</v>
      </c>
      <c r="R4" s="498">
        <v>-2E-3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554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4" t="s">
        <v>78</v>
      </c>
      <c r="Q39" s="704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263.31800000000004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260.92420000000004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258.53039999999999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256.13659999999999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253.74280000000002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251.34900000000002</v>
      </c>
      <c r="R45" s="82"/>
      <c r="T45" s="86" t="s">
        <v>331</v>
      </c>
      <c r="U45" s="129" t="s">
        <v>506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248.95519999999999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246.56139999999999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244.16759999999999</v>
      </c>
      <c r="R48" s="82"/>
      <c r="T48" s="86" t="s">
        <v>104</v>
      </c>
      <c r="U48" s="129" t="s">
        <v>696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241.77379999999999</v>
      </c>
      <c r="R49" s="82"/>
      <c r="T49" s="86" t="s">
        <v>105</v>
      </c>
      <c r="U49" s="129" t="s">
        <v>514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239.38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236.9862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234.5924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232.1986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229.8048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227.41099999999997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225.01719999999997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222.6234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220.2296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217.83580000000001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215.44200000000001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53" priority="19">
      <formula>F25&gt;0</formula>
    </cfRule>
    <cfRule type="expression" dxfId="55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51" priority="11">
      <formula>F28&gt;0</formula>
    </cfRule>
    <cfRule type="expression" dxfId="550" priority="12">
      <formula>F28&lt;0</formula>
    </cfRule>
  </conditionalFormatting>
  <conditionalFormatting sqref="F28:F35">
    <cfRule type="expression" dxfId="549" priority="13">
      <formula>F28&gt;0</formula>
    </cfRule>
    <cfRule type="expression" dxfId="548" priority="14">
      <formula>F28&lt;0</formula>
    </cfRule>
  </conditionalFormatting>
  <conditionalFormatting sqref="H25:H35">
    <cfRule type="expression" dxfId="547" priority="9">
      <formula>H25&gt;0</formula>
    </cfRule>
    <cfRule type="expression" dxfId="546" priority="10">
      <formula>H25&lt;0</formula>
    </cfRule>
  </conditionalFormatting>
  <conditionalFormatting sqref="F21:F24">
    <cfRule type="expression" dxfId="545" priority="7">
      <formula>F21&gt;0</formula>
    </cfRule>
    <cfRule type="expression" dxfId="544" priority="8">
      <formula>F21&lt;0</formula>
    </cfRule>
  </conditionalFormatting>
  <conditionalFormatting sqref="H21:H24">
    <cfRule type="expression" dxfId="543" priority="5">
      <formula>H21&gt;0</formula>
    </cfRule>
    <cfRule type="expression" dxfId="542" priority="6">
      <formula>H21&lt;0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102.61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102.61</v>
      </c>
      <c r="R4" s="498">
        <v>1.1000000000000001E-3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112.87100000000001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111.84490000000001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110.81880000000001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109.79270000000001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108.76660000000001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107.7405</v>
      </c>
      <c r="R42" s="82"/>
      <c r="T42" s="86" t="s">
        <v>99</v>
      </c>
      <c r="U42" s="129" t="s">
        <v>697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106.7144</v>
      </c>
      <c r="R43" s="82"/>
      <c r="T43" s="86" t="s">
        <v>100</v>
      </c>
      <c r="U43" s="129" t="s">
        <v>698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105.6883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104.6622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103.6361</v>
      </c>
      <c r="R46" s="82"/>
      <c r="T46" s="86" t="s">
        <v>121</v>
      </c>
      <c r="U46" s="93" t="s">
        <v>392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102.61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101.5839</v>
      </c>
      <c r="R48" s="82"/>
      <c r="T48" s="86" t="s">
        <v>104</v>
      </c>
      <c r="U48" s="129" t="s">
        <v>699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100.5578</v>
      </c>
      <c r="R49" s="82"/>
      <c r="T49" s="86" t="s">
        <v>105</v>
      </c>
      <c r="U49" s="129" t="s">
        <v>700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99.531700000000001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98.505600000000001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97.479500000000002</v>
      </c>
      <c r="R52" s="82"/>
      <c r="T52" s="86" t="s">
        <v>107</v>
      </c>
      <c r="U52" s="129" t="s">
        <v>701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96.453399999999988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95.427300000000002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94.401200000000003</v>
      </c>
      <c r="R55" s="82"/>
      <c r="T55" s="86" t="s">
        <v>108</v>
      </c>
      <c r="U55" s="129" t="s">
        <v>585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93.375100000000003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92.349000000000004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7" priority="29">
      <formula>F40&gt;0</formula>
    </cfRule>
    <cfRule type="expression" dxfId="536" priority="30">
      <formula>F40&lt;0</formula>
    </cfRule>
  </conditionalFormatting>
  <conditionalFormatting sqref="F40:F45">
    <cfRule type="expression" dxfId="535" priority="31">
      <formula>F40&gt;0</formula>
    </cfRule>
    <cfRule type="expression" dxfId="534" priority="32">
      <formula>F40&lt;0</formula>
    </cfRule>
  </conditionalFormatting>
  <conditionalFormatting sqref="H40:H45">
    <cfRule type="expression" dxfId="533" priority="27">
      <formula>H40&gt;0</formula>
    </cfRule>
    <cfRule type="expression" dxfId="532" priority="28">
      <formula>H40&lt;0</formula>
    </cfRule>
  </conditionalFormatting>
  <conditionalFormatting sqref="F23:F39">
    <cfRule type="expression" dxfId="531" priority="13">
      <formula>F23&gt;0</formula>
    </cfRule>
    <cfRule type="expression" dxfId="530" priority="14">
      <formula>F23&lt;0</formula>
    </cfRule>
  </conditionalFormatting>
  <conditionalFormatting sqref="H23:H39">
    <cfRule type="expression" dxfId="529" priority="11">
      <formula>H23&gt;0</formula>
    </cfRule>
    <cfRule type="expression" dxfId="528" priority="12">
      <formula>H23&lt;0</formula>
    </cfRule>
  </conditionalFormatting>
  <conditionalFormatting sqref="Q7">
    <cfRule type="expression" dxfId="527" priority="9">
      <formula>Q7&gt;0</formula>
    </cfRule>
    <cfRule type="expression" dxfId="526" priority="10">
      <formula>Q7&lt;0</formula>
    </cfRule>
  </conditionalFormatting>
  <conditionalFormatting sqref="Q8">
    <cfRule type="expression" dxfId="525" priority="7">
      <formula>Q8&gt;0</formula>
    </cfRule>
    <cfRule type="expression" dxfId="524" priority="8">
      <formula>Q8&lt;0</formula>
    </cfRule>
  </conditionalFormatting>
  <conditionalFormatting sqref="Q10">
    <cfRule type="expression" dxfId="523" priority="1">
      <formula>Q10&gt;0</formula>
    </cfRule>
    <cfRule type="expression" dxfId="52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73.930000000000007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73.930000000000007</v>
      </c>
      <c r="R4" s="498">
        <v>-1.0200000000000001E-2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515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81.323000000000008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80.583700000000007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79.844400000000007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79.105100000000007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78.365800000000007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77.626500000000007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76.887200000000007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76.147900000000007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75.408600000000007</v>
      </c>
      <c r="Q51" s="2"/>
      <c r="T51" s="107" t="s">
        <v>104</v>
      </c>
      <c r="U51" s="105" t="s">
        <v>702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74.669300000000007</v>
      </c>
      <c r="Q52" s="2"/>
      <c r="T52" s="107" t="s">
        <v>105</v>
      </c>
      <c r="U52" s="105" t="s">
        <v>703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73.930000000000007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73.190700000000007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72.451400000000007</v>
      </c>
      <c r="T55" s="107" t="s">
        <v>107</v>
      </c>
      <c r="U55" s="105" t="s">
        <v>704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71.712100000000007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70.972800000000007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70.233500000000006</v>
      </c>
      <c r="T58" s="107" t="s">
        <v>108</v>
      </c>
      <c r="U58" s="105" t="s">
        <v>566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69.494200000000006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68.754900000000006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68.015600000000006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67.276300000000006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66.537000000000006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21" priority="39">
      <formula>Q12&gt;0</formula>
    </cfRule>
    <cfRule type="expression" dxfId="52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9" priority="33">
      <formula>F25&gt;0</formula>
    </cfRule>
    <cfRule type="expression" dxfId="518" priority="34">
      <formula>F25&lt;0</formula>
    </cfRule>
  </conditionalFormatting>
  <conditionalFormatting sqref="F30">
    <cfRule type="expression" dxfId="517" priority="31">
      <formula>F30&gt;0</formula>
    </cfRule>
    <cfRule type="expression" dxfId="516" priority="32">
      <formula>F30&lt;0</formula>
    </cfRule>
  </conditionalFormatting>
  <conditionalFormatting sqref="F31">
    <cfRule type="expression" dxfId="515" priority="29">
      <formula>F31&gt;0</formula>
    </cfRule>
    <cfRule type="expression" dxfId="514" priority="30">
      <formula>F31&lt;0</formula>
    </cfRule>
  </conditionalFormatting>
  <conditionalFormatting sqref="F32:F34">
    <cfRule type="expression" dxfId="513" priority="27">
      <formula>F32&gt;0</formula>
    </cfRule>
    <cfRule type="expression" dxfId="512" priority="28">
      <formula>F32&lt;0</formula>
    </cfRule>
  </conditionalFormatting>
  <conditionalFormatting sqref="H25:H29">
    <cfRule type="expression" dxfId="511" priority="25">
      <formula>H25&gt;0</formula>
    </cfRule>
    <cfRule type="expression" dxfId="510" priority="26">
      <formula>H25&lt;0</formula>
    </cfRule>
  </conditionalFormatting>
  <conditionalFormatting sqref="H30">
    <cfRule type="expression" dxfId="509" priority="23">
      <formula>H30&gt;0</formula>
    </cfRule>
    <cfRule type="expression" dxfId="508" priority="24">
      <formula>H30&lt;0</formula>
    </cfRule>
  </conditionalFormatting>
  <conditionalFormatting sqref="H31">
    <cfRule type="expression" dxfId="507" priority="21">
      <formula>H31&gt;0</formula>
    </cfRule>
    <cfRule type="expression" dxfId="506" priority="22">
      <formula>H31&lt;0</formula>
    </cfRule>
  </conditionalFormatting>
  <conditionalFormatting sqref="H32:H34">
    <cfRule type="expression" dxfId="505" priority="19">
      <formula>H32&gt;0</formula>
    </cfRule>
    <cfRule type="expression" dxfId="504" priority="20">
      <formula>H32&lt;0</formula>
    </cfRule>
  </conditionalFormatting>
  <conditionalFormatting sqref="F35">
    <cfRule type="expression" dxfId="503" priority="17">
      <formula>F35&gt;0</formula>
    </cfRule>
    <cfRule type="expression" dxfId="502" priority="18">
      <formula>F35&lt;0</formula>
    </cfRule>
  </conditionalFormatting>
  <conditionalFormatting sqref="H35">
    <cfRule type="expression" dxfId="501" priority="15">
      <formula>H35&gt;0</formula>
    </cfRule>
    <cfRule type="expression" dxfId="500" priority="16">
      <formula>H35&lt;0</formula>
    </cfRule>
  </conditionalFormatting>
  <conditionalFormatting sqref="F36">
    <cfRule type="expression" dxfId="499" priority="13">
      <formula>F36&gt;0</formula>
    </cfRule>
    <cfRule type="expression" dxfId="498" priority="14">
      <formula>F36&lt;0</formula>
    </cfRule>
  </conditionalFormatting>
  <conditionalFormatting sqref="H36">
    <cfRule type="expression" dxfId="497" priority="11">
      <formula>H36&gt;0</formula>
    </cfRule>
    <cfRule type="expression" dxfId="496" priority="12">
      <formula>H36&lt;0</formula>
    </cfRule>
  </conditionalFormatting>
  <conditionalFormatting sqref="H23:H24">
    <cfRule type="expression" dxfId="495" priority="5">
      <formula>H23&gt;0</formula>
    </cfRule>
    <cfRule type="expression" dxfId="494" priority="6">
      <formula>H23&lt;0</formula>
    </cfRule>
  </conditionalFormatting>
  <conditionalFormatting sqref="F23:F24">
    <cfRule type="expression" dxfId="493" priority="7">
      <formula>F23&gt;0</formula>
    </cfRule>
    <cfRule type="expression" dxfId="492" priority="8">
      <formula>F23&lt;0</formula>
    </cfRule>
  </conditionalFormatting>
  <conditionalFormatting sqref="Q7">
    <cfRule type="expression" dxfId="491" priority="3">
      <formula>Q7&gt;0</formula>
    </cfRule>
    <cfRule type="expression" dxfId="490" priority="4">
      <formula>Q7&lt;0</formula>
    </cfRule>
  </conditionalFormatting>
  <conditionalFormatting sqref="Q8">
    <cfRule type="expression" dxfId="489" priority="1">
      <formula>Q8&gt;0</formula>
    </cfRule>
    <cfRule type="expression" dxfId="48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 t="s">
        <v>540</v>
      </c>
      <c r="M2" s="3"/>
      <c r="O2" s="11" t="s">
        <v>57</v>
      </c>
      <c r="Q2">
        <f>C18-H18</f>
        <v>120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497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53.74</v>
      </c>
      <c r="R4" s="498">
        <v>-1.7899999999999999E-2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"/>
      <c r="C5" s="4"/>
      <c r="D5" s="3"/>
      <c r="E5" s="3"/>
      <c r="F5" s="3"/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6448.8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904.48000000000138</v>
      </c>
      <c r="R7">
        <v>80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-300.39999999999964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-4.4508978841936768E-2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760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404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421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451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496</v>
      </c>
      <c r="B34" s="611">
        <v>42795</v>
      </c>
      <c r="C34" s="612">
        <v>80</v>
      </c>
      <c r="D34" s="685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86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508</v>
      </c>
      <c r="B35" s="611">
        <v>42803</v>
      </c>
      <c r="C35" s="612">
        <v>40</v>
      </c>
      <c r="D35" s="685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86">
        <f t="shared" ref="H35:H36" si="10">(E35-D35)/D35</f>
        <v>2.5058936523181738E-2</v>
      </c>
      <c r="I35" s="613"/>
      <c r="J35" s="613">
        <v>1239</v>
      </c>
      <c r="K35" s="613">
        <f t="shared" ref="K35:K39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39" si="15">C38*(E38-D38)</f>
        <v>-249.99600000000015</v>
      </c>
      <c r="G38" s="40">
        <f t="shared" ref="G38:G39" si="16">D38*C38</f>
        <v>6749.1959999999999</v>
      </c>
      <c r="H38" s="229">
        <f t="shared" ref="H38:H39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704" t="s">
        <v>78</v>
      </c>
      <c r="Q39" s="704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B40" s="191"/>
      <c r="C40" s="10"/>
      <c r="D40" s="198"/>
      <c r="E40" s="40"/>
      <c r="F40" s="40"/>
      <c r="G40" s="40"/>
      <c r="H40" s="229"/>
      <c r="I40" s="40"/>
      <c r="J40" s="40"/>
      <c r="K40" s="40"/>
      <c r="O40" s="2"/>
      <c r="P40" s="82">
        <v>1.1000000000000001</v>
      </c>
      <c r="Q40" s="82">
        <f>P40*$Q$4</f>
        <v>59.114000000000004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K41" s="40"/>
      <c r="O41" s="2"/>
      <c r="P41" s="82">
        <v>1.0900000000000001</v>
      </c>
      <c r="Q41" s="82">
        <f t="shared" ref="Q41:Q60" si="18">P41*$Q$4</f>
        <v>58.576600000000006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58.039200000000008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57.501800000000003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56.964400000000005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56.427000000000007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55.889600000000002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55.352200000000003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54.814800000000005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54.2774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53.74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53.202600000000004</v>
      </c>
      <c r="R51" s="82"/>
      <c r="T51" s="86" t="s">
        <v>104</v>
      </c>
      <c r="U51" s="87" t="s">
        <v>705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52.665199999999999</v>
      </c>
      <c r="R52" s="82"/>
      <c r="T52" s="86" t="s">
        <v>105</v>
      </c>
      <c r="U52" s="87" t="s">
        <v>507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52.127800000000001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51.590400000000002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51.052999999999997</v>
      </c>
      <c r="R55" s="82"/>
      <c r="T55" s="86" t="s">
        <v>107</v>
      </c>
      <c r="U55" s="87" t="s">
        <v>706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50.515599999999999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49.978200000000001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49.440800000000003</v>
      </c>
      <c r="R58" s="82"/>
      <c r="T58" s="86" t="s">
        <v>108</v>
      </c>
      <c r="U58" s="87" t="s">
        <v>601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48.903400000000005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48.366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7" priority="79">
      <formula>F61&gt;0</formula>
    </cfRule>
    <cfRule type="expression" dxfId="486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5" priority="71">
      <formula>F64&gt;0</formula>
    </cfRule>
    <cfRule type="expression" dxfId="484" priority="72">
      <formula>F64&lt;0</formula>
    </cfRule>
  </conditionalFormatting>
  <conditionalFormatting sqref="F64:F92 F99:F101 F108:F119">
    <cfRule type="expression" dxfId="483" priority="73">
      <formula>F64&gt;0</formula>
    </cfRule>
    <cfRule type="expression" dxfId="482" priority="74">
      <formula>F64&lt;0</formula>
    </cfRule>
  </conditionalFormatting>
  <conditionalFormatting sqref="H61:H92 H99:H101 H108:H119">
    <cfRule type="expression" dxfId="481" priority="69">
      <formula>H61&gt;0</formula>
    </cfRule>
    <cfRule type="expression" dxfId="480" priority="70">
      <formula>H61&lt;0</formula>
    </cfRule>
  </conditionalFormatting>
  <conditionalFormatting sqref="F57:F60">
    <cfRule type="expression" dxfId="479" priority="55">
      <formula>F57&gt;0</formula>
    </cfRule>
    <cfRule type="expression" dxfId="478" priority="56">
      <formula>F57&lt;0</formula>
    </cfRule>
  </conditionalFormatting>
  <conditionalFormatting sqref="H57:H60">
    <cfRule type="expression" dxfId="477" priority="53">
      <formula>H57&gt;0</formula>
    </cfRule>
    <cfRule type="expression" dxfId="476" priority="54">
      <formula>H57&lt;0</formula>
    </cfRule>
  </conditionalFormatting>
  <conditionalFormatting sqref="Q8">
    <cfRule type="expression" dxfId="475" priority="49">
      <formula>Q8&gt;0</formula>
    </cfRule>
    <cfRule type="expression" dxfId="474" priority="50">
      <formula>Q8&lt;0</formula>
    </cfRule>
  </conditionalFormatting>
  <conditionalFormatting sqref="Q7">
    <cfRule type="expression" dxfId="473" priority="51">
      <formula>Q7&gt;0</formula>
    </cfRule>
    <cfRule type="expression" dxfId="472" priority="52">
      <formula>Q7&lt;0</formula>
    </cfRule>
  </conditionalFormatting>
  <conditionalFormatting sqref="F93:F98">
    <cfRule type="expression" dxfId="471" priority="45">
      <formula>F93&gt;0</formula>
    </cfRule>
    <cfRule type="expression" dxfId="470" priority="46">
      <formula>F93&lt;0</formula>
    </cfRule>
  </conditionalFormatting>
  <conditionalFormatting sqref="F93:F98">
    <cfRule type="expression" dxfId="469" priority="47">
      <formula>F93&gt;0</formula>
    </cfRule>
    <cfRule type="expression" dxfId="468" priority="48">
      <formula>F93&lt;0</formula>
    </cfRule>
  </conditionalFormatting>
  <conditionalFormatting sqref="H93:H98">
    <cfRule type="expression" dxfId="467" priority="43">
      <formula>H93&gt;0</formula>
    </cfRule>
    <cfRule type="expression" dxfId="466" priority="44">
      <formula>H93&lt;0</formula>
    </cfRule>
  </conditionalFormatting>
  <conditionalFormatting sqref="M122">
    <cfRule type="expression" dxfId="465" priority="39">
      <formula>M122&gt;0</formula>
    </cfRule>
    <cfRule type="expression" dxfId="464" priority="40">
      <formula>M122&lt;0</formula>
    </cfRule>
  </conditionalFormatting>
  <conditionalFormatting sqref="M122">
    <cfRule type="expression" dxfId="463" priority="41">
      <formula>M122&gt;0</formula>
    </cfRule>
    <cfRule type="expression" dxfId="462" priority="42">
      <formula>M122&lt;0</formula>
    </cfRule>
  </conditionalFormatting>
  <conditionalFormatting sqref="F103:F107">
    <cfRule type="expression" dxfId="461" priority="37">
      <formula>F103&gt;0</formula>
    </cfRule>
    <cfRule type="expression" dxfId="460" priority="38">
      <formula>F103&lt;0</formula>
    </cfRule>
  </conditionalFormatting>
  <conditionalFormatting sqref="H103:H107">
    <cfRule type="expression" dxfId="459" priority="35">
      <formula>H103&gt;0</formula>
    </cfRule>
    <cfRule type="expression" dxfId="458" priority="36">
      <formula>H103&lt;0</formula>
    </cfRule>
  </conditionalFormatting>
  <conditionalFormatting sqref="F24:F51">
    <cfRule type="expression" dxfId="457" priority="27">
      <formula>F24&gt;0</formula>
    </cfRule>
    <cfRule type="expression" dxfId="456" priority="28">
      <formula>F24&lt;0</formula>
    </cfRule>
  </conditionalFormatting>
  <conditionalFormatting sqref="F24:F51">
    <cfRule type="expression" dxfId="455" priority="29">
      <formula>F24&gt;0</formula>
    </cfRule>
    <cfRule type="expression" dxfId="454" priority="30">
      <formula>F24&lt;0</formula>
    </cfRule>
  </conditionalFormatting>
  <conditionalFormatting sqref="H24:H51">
    <cfRule type="expression" dxfId="453" priority="25">
      <formula>H24&gt;0</formula>
    </cfRule>
    <cfRule type="expression" dxfId="452" priority="26">
      <formula>H24&lt;0</formula>
    </cfRule>
  </conditionalFormatting>
  <conditionalFormatting sqref="J34">
    <cfRule type="expression" dxfId="451" priority="23">
      <formula>J34&gt;0</formula>
    </cfRule>
    <cfRule type="expression" dxfId="450" priority="24">
      <formula>J34&lt;0</formula>
    </cfRule>
  </conditionalFormatting>
  <conditionalFormatting sqref="J35">
    <cfRule type="expression" dxfId="449" priority="21">
      <formula>J35&gt;0</formula>
    </cfRule>
    <cfRule type="expression" dxfId="448" priority="22">
      <formula>J35&lt;0</formula>
    </cfRule>
  </conditionalFormatting>
  <conditionalFormatting sqref="J36:J47">
    <cfRule type="expression" dxfId="447" priority="19">
      <formula>J36&gt;0</formula>
    </cfRule>
    <cfRule type="expression" dxfId="446" priority="20">
      <formula>J36&lt;0</formula>
    </cfRule>
  </conditionalFormatting>
  <conditionalFormatting sqref="K34">
    <cfRule type="expression" dxfId="445" priority="5">
      <formula>K34&gt;0</formula>
    </cfRule>
    <cfRule type="expression" dxfId="444" priority="6">
      <formula>K34&lt;0</formula>
    </cfRule>
  </conditionalFormatting>
  <conditionalFormatting sqref="K35">
    <cfRule type="expression" dxfId="443" priority="3">
      <formula>K35&gt;0</formula>
    </cfRule>
    <cfRule type="expression" dxfId="442" priority="4">
      <formula>K35&lt;0</formula>
    </cfRule>
  </conditionalFormatting>
  <conditionalFormatting sqref="K36:K47">
    <cfRule type="expression" dxfId="441" priority="1">
      <formula>K36&gt;0</formula>
    </cfRule>
    <cfRule type="expression" dxfId="440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31.16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31.16</v>
      </c>
      <c r="R4" s="498">
        <v>2.5999999999999999E-3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4" t="s">
        <v>78</v>
      </c>
      <c r="Q39" s="704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34.276000000000003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33.964400000000005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33.652799999999999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33.341200000000001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33.029600000000002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32.718000000000004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32.406399999999998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32.094799999999999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31.783200000000001</v>
      </c>
      <c r="R48" s="82"/>
      <c r="T48" s="86" t="s">
        <v>104</v>
      </c>
      <c r="U48" s="87" t="s">
        <v>707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31.471599999999999</v>
      </c>
      <c r="R49" s="82"/>
      <c r="T49" s="86" t="s">
        <v>105</v>
      </c>
      <c r="U49" s="87" t="s">
        <v>450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31.16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30.848400000000002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30.536799999999999</v>
      </c>
      <c r="R52" s="82"/>
      <c r="T52" s="86" t="s">
        <v>107</v>
      </c>
      <c r="U52" s="87" t="s">
        <v>708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30.225200000000001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29.913599999999999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29.602</v>
      </c>
      <c r="R55" s="82"/>
      <c r="T55" s="86" t="s">
        <v>108</v>
      </c>
      <c r="U55" s="87" t="s">
        <v>555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29.290399999999998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28.978800000000003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28.667200000000001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28.355600000000003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28.044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9" priority="66">
      <formula>F22&gt;0</formula>
    </cfRule>
    <cfRule type="expression" dxfId="43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7" priority="53">
      <formula>F41&gt;0</formula>
    </cfRule>
    <cfRule type="expression" dxfId="436" priority="54">
      <formula>F41&lt;0</formula>
    </cfRule>
  </conditionalFormatting>
  <conditionalFormatting sqref="F41">
    <cfRule type="expression" dxfId="435" priority="57">
      <formula>F41&gt;0</formula>
    </cfRule>
    <cfRule type="expression" dxfId="434" priority="58">
      <formula>F41&lt;0</formula>
    </cfRule>
  </conditionalFormatting>
  <conditionalFormatting sqref="H41">
    <cfRule type="expression" dxfId="433" priority="35">
      <formula>H41&gt;0</formula>
    </cfRule>
    <cfRule type="expression" dxfId="432" priority="36">
      <formula>H41&lt;0</formula>
    </cfRule>
  </conditionalFormatting>
  <conditionalFormatting sqref="F89:F95">
    <cfRule type="expression" dxfId="431" priority="29">
      <formula>F89&gt;0</formula>
    </cfRule>
    <cfRule type="expression" dxfId="430" priority="30">
      <formula>F89&lt;0</formula>
    </cfRule>
  </conditionalFormatting>
  <conditionalFormatting sqref="F96:F110">
    <cfRule type="expression" dxfId="429" priority="25">
      <formula>F96&gt;0</formula>
    </cfRule>
    <cfRule type="expression" dxfId="428" priority="26">
      <formula>F96&lt;0</formula>
    </cfRule>
  </conditionalFormatting>
  <conditionalFormatting sqref="F96:F110">
    <cfRule type="expression" dxfId="427" priority="27">
      <formula>F96&gt;0</formula>
    </cfRule>
    <cfRule type="expression" dxfId="426" priority="28">
      <formula>F96&lt;0</formula>
    </cfRule>
  </conditionalFormatting>
  <conditionalFormatting sqref="H89:H100">
    <cfRule type="expression" dxfId="425" priority="23">
      <formula>H89&gt;0</formula>
    </cfRule>
    <cfRule type="expression" dxfId="424" priority="24">
      <formula>H89&lt;0</formula>
    </cfRule>
  </conditionalFormatting>
  <conditionalFormatting sqref="H101">
    <cfRule type="expression" dxfId="423" priority="21">
      <formula>H101&gt;0</formula>
    </cfRule>
    <cfRule type="expression" dxfId="422" priority="22">
      <formula>H101&lt;0</formula>
    </cfRule>
  </conditionalFormatting>
  <conditionalFormatting sqref="F111:F116">
    <cfRule type="expression" dxfId="421" priority="19">
      <formula>F111&gt;0</formula>
    </cfRule>
    <cfRule type="expression" dxfId="420" priority="20">
      <formula>F111&lt;0</formula>
    </cfRule>
  </conditionalFormatting>
  <conditionalFormatting sqref="H103:H116">
    <cfRule type="expression" dxfId="419" priority="17">
      <formula>H103&gt;0</formula>
    </cfRule>
    <cfRule type="expression" dxfId="418" priority="18">
      <formula>H103&lt;0</formula>
    </cfRule>
  </conditionalFormatting>
  <conditionalFormatting sqref="H102">
    <cfRule type="expression" dxfId="417" priority="15">
      <formula>H102&gt;0</formula>
    </cfRule>
    <cfRule type="expression" dxfId="416" priority="16">
      <formula>H102&lt;0</formula>
    </cfRule>
  </conditionalFormatting>
  <conditionalFormatting sqref="M42">
    <cfRule type="expression" dxfId="415" priority="13">
      <formula>M42&gt;0</formula>
    </cfRule>
    <cfRule type="expression" dxfId="414" priority="14">
      <formula>M42&lt;0</formula>
    </cfRule>
  </conditionalFormatting>
  <conditionalFormatting sqref="Q7">
    <cfRule type="expression" dxfId="413" priority="9">
      <formula>Q7&gt;0</formula>
    </cfRule>
    <cfRule type="expression" dxfId="412" priority="10">
      <formula>Q7&lt;0</formula>
    </cfRule>
  </conditionalFormatting>
  <conditionalFormatting sqref="Q8">
    <cfRule type="expression" dxfId="411" priority="7">
      <formula>Q8&gt;0</formula>
    </cfRule>
    <cfRule type="expression" dxfId="410" priority="8">
      <formula>Q8&lt;0</formula>
    </cfRule>
  </conditionalFormatting>
  <conditionalFormatting sqref="F117:F130 H117:H130">
    <cfRule type="expression" dxfId="409" priority="1">
      <formula>F117&gt;0</formula>
    </cfRule>
    <cfRule type="expression" dxfId="40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9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535</v>
      </c>
      <c r="M3" s="3"/>
      <c r="O3" s="11" t="s">
        <v>58</v>
      </c>
      <c r="Q3" s="228">
        <f>IF(Q2=0, Q4, (F18-K18-M18)/Q2)</f>
        <v>31.670120000000004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27.2</v>
      </c>
      <c r="R4" s="519">
        <v>-4.4000000000000003E-3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6800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7917.5300000000007</v>
      </c>
      <c r="T6" t="s">
        <v>340</v>
      </c>
      <c r="U6" t="s">
        <v>483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2192.9399999999932</v>
      </c>
      <c r="R7">
        <v>50</v>
      </c>
      <c r="T7" t="s">
        <v>482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501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-1117.5300000000007</v>
      </c>
      <c r="T8" t="s">
        <v>484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1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-0.14114629183596406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650</v>
      </c>
      <c r="D18" s="18"/>
      <c r="E18" s="18"/>
      <c r="F18" s="18">
        <f>SUM(F2:F14)</f>
        <v>19285.29</v>
      </c>
      <c r="G18" s="14"/>
      <c r="H18" s="14">
        <f>SUM(H2:H13)</f>
        <v>400</v>
      </c>
      <c r="I18" s="18"/>
      <c r="J18" s="18"/>
      <c r="K18" s="18">
        <f>SUM(K2:K13)</f>
        <v>11337.76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3"/>
      <c r="C19" s="354">
        <f>SumByColor($A$19,C2:C17)</f>
        <v>400</v>
      </c>
      <c r="D19" s="354"/>
      <c r="E19" s="354"/>
      <c r="F19" s="355">
        <f>SumByColor($A$19,F2:F17)</f>
        <v>10949</v>
      </c>
      <c r="G19" s="354"/>
      <c r="H19" s="354">
        <f>SumByColor($A$19,H2:H17)</f>
        <v>400</v>
      </c>
      <c r="I19" s="354"/>
      <c r="J19" s="354"/>
      <c r="K19" s="355">
        <f>SumByColor($A$19,K2:K17)</f>
        <v>11338</v>
      </c>
      <c r="L19" s="354"/>
      <c r="M19" s="355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548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453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468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473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495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765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766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B42" s="155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B43" s="155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704" t="s">
        <v>78</v>
      </c>
      <c r="P53" s="704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29.92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37">O55*$Q$4</f>
        <v>29.648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37"/>
        <v>29.376000000000001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37"/>
        <v>29.103999999999999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38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39">H58*I58-J58</f>
        <v>774.28</v>
      </c>
      <c r="L58" s="264">
        <v>42613</v>
      </c>
      <c r="M58" s="260">
        <v>90</v>
      </c>
      <c r="O58" s="82">
        <v>1.06</v>
      </c>
      <c r="P58" s="82">
        <f t="shared" si="37"/>
        <v>28.832000000000001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38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39"/>
        <v>1605.42</v>
      </c>
      <c r="L59" s="264">
        <v>42704</v>
      </c>
      <c r="M59" s="260">
        <v>102</v>
      </c>
      <c r="O59" s="82">
        <v>1.05</v>
      </c>
      <c r="P59" s="82">
        <f t="shared" si="37"/>
        <v>28.56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38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39"/>
        <v>704.38</v>
      </c>
      <c r="L60" s="259"/>
      <c r="M60" s="259"/>
      <c r="O60" s="82">
        <v>1.04</v>
      </c>
      <c r="P60" s="82">
        <f t="shared" si="37"/>
        <v>28.288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38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39"/>
        <v>1051.18</v>
      </c>
      <c r="L61" s="259"/>
      <c r="M61" s="259"/>
      <c r="O61" s="82">
        <v>1.03</v>
      </c>
      <c r="P61" s="82">
        <f t="shared" si="37"/>
        <v>28.015999999999998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38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39"/>
        <v>2281.9499999999998</v>
      </c>
      <c r="L62" s="259"/>
      <c r="M62" s="259"/>
      <c r="O62" s="82">
        <v>1.02</v>
      </c>
      <c r="P62" s="82">
        <f t="shared" si="37"/>
        <v>27.744</v>
      </c>
      <c r="Q62" s="2"/>
      <c r="T62" s="92" t="s">
        <v>121</v>
      </c>
      <c r="U62" s="129" t="s">
        <v>447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38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39"/>
        <v>1483.1699999999998</v>
      </c>
      <c r="L63" s="259"/>
      <c r="M63" s="259"/>
      <c r="O63" s="82">
        <v>1.01</v>
      </c>
      <c r="P63" s="82">
        <f t="shared" si="37"/>
        <v>27.471999999999998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38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39"/>
        <v>991.18000000000006</v>
      </c>
      <c r="L64" s="259"/>
      <c r="M64" s="259"/>
      <c r="O64" s="82">
        <v>1</v>
      </c>
      <c r="P64" s="82">
        <f t="shared" si="37"/>
        <v>27.2</v>
      </c>
      <c r="Q64" s="2"/>
      <c r="T64" s="92" t="s">
        <v>104</v>
      </c>
      <c r="U64" s="129" t="s">
        <v>709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38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37"/>
        <v>26.928000000000001</v>
      </c>
      <c r="Q65" s="2"/>
      <c r="T65" s="92" t="s">
        <v>105</v>
      </c>
      <c r="U65" s="129" t="s">
        <v>503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38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37"/>
        <v>26.655999999999999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38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37"/>
        <v>26.384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37"/>
        <v>26.111999999999998</v>
      </c>
      <c r="T68" s="92" t="s">
        <v>107</v>
      </c>
      <c r="U68" s="129" t="s">
        <v>710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38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37"/>
        <v>25.84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37"/>
        <v>25.567999999999998</v>
      </c>
      <c r="T70" s="92" t="s">
        <v>111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37"/>
        <v>25.295999999999999</v>
      </c>
      <c r="T71" s="92" t="s">
        <v>108</v>
      </c>
      <c r="U71" s="129" t="s">
        <v>602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37"/>
        <v>25.024000000000001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37"/>
        <v>24.751999999999999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37"/>
        <v>24.48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548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0">C93*(E93-D93)</f>
        <v>17.999999999999972</v>
      </c>
      <c r="G93" s="378">
        <f t="shared" ref="G93:G154" si="41">D93*C93</f>
        <v>2525</v>
      </c>
      <c r="H93" s="379">
        <f t="shared" ref="H93:H154" si="42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0"/>
        <v>-176.99999999999994</v>
      </c>
      <c r="G94" s="378">
        <f t="shared" si="41"/>
        <v>2525</v>
      </c>
      <c r="H94" s="379">
        <f t="shared" si="42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0"/>
        <v>-119.00000000000013</v>
      </c>
      <c r="G95" s="378">
        <f t="shared" si="41"/>
        <v>2525</v>
      </c>
      <c r="H95" s="379">
        <f t="shared" si="42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0"/>
        <v>-171.00000000000009</v>
      </c>
      <c r="G96" s="378">
        <f t="shared" si="41"/>
        <v>2525</v>
      </c>
      <c r="H96" s="379">
        <f t="shared" si="42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0"/>
        <v>-150</v>
      </c>
      <c r="G97" s="378">
        <f t="shared" si="41"/>
        <v>2525</v>
      </c>
      <c r="H97" s="379">
        <f t="shared" si="42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0"/>
        <v>-39.000000000000057</v>
      </c>
      <c r="G98" s="378">
        <f t="shared" si="41"/>
        <v>2525</v>
      </c>
      <c r="H98" s="379">
        <f t="shared" si="42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0"/>
        <v>-57.999999999999829</v>
      </c>
      <c r="G99" s="378">
        <f t="shared" si="41"/>
        <v>2525</v>
      </c>
      <c r="H99" s="379">
        <f t="shared" si="42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0"/>
        <v>78.000000000000114</v>
      </c>
      <c r="G100" s="378">
        <f t="shared" si="41"/>
        <v>2525</v>
      </c>
      <c r="H100" s="379">
        <f t="shared" si="42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0"/>
        <v>244.00000000000011</v>
      </c>
      <c r="G101" s="378">
        <f t="shared" si="41"/>
        <v>2525</v>
      </c>
      <c r="H101" s="379">
        <f t="shared" si="42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0"/>
        <v>130.00000000000006</v>
      </c>
      <c r="G102" s="378">
        <f t="shared" si="41"/>
        <v>2525</v>
      </c>
      <c r="H102" s="379">
        <f t="shared" si="42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0"/>
        <v>135.99999999999994</v>
      </c>
      <c r="G103" s="378">
        <f t="shared" si="41"/>
        <v>2525</v>
      </c>
      <c r="H103" s="379">
        <f t="shared" si="42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0"/>
        <v>103.99999999999991</v>
      </c>
      <c r="G104" s="378">
        <f t="shared" si="41"/>
        <v>2525</v>
      </c>
      <c r="H104" s="379">
        <f t="shared" si="42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0"/>
        <v>-7.0000000000000284</v>
      </c>
      <c r="G105" s="378">
        <f t="shared" si="41"/>
        <v>2525</v>
      </c>
      <c r="H105" s="379">
        <f t="shared" si="42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0"/>
        <v>7.9999999999998295</v>
      </c>
      <c r="G106" s="378">
        <f t="shared" si="41"/>
        <v>2525</v>
      </c>
      <c r="H106" s="379">
        <f t="shared" si="42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0"/>
        <v>55.278999999999989</v>
      </c>
      <c r="G107" s="378">
        <f t="shared" si="41"/>
        <v>1750.721</v>
      </c>
      <c r="H107" s="379">
        <f t="shared" si="42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0"/>
        <v>3.8799999999998391</v>
      </c>
      <c r="G108" s="378">
        <f t="shared" si="41"/>
        <v>2464.1200000000003</v>
      </c>
      <c r="H108" s="379">
        <f t="shared" si="42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0"/>
        <v>-15.120000000000289</v>
      </c>
      <c r="G109" s="378">
        <f t="shared" si="41"/>
        <v>2464.1200000000003</v>
      </c>
      <c r="H109" s="379">
        <f t="shared" si="42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0"/>
        <v>-442.62000000000012</v>
      </c>
      <c r="G110" s="378">
        <f t="shared" si="41"/>
        <v>4728.62</v>
      </c>
      <c r="H110" s="379">
        <f t="shared" si="42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0"/>
        <v>-391.61999999999966</v>
      </c>
      <c r="G111" s="378">
        <f t="shared" si="41"/>
        <v>6820.62</v>
      </c>
      <c r="H111" s="379">
        <f t="shared" si="42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0"/>
        <v>-184.61999999999927</v>
      </c>
      <c r="G112" s="378">
        <f t="shared" si="41"/>
        <v>6820.62</v>
      </c>
      <c r="H112" s="379">
        <f t="shared" si="42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0"/>
        <v>-349.61999999999944</v>
      </c>
      <c r="G113" s="378">
        <f t="shared" si="41"/>
        <v>6820.62</v>
      </c>
      <c r="H113" s="379">
        <f t="shared" si="42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0"/>
        <v>120.79599999999957</v>
      </c>
      <c r="G114" s="378">
        <f t="shared" si="41"/>
        <v>5215.2040000000006</v>
      </c>
      <c r="H114" s="379">
        <f t="shared" si="42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0"/>
        <v>151.18000000000009</v>
      </c>
      <c r="G115" s="378">
        <f t="shared" si="41"/>
        <v>4510.82</v>
      </c>
      <c r="H115" s="379">
        <f t="shared" si="42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0"/>
        <v>37.180000000000035</v>
      </c>
      <c r="G116" s="378">
        <f t="shared" si="41"/>
        <v>4510.82</v>
      </c>
      <c r="H116" s="379">
        <f t="shared" si="42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0"/>
        <v>93.180000000000263</v>
      </c>
      <c r="G117" s="378">
        <f t="shared" si="41"/>
        <v>4510.82</v>
      </c>
      <c r="H117" s="379">
        <f t="shared" si="42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0"/>
        <v>227.1800000000006</v>
      </c>
      <c r="G118" s="378">
        <f t="shared" si="41"/>
        <v>4510.82</v>
      </c>
      <c r="H118" s="379">
        <f t="shared" si="42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0"/>
        <v>455.18</v>
      </c>
      <c r="G119" s="378">
        <f t="shared" si="41"/>
        <v>4510.82</v>
      </c>
      <c r="H119" s="379">
        <f t="shared" si="42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0"/>
        <v>297.18000000000018</v>
      </c>
      <c r="G120" s="378">
        <f t="shared" si="41"/>
        <v>4510.82</v>
      </c>
      <c r="H120" s="379">
        <f t="shared" si="42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0"/>
        <v>335.1800000000004</v>
      </c>
      <c r="G121" s="378">
        <f t="shared" si="41"/>
        <v>4510.82</v>
      </c>
      <c r="H121" s="379">
        <f t="shared" si="42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0"/>
        <v>285.1800000000004</v>
      </c>
      <c r="G122" s="378">
        <f t="shared" si="41"/>
        <v>4510.82</v>
      </c>
      <c r="H122" s="379">
        <f t="shared" si="42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0"/>
        <v>485.1800000000004</v>
      </c>
      <c r="G123" s="378">
        <f t="shared" si="41"/>
        <v>4510.82</v>
      </c>
      <c r="H123" s="379">
        <f t="shared" si="42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0"/>
        <v>723.18000000000075</v>
      </c>
      <c r="G124" s="378">
        <f t="shared" si="41"/>
        <v>4510.82</v>
      </c>
      <c r="H124" s="379">
        <f t="shared" si="42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0"/>
        <v>699.18000000000052</v>
      </c>
      <c r="G125" s="378">
        <f t="shared" si="41"/>
        <v>4420.82</v>
      </c>
      <c r="H125" s="379">
        <f t="shared" si="42"/>
        <v>0.15815617917038027</v>
      </c>
      <c r="I125" s="378" t="s">
        <v>187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0"/>
        <v>767.18000000000052</v>
      </c>
      <c r="G126" s="378">
        <f t="shared" si="41"/>
        <v>4420.82</v>
      </c>
      <c r="H126" s="379">
        <f t="shared" si="42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0"/>
        <v>709.18</v>
      </c>
      <c r="G127" s="378">
        <f t="shared" si="41"/>
        <v>4420.82</v>
      </c>
      <c r="H127" s="379">
        <f t="shared" si="42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0"/>
        <v>686</v>
      </c>
      <c r="G128" s="378">
        <f t="shared" si="41"/>
        <v>4420</v>
      </c>
      <c r="H128" s="379">
        <f t="shared" si="42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0"/>
        <v>783.95199999999988</v>
      </c>
      <c r="G129" s="378">
        <f t="shared" si="41"/>
        <v>3369.6480000000001</v>
      </c>
      <c r="H129" s="379">
        <f t="shared" si="42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0"/>
        <v>630.35199999999975</v>
      </c>
      <c r="G130" s="378">
        <f t="shared" si="41"/>
        <v>3369.6480000000001</v>
      </c>
      <c r="H130" s="379">
        <f t="shared" si="42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0"/>
        <v>711.952</v>
      </c>
      <c r="G131" s="378">
        <f t="shared" si="41"/>
        <v>3369.6480000000001</v>
      </c>
      <c r="H131" s="379">
        <f t="shared" si="42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0"/>
        <v>449.16000000000054</v>
      </c>
      <c r="G132" s="378">
        <f t="shared" si="41"/>
        <v>4352.84</v>
      </c>
      <c r="H132" s="379">
        <f t="shared" si="42"/>
        <v>0.10318780382462957</v>
      </c>
      <c r="I132" s="378" t="s">
        <v>293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0"/>
        <v>383.1600000000002</v>
      </c>
      <c r="G133" s="378">
        <f t="shared" si="41"/>
        <v>4352.84</v>
      </c>
      <c r="H133" s="379">
        <f t="shared" si="42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0"/>
        <v>307.16000000000037</v>
      </c>
      <c r="G134" s="378">
        <f t="shared" si="41"/>
        <v>4352.84</v>
      </c>
      <c r="H134" s="379">
        <f t="shared" si="42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0"/>
        <v>253.16000000000045</v>
      </c>
      <c r="G135" s="378">
        <f t="shared" si="41"/>
        <v>4352.84</v>
      </c>
      <c r="H135" s="379">
        <f t="shared" si="42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0"/>
        <v>173.16000000000003</v>
      </c>
      <c r="G136" s="378">
        <f t="shared" si="41"/>
        <v>4352.84</v>
      </c>
      <c r="H136" s="379">
        <f t="shared" si="42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0"/>
        <v>211.11000000000041</v>
      </c>
      <c r="G137" s="378">
        <f t="shared" si="41"/>
        <v>6580.8899999999994</v>
      </c>
      <c r="H137" s="379">
        <f t="shared" si="42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0"/>
        <v>229.10000000000039</v>
      </c>
      <c r="G138" s="378">
        <f t="shared" si="41"/>
        <v>4298.8999999999996</v>
      </c>
      <c r="H138" s="379">
        <f t="shared" si="42"/>
        <v>5.3292702784433321E-2</v>
      </c>
      <c r="I138" s="378" t="s">
        <v>294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0"/>
        <v>491.10000000000014</v>
      </c>
      <c r="G139" s="378">
        <f t="shared" si="41"/>
        <v>4298.8999999999996</v>
      </c>
      <c r="H139" s="379">
        <f t="shared" si="42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0"/>
        <v>572.27799999999979</v>
      </c>
      <c r="G140" s="378">
        <f t="shared" si="41"/>
        <v>2815.7220000000002</v>
      </c>
      <c r="H140" s="379">
        <f t="shared" si="42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0"/>
        <v>566.27999999999975</v>
      </c>
      <c r="G141" s="378">
        <f t="shared" si="41"/>
        <v>4273.72</v>
      </c>
      <c r="H141" s="379">
        <f t="shared" si="42"/>
        <v>0.13250283125707807</v>
      </c>
      <c r="I141" s="378" t="s">
        <v>294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0"/>
        <v>698.27999999999975</v>
      </c>
      <c r="G142" s="378">
        <f t="shared" si="41"/>
        <v>4273.72</v>
      </c>
      <c r="H142" s="379">
        <f t="shared" si="42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0"/>
        <v>658.27999999999986</v>
      </c>
      <c r="G143" s="378">
        <f t="shared" si="41"/>
        <v>4273.72</v>
      </c>
      <c r="H143" s="379">
        <f t="shared" si="42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0"/>
        <v>516.27999999999975</v>
      </c>
      <c r="G144" s="378">
        <f t="shared" si="41"/>
        <v>4273.72</v>
      </c>
      <c r="H144" s="379">
        <f t="shared" si="42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0"/>
        <v>508.29000000000059</v>
      </c>
      <c r="G145" s="378">
        <f t="shared" si="41"/>
        <v>6529.71</v>
      </c>
      <c r="H145" s="379">
        <f t="shared" si="42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0"/>
        <v>713.99999999999966</v>
      </c>
      <c r="G146" s="378">
        <f t="shared" si="41"/>
        <v>6531</v>
      </c>
      <c r="H146" s="379">
        <f t="shared" si="42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0"/>
        <v>956.25400000000025</v>
      </c>
      <c r="G147" s="378">
        <f t="shared" si="41"/>
        <v>5538.5460000000003</v>
      </c>
      <c r="H147" s="379">
        <f t="shared" si="42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0"/>
        <v>1200.6540000000007</v>
      </c>
      <c r="G148" s="378">
        <f t="shared" si="41"/>
        <v>5538.5460000000003</v>
      </c>
      <c r="H148" s="379">
        <f t="shared" si="42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0"/>
        <v>1052.4540000000006</v>
      </c>
      <c r="G149" s="378">
        <f t="shared" si="41"/>
        <v>5538.5460000000003</v>
      </c>
      <c r="H149" s="379">
        <f t="shared" si="42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0"/>
        <v>698.16000000000042</v>
      </c>
      <c r="G150" s="378">
        <f t="shared" si="41"/>
        <v>6504.84</v>
      </c>
      <c r="H150" s="379">
        <f t="shared" si="42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0"/>
        <v>984.12000000000012</v>
      </c>
      <c r="G151" s="378">
        <f t="shared" si="41"/>
        <v>6482.88</v>
      </c>
      <c r="H151" s="379">
        <f t="shared" si="42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0"/>
        <v>352.68200000000064</v>
      </c>
      <c r="G152" s="378">
        <f t="shared" si="41"/>
        <v>7331.3180000000002</v>
      </c>
      <c r="H152" s="379">
        <f t="shared" si="42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0"/>
        <v>2320.6080000000002</v>
      </c>
      <c r="G153" s="378">
        <f t="shared" si="41"/>
        <v>4531.3919999999998</v>
      </c>
      <c r="H153" s="379">
        <f t="shared" si="42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0"/>
        <v>2541.7799999999997</v>
      </c>
      <c r="G154" s="378">
        <f t="shared" si="41"/>
        <v>3246.2200000000003</v>
      </c>
      <c r="H154" s="379">
        <f t="shared" si="42"/>
        <v>0.78299683940090314</v>
      </c>
      <c r="I154" s="378" t="s">
        <v>321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3">C157*(E157-D157)</f>
        <v>-57.000000000000028</v>
      </c>
      <c r="G157" s="378">
        <f t="shared" ref="G157:G164" si="44">D157*C157</f>
        <v>5857</v>
      </c>
      <c r="H157" s="379">
        <f t="shared" ref="H157:H164" si="45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3"/>
        <v>26.940000000000097</v>
      </c>
      <c r="G158" s="378">
        <f t="shared" si="44"/>
        <v>2921.06</v>
      </c>
      <c r="H158" s="379">
        <f t="shared" si="45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3"/>
        <v>-91.06000000000023</v>
      </c>
      <c r="G159" s="378">
        <f t="shared" si="44"/>
        <v>5749.06</v>
      </c>
      <c r="H159" s="379">
        <f t="shared" si="45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3"/>
        <v>24.88000000000028</v>
      </c>
      <c r="G160" s="378">
        <f t="shared" si="44"/>
        <v>2851.12</v>
      </c>
      <c r="H160" s="379">
        <f t="shared" si="45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3"/>
        <v>343.88000000000005</v>
      </c>
      <c r="G161" s="378">
        <f t="shared" si="44"/>
        <v>2851.12</v>
      </c>
      <c r="H161" s="379">
        <f t="shared" si="45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3"/>
        <v>452.88000000000005</v>
      </c>
      <c r="G162" s="378">
        <f t="shared" si="44"/>
        <v>2851.12</v>
      </c>
      <c r="H162" s="379">
        <f t="shared" si="45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3"/>
        <v>525.88000000000045</v>
      </c>
      <c r="G163" s="378">
        <f t="shared" si="44"/>
        <v>2851.12</v>
      </c>
      <c r="H163" s="379">
        <f t="shared" si="45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3"/>
        <v>421.87999999999982</v>
      </c>
      <c r="G164" s="378">
        <f t="shared" si="44"/>
        <v>2851.12</v>
      </c>
      <c r="H164" s="379">
        <f t="shared" si="45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7" priority="62">
      <formula>Q7&gt;0</formula>
    </cfRule>
    <cfRule type="expression" dxfId="406" priority="63">
      <formula>Q7&lt;0</formula>
    </cfRule>
  </conditionalFormatting>
  <conditionalFormatting sqref="Q8">
    <cfRule type="expression" dxfId="405" priority="60">
      <formula>Q8&gt;0</formula>
    </cfRule>
    <cfRule type="expression" dxfId="404" priority="61">
      <formula>Q8&lt;0</formula>
    </cfRule>
  </conditionalFormatting>
  <conditionalFormatting sqref="F24">
    <cfRule type="expression" dxfId="403" priority="42">
      <formula>F24&gt;0</formula>
    </cfRule>
    <cfRule type="expression" dxfId="402" priority="43">
      <formula>F24&lt;0</formula>
    </cfRule>
  </conditionalFormatting>
  <conditionalFormatting sqref="F25:F36">
    <cfRule type="expression" dxfId="401" priority="40">
      <formula>F25&gt;0</formula>
    </cfRule>
    <cfRule type="expression" dxfId="400" priority="41">
      <formula>F25&lt;0</formula>
    </cfRule>
  </conditionalFormatting>
  <conditionalFormatting sqref="H24:H36">
    <cfRule type="expression" dxfId="399" priority="38">
      <formula>H24&gt;0</formula>
    </cfRule>
    <cfRule type="expression" dxfId="398" priority="39">
      <formula>H24&lt;0</formula>
    </cfRule>
  </conditionalFormatting>
  <conditionalFormatting sqref="J32:J53">
    <cfRule type="expression" dxfId="397" priority="35">
      <formula>J32&gt;0</formula>
    </cfRule>
    <cfRule type="expression" dxfId="396" priority="36">
      <formula>J32&lt;0</formula>
    </cfRule>
  </conditionalFormatting>
  <conditionalFormatting sqref="M56">
    <cfRule type="expression" dxfId="395" priority="33">
      <formula>M56&gt;0</formula>
    </cfRule>
    <cfRule type="expression" dxfId="394" priority="34">
      <formula>M56&lt;0</formula>
    </cfRule>
  </conditionalFormatting>
  <conditionalFormatting sqref="F101:F137 H101:H137 H140:H145 F140:F145 F147:F156 H147:H156">
    <cfRule type="expression" dxfId="393" priority="31">
      <formula>F101&gt;0</formula>
    </cfRule>
    <cfRule type="expression" dxfId="392" priority="32">
      <formula>F101&lt;0</formula>
    </cfRule>
  </conditionalFormatting>
  <conditionalFormatting sqref="F93:F100">
    <cfRule type="expression" dxfId="391" priority="29">
      <formula>F93&gt;0</formula>
    </cfRule>
    <cfRule type="expression" dxfId="390" priority="30">
      <formula>F93&lt;0</formula>
    </cfRule>
  </conditionalFormatting>
  <conditionalFormatting sqref="H93:H100">
    <cfRule type="expression" dxfId="389" priority="27">
      <formula>H93&gt;0</formula>
    </cfRule>
    <cfRule type="expression" dxfId="388" priority="28">
      <formula>H93&lt;0</formula>
    </cfRule>
  </conditionalFormatting>
  <conditionalFormatting sqref="F138:F139 H138:H139">
    <cfRule type="expression" dxfId="387" priority="25">
      <formula>F138&gt;0</formula>
    </cfRule>
    <cfRule type="expression" dxfId="386" priority="26">
      <formula>F138&lt;0</formula>
    </cfRule>
  </conditionalFormatting>
  <conditionalFormatting sqref="H146 F146">
    <cfRule type="expression" dxfId="385" priority="23">
      <formula>F146&gt;0</formula>
    </cfRule>
    <cfRule type="expression" dxfId="384" priority="24">
      <formula>F146&lt;0</formula>
    </cfRule>
  </conditionalFormatting>
  <conditionalFormatting sqref="F157:F164">
    <cfRule type="expression" dxfId="383" priority="9">
      <formula>F157&gt;0</formula>
    </cfRule>
    <cfRule type="expression" dxfId="382" priority="10">
      <formula>F157&lt;0</formula>
    </cfRule>
  </conditionalFormatting>
  <conditionalFormatting sqref="H157:H164">
    <cfRule type="expression" dxfId="381" priority="7">
      <formula>H157&gt;0</formula>
    </cfRule>
    <cfRule type="expression" dxfId="380" priority="8">
      <formula>H157&lt;0</formula>
    </cfRule>
  </conditionalFormatting>
  <conditionalFormatting sqref="Q10">
    <cfRule type="expression" dxfId="379" priority="5">
      <formula>Q10&gt;0</formula>
    </cfRule>
    <cfRule type="expression" dxfId="378" priority="6">
      <formula>Q10&lt;0</formula>
    </cfRule>
  </conditionalFormatting>
  <conditionalFormatting sqref="F37:F41">
    <cfRule type="expression" dxfId="377" priority="3">
      <formula>F37&gt;0</formula>
    </cfRule>
    <cfRule type="expression" dxfId="376" priority="4">
      <formula>F37&lt;0</formula>
    </cfRule>
  </conditionalFormatting>
  <conditionalFormatting sqref="H37:H41">
    <cfRule type="expression" dxfId="375" priority="1">
      <formula>H37&gt;0</formula>
    </cfRule>
    <cfRule type="expression" dxfId="374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80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 t="s">
        <v>536</v>
      </c>
      <c r="M3" s="3"/>
      <c r="O3" s="11" t="s">
        <v>58</v>
      </c>
      <c r="Q3" s="228">
        <f>IF(Q2=0, Q4, (F18-K18-M18)/Q2)</f>
        <v>56.995000000000005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56.06</v>
      </c>
      <c r="R4" s="519">
        <v>-4.02E-2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1">
        <v>42866</v>
      </c>
      <c r="C5" s="4">
        <v>30</v>
      </c>
      <c r="D5" s="3">
        <v>56.25</v>
      </c>
      <c r="E5" s="3">
        <v>0</v>
      </c>
      <c r="F5" s="3">
        <f>D5*C5+E5</f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4484.8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4559.6000000000004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-74.800000000000182</v>
      </c>
      <c r="R7">
        <v>50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-74.800000000000182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-1.6404947802438848E-2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160</v>
      </c>
      <c r="D18" s="18"/>
      <c r="E18" s="18"/>
      <c r="F18" s="18">
        <f>SUM(F2:F14)</f>
        <v>9215.9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196</v>
      </c>
      <c r="B19" s="503"/>
      <c r="C19" s="354">
        <f>SumByColor($A$19,C2:C17)</f>
        <v>80</v>
      </c>
      <c r="D19" s="354"/>
      <c r="E19" s="354"/>
      <c r="F19" s="355">
        <f>SumByColor($A$19,F2:F17)</f>
        <v>6346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477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477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505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701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8">C34*(E34-D34)</f>
        <v>-58.500000000000369</v>
      </c>
      <c r="G34" s="10">
        <f t="shared" ref="G34" si="19">D34*C34</f>
        <v>7510.1</v>
      </c>
      <c r="H34" s="160">
        <f t="shared" ref="H34" si="20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:F36" si="21">C35*(E35-D35)</f>
        <v>28.399999999999892</v>
      </c>
      <c r="G35" s="10">
        <f t="shared" ref="G35:G36" si="22">D35*C35</f>
        <v>2872.1</v>
      </c>
      <c r="H35" s="160">
        <f t="shared" ref="H35:H36" si="23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A36">
        <v>50</v>
      </c>
      <c r="B36" s="155">
        <v>42866</v>
      </c>
      <c r="C36" s="10">
        <v>80</v>
      </c>
      <c r="D36" s="40">
        <v>56.994999999999997</v>
      </c>
      <c r="E36" s="40">
        <v>56.06</v>
      </c>
      <c r="F36" s="40">
        <f t="shared" ref="F36" si="24">C36*(E36-D36)</f>
        <v>-74.799999999999613</v>
      </c>
      <c r="G36" s="10">
        <f t="shared" ref="G36" si="25">D36*C36</f>
        <v>4559.5999999999995</v>
      </c>
      <c r="H36" s="160">
        <f t="shared" ref="H36" si="26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B37" s="155"/>
      <c r="C37" s="10"/>
      <c r="D37" s="40"/>
      <c r="E37" s="40"/>
      <c r="F37" s="40"/>
      <c r="G37" s="10"/>
      <c r="H37" s="160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B38" s="155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B39" s="155"/>
      <c r="C39" s="10"/>
      <c r="D39" s="40"/>
      <c r="E39" s="40"/>
      <c r="F39" s="40"/>
      <c r="G39" s="10"/>
      <c r="H39" s="160"/>
      <c r="I39" s="40"/>
      <c r="J39" s="40"/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704" t="s">
        <v>78</v>
      </c>
      <c r="P40" s="704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61.666000000000011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27">O42*$Q$4</f>
        <v>61.10540000000001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27"/>
        <v>60.544800000000009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27"/>
        <v>59.984200000000008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27"/>
        <v>59.423600000000008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27"/>
        <v>58.863000000000007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27"/>
        <v>58.302400000000006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27"/>
        <v>57.741800000000005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27"/>
        <v>57.181200000000004</v>
      </c>
      <c r="Q49" s="2"/>
      <c r="T49" s="92" t="s">
        <v>103</v>
      </c>
      <c r="U49" s="129" t="s">
        <v>516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27"/>
        <v>56.620600000000003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27"/>
        <v>56.06</v>
      </c>
      <c r="Q51" s="2"/>
      <c r="T51" s="92" t="s">
        <v>104</v>
      </c>
      <c r="U51" s="129" t="s">
        <v>711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27"/>
        <v>55.499400000000001</v>
      </c>
      <c r="Q52" s="2"/>
      <c r="T52" s="92" t="s">
        <v>105</v>
      </c>
      <c r="U52" s="129" t="s">
        <v>712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27"/>
        <v>54.938800000000001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27"/>
        <v>54.3782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27"/>
        <v>53.817599999999999</v>
      </c>
      <c r="T55" s="92" t="s">
        <v>107</v>
      </c>
      <c r="U55" s="129" t="s">
        <v>713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27"/>
        <v>53.256999999999998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27"/>
        <v>52.696399999999997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27"/>
        <v>52.135800000000003</v>
      </c>
      <c r="T58" s="92" t="s">
        <v>108</v>
      </c>
      <c r="U58" s="129" t="s">
        <v>603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27"/>
        <v>51.575200000000002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27"/>
        <v>51.014600000000002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27"/>
        <v>50.454000000000001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Q7">
    <cfRule type="expression" dxfId="373" priority="27">
      <formula>Q7&gt;0</formula>
    </cfRule>
    <cfRule type="expression" dxfId="372" priority="28">
      <formula>Q7&lt;0</formula>
    </cfRule>
  </conditionalFormatting>
  <conditionalFormatting sqref="Q8">
    <cfRule type="expression" dxfId="371" priority="25">
      <formula>Q8&gt;0</formula>
    </cfRule>
    <cfRule type="expression" dxfId="370" priority="26">
      <formula>Q8&lt;0</formula>
    </cfRule>
  </conditionalFormatting>
  <conditionalFormatting sqref="F24:F36">
    <cfRule type="expression" dxfId="369" priority="9">
      <formula>F24&gt;0</formula>
    </cfRule>
    <cfRule type="expression" dxfId="368" priority="10">
      <formula>F24&lt;0</formula>
    </cfRule>
  </conditionalFormatting>
  <conditionalFormatting sqref="H39 H41 H43 H45 H47 H24:H37">
    <cfRule type="expression" dxfId="367" priority="7">
      <formula>H24&gt;0</formula>
    </cfRule>
    <cfRule type="expression" dxfId="366" priority="8">
      <formula>H24&lt;0</formula>
    </cfRule>
  </conditionalFormatting>
  <conditionalFormatting sqref="J29">
    <cfRule type="expression" dxfId="365" priority="5">
      <formula>J29&gt;0</formula>
    </cfRule>
    <cfRule type="expression" dxfId="364" priority="6">
      <formula>J29&lt;0</formula>
    </cfRule>
  </conditionalFormatting>
  <conditionalFormatting sqref="J30:J35">
    <cfRule type="expression" dxfId="363" priority="3">
      <formula>J30&gt;0</formula>
    </cfRule>
    <cfRule type="expression" dxfId="362" priority="4">
      <formula>J30&lt;0</formula>
    </cfRule>
  </conditionalFormatting>
  <conditionalFormatting sqref="J36">
    <cfRule type="expression" dxfId="5" priority="1">
      <formula>J36&gt;0</formula>
    </cfRule>
    <cfRule type="expression" dxfId="4" priority="2">
      <formula>J36&lt;0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53.46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53.46</v>
      </c>
      <c r="R4" s="498">
        <v>7.1999999999999998E-3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58.806000000000004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58.271400000000007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57.736800000000002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57.202200000000005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56.667600000000007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56.133000000000003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55.598400000000005</v>
      </c>
      <c r="Q49" s="82"/>
      <c r="R49" s="34"/>
      <c r="T49" s="92" t="s">
        <v>103</v>
      </c>
      <c r="U49" s="87" t="s">
        <v>604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55.063800000000001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54.529200000000003</v>
      </c>
      <c r="Q51" s="82"/>
      <c r="R51" s="34"/>
      <c r="T51" s="92" t="s">
        <v>104</v>
      </c>
      <c r="U51" s="87" t="s">
        <v>714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53.994599999999998</v>
      </c>
      <c r="Q52" s="82"/>
      <c r="R52" s="34"/>
      <c r="T52" s="92" t="s">
        <v>105</v>
      </c>
      <c r="U52" s="87" t="s">
        <v>576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53.46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52.925400000000003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52.390799999999999</v>
      </c>
      <c r="Q55" s="82"/>
      <c r="T55" s="92" t="s">
        <v>107</v>
      </c>
      <c r="U55" s="87" t="s">
        <v>715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51.856200000000001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51.321599999999997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50.786999999999999</v>
      </c>
      <c r="Q58" s="82"/>
      <c r="T58" s="92" t="s">
        <v>108</v>
      </c>
      <c r="U58" s="87" t="s">
        <v>605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50.252399999999994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49.717800000000004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49.183200000000006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48.648600000000002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48.114000000000004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61" priority="33">
      <formula>F25&gt;0</formula>
    </cfRule>
    <cfRule type="expression" dxfId="360" priority="34">
      <formula>F25&lt;0</formula>
    </cfRule>
  </conditionalFormatting>
  <conditionalFormatting sqref="H25:H27">
    <cfRule type="expression" dxfId="359" priority="31">
      <formula>H25&gt;0</formula>
    </cfRule>
    <cfRule type="expression" dxfId="358" priority="32">
      <formula>H25&lt;0</formula>
    </cfRule>
  </conditionalFormatting>
  <conditionalFormatting sqref="H28">
    <cfRule type="expression" dxfId="357" priority="29">
      <formula>H28&gt;0</formula>
    </cfRule>
    <cfRule type="expression" dxfId="356" priority="30">
      <formula>H28&lt;0</formula>
    </cfRule>
  </conditionalFormatting>
  <conditionalFormatting sqref="H29">
    <cfRule type="expression" dxfId="355" priority="27">
      <formula>H29&gt;0</formula>
    </cfRule>
    <cfRule type="expression" dxfId="354" priority="28">
      <formula>H29&lt;0</formula>
    </cfRule>
  </conditionalFormatting>
  <conditionalFormatting sqref="H30:H34">
    <cfRule type="expression" dxfId="353" priority="25">
      <formula>H30&gt;0</formula>
    </cfRule>
    <cfRule type="expression" dxfId="352" priority="26">
      <formula>H30&lt;0</formula>
    </cfRule>
  </conditionalFormatting>
  <conditionalFormatting sqref="F21:F24">
    <cfRule type="expression" dxfId="351" priority="23">
      <formula>F21&gt;0</formula>
    </cfRule>
    <cfRule type="expression" dxfId="350" priority="24">
      <formula>F21&lt;0</formula>
    </cfRule>
  </conditionalFormatting>
  <conditionalFormatting sqref="H21:H24">
    <cfRule type="expression" dxfId="349" priority="21">
      <formula>H21&gt;0</formula>
    </cfRule>
    <cfRule type="expression" dxfId="348" priority="22">
      <formula>H21&lt;0</formula>
    </cfRule>
  </conditionalFormatting>
  <conditionalFormatting sqref="F30:F31">
    <cfRule type="expression" dxfId="347" priority="17">
      <formula>F30&gt;0</formula>
    </cfRule>
    <cfRule type="expression" dxfId="346" priority="18">
      <formula>F30&lt;0</formula>
    </cfRule>
  </conditionalFormatting>
  <conditionalFormatting sqref="I25:I27">
    <cfRule type="expression" dxfId="345" priority="15">
      <formula>I25&gt;0</formula>
    </cfRule>
    <cfRule type="expression" dxfId="344" priority="16">
      <formula>I25&lt;0</formula>
    </cfRule>
  </conditionalFormatting>
  <conditionalFormatting sqref="I28">
    <cfRule type="expression" dxfId="343" priority="13">
      <formula>I28&gt;0</formula>
    </cfRule>
    <cfRule type="expression" dxfId="342" priority="14">
      <formula>I28&lt;0</formula>
    </cfRule>
  </conditionalFormatting>
  <conditionalFormatting sqref="I29">
    <cfRule type="expression" dxfId="341" priority="11">
      <formula>I29&gt;0</formula>
    </cfRule>
    <cfRule type="expression" dxfId="340" priority="12">
      <formula>I29&lt;0</formula>
    </cfRule>
  </conditionalFormatting>
  <conditionalFormatting sqref="I30:I34">
    <cfRule type="expression" dxfId="339" priority="9">
      <formula>I30&gt;0</formula>
    </cfRule>
    <cfRule type="expression" dxfId="338" priority="10">
      <formula>I30&lt;0</formula>
    </cfRule>
  </conditionalFormatting>
  <conditionalFormatting sqref="I21:I24">
    <cfRule type="expression" dxfId="337" priority="7">
      <formula>I21&gt;0</formula>
    </cfRule>
    <cfRule type="expression" dxfId="336" priority="8">
      <formula>I21&lt;0</formula>
    </cfRule>
  </conditionalFormatting>
  <conditionalFormatting sqref="F32">
    <cfRule type="expression" dxfId="335" priority="5">
      <formula>F32&gt;0</formula>
    </cfRule>
    <cfRule type="expression" dxfId="334" priority="6">
      <formula>F32&lt;0</formula>
    </cfRule>
  </conditionalFormatting>
  <conditionalFormatting sqref="Q8">
    <cfRule type="expression" dxfId="333" priority="1">
      <formula>Q8&gt;0</formula>
    </cfRule>
    <cfRule type="expression" dxfId="332" priority="2">
      <formula>Q8&lt;0</formula>
    </cfRule>
  </conditionalFormatting>
  <conditionalFormatting sqref="Q7">
    <cfRule type="expression" dxfId="331" priority="3">
      <formula>Q7&gt;0</formula>
    </cfRule>
    <cfRule type="expression" dxfId="33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37.18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37.18</v>
      </c>
      <c r="R4" s="498">
        <v>-2.75E-2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40.898000000000003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40.526200000000003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40.154400000000003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39.782600000000002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39.410800000000002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39.039000000000001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38.667200000000001</v>
      </c>
      <c r="Q49" s="34"/>
      <c r="R49" s="34"/>
      <c r="T49" s="92" t="s">
        <v>121</v>
      </c>
      <c r="U49" s="87" t="s">
        <v>504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38.295400000000001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37.9236</v>
      </c>
      <c r="Q51" s="82"/>
      <c r="R51" s="34"/>
      <c r="T51" s="92" t="s">
        <v>104</v>
      </c>
      <c r="U51" s="87" t="s">
        <v>716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37.5518</v>
      </c>
      <c r="Q52" s="82"/>
      <c r="R52" s="34"/>
      <c r="T52" s="92" t="s">
        <v>105</v>
      </c>
      <c r="U52" s="87" t="s">
        <v>543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37.18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36.808199999999999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36.436399999999999</v>
      </c>
      <c r="Q55" s="82"/>
      <c r="R55" s="34"/>
      <c r="T55" s="92" t="s">
        <v>107</v>
      </c>
      <c r="U55" s="87" t="s">
        <v>717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36.064599999999999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35.692799999999998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35.320999999999998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34.949199999999998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34.577400000000004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34.205600000000004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33.833800000000004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33.462000000000003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9" priority="11">
      <formula>Q8&gt;0</formula>
    </cfRule>
    <cfRule type="expression" dxfId="328" priority="12">
      <formula>Q8&lt;0</formula>
    </cfRule>
  </conditionalFormatting>
  <conditionalFormatting sqref="Q7">
    <cfRule type="expression" dxfId="327" priority="13">
      <formula>Q7&gt;0</formula>
    </cfRule>
    <cfRule type="expression" dxfId="326" priority="14">
      <formula>Q7&lt;0</formula>
    </cfRule>
  </conditionalFormatting>
  <conditionalFormatting sqref="F22">
    <cfRule type="expression" dxfId="325" priority="9">
      <formula>F22&gt;0</formula>
    </cfRule>
    <cfRule type="expression" dxfId="324" priority="10">
      <formula>F22&lt;0</formula>
    </cfRule>
  </conditionalFormatting>
  <conditionalFormatting sqref="H22">
    <cfRule type="expression" dxfId="323" priority="7">
      <formula>H22&gt;0</formula>
    </cfRule>
    <cfRule type="expression" dxfId="322" priority="8">
      <formula>H22&lt;0</formula>
    </cfRule>
  </conditionalFormatting>
  <conditionalFormatting sqref="F59">
    <cfRule type="expression" dxfId="321" priority="5">
      <formula>F59&gt;0</formula>
    </cfRule>
    <cfRule type="expression" dxfId="320" priority="6">
      <formula>F59&lt;0</formula>
    </cfRule>
  </conditionalFormatting>
  <conditionalFormatting sqref="H59">
    <cfRule type="expression" dxfId="319" priority="3">
      <formula>H59&gt;0</formula>
    </cfRule>
    <cfRule type="expression" dxfId="318" priority="4">
      <formula>H59&lt;0</formula>
    </cfRule>
  </conditionalFormatting>
  <conditionalFormatting sqref="M30">
    <cfRule type="expression" dxfId="317" priority="1">
      <formula>M30&gt;0</formula>
    </cfRule>
    <cfRule type="expression" dxfId="31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83.91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83.91</v>
      </c>
      <c r="R4" s="498">
        <v>-4.4999999999999997E-3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479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4" t="s">
        <v>78</v>
      </c>
      <c r="P35" s="704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92.301000000000002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91.4619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90.622799999999998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89.783699999999996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88.944599999999994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88.105500000000006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87.266400000000004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86.427300000000002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85.588200000000001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84.749099999999999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83.91</v>
      </c>
      <c r="Q46" s="2"/>
      <c r="T46" s="112" t="s">
        <v>103</v>
      </c>
      <c r="U46" s="105" t="s">
        <v>417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83.070899999999995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82.231799999999993</v>
      </c>
      <c r="Q48" s="2"/>
      <c r="T48" s="112" t="s">
        <v>104</v>
      </c>
      <c r="U48" s="105" t="s">
        <v>718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81.392699999999991</v>
      </c>
      <c r="T49" s="112" t="s">
        <v>105</v>
      </c>
      <c r="U49" s="105" t="s">
        <v>556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80.553599999999989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79.714499999999987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78.875399999999999</v>
      </c>
      <c r="T52" s="112" t="s">
        <v>107</v>
      </c>
      <c r="U52" s="105" t="s">
        <v>719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78.036299999999997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77.197199999999995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76.358099999999993</v>
      </c>
      <c r="T55" s="112" t="s">
        <v>108</v>
      </c>
      <c r="U55" s="105" t="s">
        <v>606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75.519000000000005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15" priority="19">
      <formula>F27&gt;0</formula>
    </cfRule>
    <cfRule type="expression" dxfId="314" priority="20">
      <formula>F27&lt;0</formula>
    </cfRule>
  </conditionalFormatting>
  <conditionalFormatting sqref="F37:F38">
    <cfRule type="expression" dxfId="313" priority="17">
      <formula>F37&gt;0</formula>
    </cfRule>
    <cfRule type="expression" dxfId="312" priority="18">
      <formula>F37&lt;0</formula>
    </cfRule>
  </conditionalFormatting>
  <conditionalFormatting sqref="H27:H32">
    <cfRule type="expression" dxfId="311" priority="15">
      <formula>H27&gt;0</formula>
    </cfRule>
    <cfRule type="expression" dxfId="310" priority="16">
      <formula>H27&lt;0</formula>
    </cfRule>
  </conditionalFormatting>
  <conditionalFormatting sqref="Q7">
    <cfRule type="expression" dxfId="309" priority="3">
      <formula>Q7&gt;0</formula>
    </cfRule>
    <cfRule type="expression" dxfId="308" priority="4">
      <formula>Q7&lt;0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116.73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116.73</v>
      </c>
      <c r="R4" s="498">
        <v>-1.5E-3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128.40300000000002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127.23570000000001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126.06840000000001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124.90110000000001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123.73380000000002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412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122.5665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121.39920000000001</v>
      </c>
      <c r="Q49" s="2"/>
      <c r="R49" s="34"/>
      <c r="T49" s="10" t="s">
        <v>103</v>
      </c>
      <c r="U49" s="87" t="s">
        <v>689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120.23190000000001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119.06460000000001</v>
      </c>
      <c r="Q51" s="2"/>
      <c r="R51" s="34"/>
      <c r="T51" s="10" t="s">
        <v>104</v>
      </c>
      <c r="U51" s="87" t="s">
        <v>690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117.8973</v>
      </c>
      <c r="Q52" s="2"/>
      <c r="R52" s="34"/>
      <c r="T52" s="10" t="s">
        <v>105</v>
      </c>
      <c r="U52" s="87" t="s">
        <v>545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116.73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115.56270000000001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114.3954</v>
      </c>
      <c r="Q55" s="2"/>
      <c r="R55" s="34"/>
      <c r="T55" s="10" t="s">
        <v>107</v>
      </c>
      <c r="U55" s="87" t="s">
        <v>691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113.2281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112.0608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110.8935</v>
      </c>
      <c r="T58" s="10" t="s">
        <v>108</v>
      </c>
      <c r="U58" s="87" t="s">
        <v>599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109.72619999999999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108.55890000000001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107.39160000000001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106.22430000000001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105.057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05" priority="25">
      <formula>F24&gt;0</formula>
    </cfRule>
    <cfRule type="expression" dxfId="304" priority="26">
      <formula>F24&lt;0</formula>
    </cfRule>
  </conditionalFormatting>
  <conditionalFormatting sqref="H21:H27">
    <cfRule type="expression" dxfId="303" priority="19">
      <formula>H21&gt;0</formula>
    </cfRule>
    <cfRule type="expression" dxfId="302" priority="20">
      <formula>H21&lt;0</formula>
    </cfRule>
  </conditionalFormatting>
  <conditionalFormatting sqref="F21:F23">
    <cfRule type="expression" dxfId="301" priority="5">
      <formula>F21&gt;0</formula>
    </cfRule>
    <cfRule type="expression" dxfId="300" priority="6">
      <formula>F21&lt;0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231.09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231.09</v>
      </c>
      <c r="R4" s="498">
        <v>-1E-3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3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3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3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4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4" t="s">
        <v>78</v>
      </c>
      <c r="P41" s="704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254.19900000000001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251.88810000000001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249.57720000000003</v>
      </c>
      <c r="Q44" s="2"/>
      <c r="T44" s="134" t="s">
        <v>99</v>
      </c>
      <c r="U44" s="87" t="s">
        <v>720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247.26630000000003</v>
      </c>
      <c r="Q45" s="2"/>
      <c r="T45" s="134" t="s">
        <v>100</v>
      </c>
      <c r="U45" s="87" t="s">
        <v>721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244.95540000000003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242.64450000000002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240.33360000000002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238.02270000000001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235.71180000000001</v>
      </c>
      <c r="Q50" s="2"/>
      <c r="T50" s="134" t="s">
        <v>104</v>
      </c>
      <c r="U50" s="87" t="s">
        <v>722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233.40090000000001</v>
      </c>
      <c r="Q51" s="2"/>
      <c r="T51" s="134" t="s">
        <v>105</v>
      </c>
      <c r="U51" s="87" t="s">
        <v>533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231.09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228.7791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226.4682</v>
      </c>
      <c r="Q54" s="2"/>
      <c r="T54" s="134" t="s">
        <v>107</v>
      </c>
      <c r="U54" s="87" t="s">
        <v>723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224.15729999999999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221.84639999999999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219.53549999999998</v>
      </c>
      <c r="T57" s="134" t="s">
        <v>108</v>
      </c>
      <c r="U57" s="87" t="s">
        <v>607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217.22459999999998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214.91370000000001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212.6028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210.2919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207.98099999999999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95" priority="11">
      <formula>F21&gt;0</formula>
    </cfRule>
    <cfRule type="expression" dxfId="294" priority="12">
      <formula>F21&lt;0</formula>
    </cfRule>
  </conditionalFormatting>
  <conditionalFormatting sqref="H21:H23">
    <cfRule type="expression" dxfId="293" priority="9">
      <formula>H21&gt;0</formula>
    </cfRule>
    <cfRule type="expression" dxfId="292" priority="10">
      <formula>H21&lt;0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77.36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77.36</v>
      </c>
      <c r="R4" s="498">
        <v>-1.5100000000000001E-2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4" t="s">
        <v>78</v>
      </c>
      <c r="P40" s="704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85.096000000000004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84.322400000000002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83.5488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82.775199999999998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82.00160000000001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81.228000000000009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80.454400000000007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79.680800000000005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78.907200000000003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78.133600000000001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77.36</v>
      </c>
      <c r="Q51" s="2"/>
      <c r="T51" s="92" t="s">
        <v>104</v>
      </c>
      <c r="U51" s="87" t="s">
        <v>758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76.586399999999998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75.812799999999996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75.039199999999994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74.265599999999992</v>
      </c>
      <c r="T55" s="92" t="s">
        <v>107</v>
      </c>
      <c r="U55" s="87" t="s">
        <v>759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73.49199999999999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72.718399999999988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71.944800000000001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71.171199999999999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70.397599999999997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69.623999999999995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7" priority="15">
      <formula>F29&gt;0</formula>
    </cfRule>
    <cfRule type="expression" dxfId="286" priority="16">
      <formula>F29&lt;0</formula>
    </cfRule>
  </conditionalFormatting>
  <conditionalFormatting sqref="F34:F62">
    <cfRule type="expression" dxfId="285" priority="11">
      <formula>F34&gt;0</formula>
    </cfRule>
    <cfRule type="expression" dxfId="284" priority="12">
      <formula>F34&lt;0</formula>
    </cfRule>
  </conditionalFormatting>
  <conditionalFormatting sqref="F34:F62">
    <cfRule type="expression" dxfId="283" priority="13">
      <formula>F34&gt;0</formula>
    </cfRule>
    <cfRule type="expression" dxfId="282" priority="14">
      <formula>F34&lt;0</formula>
    </cfRule>
  </conditionalFormatting>
  <conditionalFormatting sqref="H29:H62">
    <cfRule type="expression" dxfId="281" priority="9">
      <formula>H29&gt;0</formula>
    </cfRule>
    <cfRule type="expression" dxfId="280" priority="10">
      <formula>H29&lt;0</formula>
    </cfRule>
  </conditionalFormatting>
  <conditionalFormatting sqref="F25:F28">
    <cfRule type="expression" dxfId="279" priority="7">
      <formula>F25&gt;0</formula>
    </cfRule>
    <cfRule type="expression" dxfId="278" priority="8">
      <formula>F25&lt;0</formula>
    </cfRule>
  </conditionalFormatting>
  <conditionalFormatting sqref="H25:H28">
    <cfRule type="expression" dxfId="277" priority="5">
      <formula>H25&gt;0</formula>
    </cfRule>
    <cfRule type="expression" dxfId="276" priority="6">
      <formula>H25&lt;0</formula>
    </cfRule>
  </conditionalFormatting>
  <conditionalFormatting sqref="Q7">
    <cfRule type="expression" dxfId="275" priority="3">
      <formula>Q7&gt;0</formula>
    </cfRule>
    <cfRule type="expression" dxfId="274" priority="4">
      <formula>Q7&lt;0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72.78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72.78</v>
      </c>
      <c r="R4" s="518">
        <v>1.0800000000000001E-2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4" t="s">
        <v>78</v>
      </c>
      <c r="P40" s="704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80.058000000000007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79.330200000000005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78.602400000000003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77.874600000000001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77.146799999999999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76.419000000000011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75.691200000000009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74.963400000000007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74.235600000000005</v>
      </c>
      <c r="Q49" s="2"/>
      <c r="T49" s="92" t="s">
        <v>103</v>
      </c>
      <c r="U49" s="87" t="s">
        <v>724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73.507800000000003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72.78</v>
      </c>
      <c r="Q51" s="2"/>
      <c r="T51" s="92" t="s">
        <v>104</v>
      </c>
      <c r="U51" s="87" t="s">
        <v>725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72.052199999999999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71.324399999999997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70.596599999999995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69.868799999999993</v>
      </c>
      <c r="T55" s="92" t="s">
        <v>107</v>
      </c>
      <c r="U55" s="87" t="s">
        <v>726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69.140999999999991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68.413200000000003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67.685400000000001</v>
      </c>
      <c r="T58" s="92" t="s">
        <v>108</v>
      </c>
      <c r="U58" s="87" t="s">
        <v>608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66.957599999999999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66.229799999999997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65.50200000000001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3" t="s">
        <v>351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384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422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427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464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1" priority="73">
      <formula>F25&gt;0</formula>
    </cfRule>
    <cfRule type="expression" dxfId="270" priority="74">
      <formula>F25&lt;0</formula>
    </cfRule>
  </conditionalFormatting>
  <conditionalFormatting sqref="F57:F64 F66">
    <cfRule type="expression" dxfId="269" priority="69">
      <formula>F57&gt;0</formula>
    </cfRule>
    <cfRule type="expression" dxfId="268" priority="70">
      <formula>F57&lt;0</formula>
    </cfRule>
  </conditionalFormatting>
  <conditionalFormatting sqref="F57:F64 F66">
    <cfRule type="expression" dxfId="267" priority="71">
      <formula>F57&gt;0</formula>
    </cfRule>
    <cfRule type="expression" dxfId="266" priority="72">
      <formula>F57&lt;0</formula>
    </cfRule>
  </conditionalFormatting>
  <conditionalFormatting sqref="H57:H64 H66">
    <cfRule type="expression" dxfId="265" priority="67">
      <formula>H57&gt;0</formula>
    </cfRule>
    <cfRule type="expression" dxfId="264" priority="68">
      <formula>H57&lt;0</formula>
    </cfRule>
  </conditionalFormatting>
  <conditionalFormatting sqref="Q7">
    <cfRule type="expression" dxfId="263" priority="49">
      <formula>Q7&gt;0</formula>
    </cfRule>
    <cfRule type="expression" dxfId="262" priority="50">
      <formula>Q7&lt;0</formula>
    </cfRule>
  </conditionalFormatting>
  <conditionalFormatting sqref="Q8">
    <cfRule type="expression" dxfId="261" priority="47">
      <formula>Q8&gt;0</formula>
    </cfRule>
    <cfRule type="expression" dxfId="260" priority="48">
      <formula>Q8&lt;0</formula>
    </cfRule>
  </conditionalFormatting>
  <conditionalFormatting sqref="F24">
    <cfRule type="expression" dxfId="259" priority="33">
      <formula>F24&gt;0</formula>
    </cfRule>
    <cfRule type="expression" dxfId="258" priority="34">
      <formula>F24&lt;0</formula>
    </cfRule>
  </conditionalFormatting>
  <conditionalFormatting sqref="H24">
    <cfRule type="expression" dxfId="257" priority="31">
      <formula>H24&gt;0</formula>
    </cfRule>
    <cfRule type="expression" dxfId="256" priority="32">
      <formula>H24&lt;0</formula>
    </cfRule>
  </conditionalFormatting>
  <conditionalFormatting sqref="M67">
    <cfRule type="expression" dxfId="255" priority="29">
      <formula>M67&gt;0</formula>
    </cfRule>
    <cfRule type="expression" dxfId="254" priority="30">
      <formula>M67&lt;0</formula>
    </cfRule>
  </conditionalFormatting>
  <conditionalFormatting sqref="F65">
    <cfRule type="expression" dxfId="253" priority="25">
      <formula>F65&gt;0</formula>
    </cfRule>
    <cfRule type="expression" dxfId="252" priority="26">
      <formula>F65&lt;0</formula>
    </cfRule>
  </conditionalFormatting>
  <conditionalFormatting sqref="F65">
    <cfRule type="expression" dxfId="251" priority="27">
      <formula>F65&gt;0</formula>
    </cfRule>
    <cfRule type="expression" dxfId="250" priority="28">
      <formula>F65&lt;0</formula>
    </cfRule>
  </conditionalFormatting>
  <conditionalFormatting sqref="H65">
    <cfRule type="expression" dxfId="249" priority="23">
      <formula>H65&gt;0</formula>
    </cfRule>
    <cfRule type="expression" dxfId="248" priority="24">
      <formula>H65&lt;0</formula>
    </cfRule>
  </conditionalFormatting>
  <conditionalFormatting sqref="F93:F97 H93:H97 H99:H124 F99:F124">
    <cfRule type="expression" dxfId="247" priority="19">
      <formula>F93&gt;0</formula>
    </cfRule>
    <cfRule type="expression" dxfId="246" priority="20">
      <formula>F93&lt;0</formula>
    </cfRule>
  </conditionalFormatting>
  <conditionalFormatting sqref="F125:F132 F134">
    <cfRule type="expression" dxfId="245" priority="15">
      <formula>F125&gt;0</formula>
    </cfRule>
    <cfRule type="expression" dxfId="244" priority="16">
      <formula>F125&lt;0</formula>
    </cfRule>
  </conditionalFormatting>
  <conditionalFormatting sqref="F125:F132 F134">
    <cfRule type="expression" dxfId="243" priority="17">
      <formula>F125&gt;0</formula>
    </cfRule>
    <cfRule type="expression" dxfId="242" priority="18">
      <formula>F125&lt;0</formula>
    </cfRule>
  </conditionalFormatting>
  <conditionalFormatting sqref="H125:H132 H134">
    <cfRule type="expression" dxfId="241" priority="13">
      <formula>H125&gt;0</formula>
    </cfRule>
    <cfRule type="expression" dxfId="240" priority="14">
      <formula>H125&lt;0</formula>
    </cfRule>
  </conditionalFormatting>
  <conditionalFormatting sqref="F92">
    <cfRule type="expression" dxfId="239" priority="11">
      <formula>F92&gt;0</formula>
    </cfRule>
    <cfRule type="expression" dxfId="238" priority="12">
      <formula>F92&lt;0</formula>
    </cfRule>
  </conditionalFormatting>
  <conditionalFormatting sqref="H92">
    <cfRule type="expression" dxfId="237" priority="9">
      <formula>H92&gt;0</formula>
    </cfRule>
    <cfRule type="expression" dxfId="236" priority="10">
      <formula>H92&lt;0</formula>
    </cfRule>
  </conditionalFormatting>
  <conditionalFormatting sqref="F133">
    <cfRule type="expression" dxfId="235" priority="5">
      <formula>F133&gt;0</formula>
    </cfRule>
    <cfRule type="expression" dxfId="234" priority="6">
      <formula>F133&lt;0</formula>
    </cfRule>
  </conditionalFormatting>
  <conditionalFormatting sqref="F133">
    <cfRule type="expression" dxfId="233" priority="7">
      <formula>F133&gt;0</formula>
    </cfRule>
    <cfRule type="expression" dxfId="232" priority="8">
      <formula>F133&lt;0</formula>
    </cfRule>
  </conditionalFormatting>
  <conditionalFormatting sqref="H133">
    <cfRule type="expression" dxfId="231" priority="3">
      <formula>H133&gt;0</formula>
    </cfRule>
    <cfRule type="expression" dxfId="230" priority="4">
      <formula>H133&lt;0</formula>
    </cfRule>
  </conditionalFormatting>
  <conditionalFormatting sqref="F98 H98">
    <cfRule type="expression" dxfId="229" priority="1">
      <formula>F98&gt;0</formula>
    </cfRule>
    <cfRule type="expression" dxfId="22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49.69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49.69</v>
      </c>
      <c r="R4" s="520">
        <v>-5.5999999999999999E-3</v>
      </c>
      <c r="T4" s="509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474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4" t="s">
        <v>78</v>
      </c>
      <c r="P42" s="704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54.658999999999999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54.162100000000002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53.665199999999999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53.168300000000002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52.671399999999998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52.174500000000002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51.677599999999998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51.180700000000002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50.683799999999998</v>
      </c>
      <c r="Q51" s="2"/>
      <c r="T51" s="92" t="s">
        <v>104</v>
      </c>
      <c r="U51" s="87" t="s">
        <v>727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50.186900000000001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49.69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49.193099999999994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48.696199999999997</v>
      </c>
      <c r="T55" s="92" t="s">
        <v>107</v>
      </c>
      <c r="U55" s="87" t="s">
        <v>646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48.199299999999994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47.702399999999997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47.205499999999994</v>
      </c>
      <c r="T58" s="92" t="s">
        <v>108</v>
      </c>
      <c r="U58" s="87" t="s">
        <v>609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46.708599999999997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46.2117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45.714799999999997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45.2179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44.720999999999997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7" priority="31">
      <formula>F45&gt;0</formula>
    </cfRule>
    <cfRule type="expression" dxfId="22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25" priority="33">
      <formula>F40&gt;0</formula>
    </cfRule>
    <cfRule type="expression" dxfId="224" priority="34">
      <formula>F40&lt;0</formula>
    </cfRule>
  </conditionalFormatting>
  <conditionalFormatting sqref="F45:F59 F61:F91 F93:F102">
    <cfRule type="expression" dxfId="223" priority="29">
      <formula>F45&gt;0</formula>
    </cfRule>
    <cfRule type="expression" dxfId="222" priority="30">
      <formula>F45&lt;0</formula>
    </cfRule>
  </conditionalFormatting>
  <conditionalFormatting sqref="H40:H59 H61:H91 H93:H102">
    <cfRule type="expression" dxfId="221" priority="27">
      <formula>H40&gt;0</formula>
    </cfRule>
    <cfRule type="expression" dxfId="220" priority="28">
      <formula>H40&lt;0</formula>
    </cfRule>
  </conditionalFormatting>
  <conditionalFormatting sqref="F36:F39">
    <cfRule type="expression" dxfId="219" priority="25">
      <formula>F36&gt;0</formula>
    </cfRule>
    <cfRule type="expression" dxfId="218" priority="26">
      <formula>F36&lt;0</formula>
    </cfRule>
  </conditionalFormatting>
  <conditionalFormatting sqref="H36:H39">
    <cfRule type="expression" dxfId="217" priority="23">
      <formula>H36&gt;0</formula>
    </cfRule>
    <cfRule type="expression" dxfId="216" priority="24">
      <formula>H36&lt;0</formula>
    </cfRule>
  </conditionalFormatting>
  <conditionalFormatting sqref="Q7">
    <cfRule type="expression" dxfId="215" priority="17">
      <formula>Q7&gt;0</formula>
    </cfRule>
    <cfRule type="expression" dxfId="214" priority="18">
      <formula>Q7&lt;0</formula>
    </cfRule>
  </conditionalFormatting>
  <conditionalFormatting sqref="Q8">
    <cfRule type="expression" dxfId="213" priority="15">
      <formula>Q8&gt;0</formula>
    </cfRule>
    <cfRule type="expression" dxfId="212" priority="16">
      <formula>Q8&lt;0</formula>
    </cfRule>
  </conditionalFormatting>
  <conditionalFormatting sqref="Q10">
    <cfRule type="expression" dxfId="211" priority="13">
      <formula>Q10&gt;0</formula>
    </cfRule>
    <cfRule type="expression" dxfId="210" priority="14">
      <formula>Q10&lt;0</formula>
    </cfRule>
  </conditionalFormatting>
  <conditionalFormatting sqref="F60">
    <cfRule type="expression" dxfId="209" priority="11">
      <formula>F60&gt;0</formula>
    </cfRule>
    <cfRule type="expression" dxfId="208" priority="12">
      <formula>F60&lt;0</formula>
    </cfRule>
  </conditionalFormatting>
  <conditionalFormatting sqref="F60">
    <cfRule type="expression" dxfId="207" priority="9">
      <formula>F60&gt;0</formula>
    </cfRule>
    <cfRule type="expression" dxfId="206" priority="10">
      <formula>F60&lt;0</formula>
    </cfRule>
  </conditionalFormatting>
  <conditionalFormatting sqref="H60">
    <cfRule type="expression" dxfId="205" priority="7">
      <formula>H60&gt;0</formula>
    </cfRule>
    <cfRule type="expression" dxfId="204" priority="8">
      <formula>H60&lt;0</formula>
    </cfRule>
  </conditionalFormatting>
  <conditionalFormatting sqref="F92">
    <cfRule type="expression" dxfId="203" priority="5">
      <formula>F92&gt;0</formula>
    </cfRule>
    <cfRule type="expression" dxfId="202" priority="6">
      <formula>F92&lt;0</formula>
    </cfRule>
  </conditionalFormatting>
  <conditionalFormatting sqref="F92">
    <cfRule type="expression" dxfId="201" priority="3">
      <formula>F92&gt;0</formula>
    </cfRule>
    <cfRule type="expression" dxfId="200" priority="4">
      <formula>F92&lt;0</formula>
    </cfRule>
  </conditionalFormatting>
  <conditionalFormatting sqref="H92">
    <cfRule type="expression" dxfId="199" priority="1">
      <formula>H92&gt;0</formula>
    </cfRule>
    <cfRule type="expression" dxfId="19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31.661124999999991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497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3"/>
      <c r="I4" s="3"/>
      <c r="J4" s="3"/>
      <c r="K4" s="3"/>
      <c r="L4" s="4"/>
      <c r="M4" s="4"/>
      <c r="O4" s="11" t="s">
        <v>66</v>
      </c>
      <c r="Q4" s="199">
        <v>32</v>
      </c>
      <c r="R4" s="498">
        <v>2.0400000000000001E-2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2560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2532.8899999999994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27.110000000000582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27.110000000000582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1.0703188847522234E-2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200</v>
      </c>
      <c r="D18" s="38"/>
      <c r="E18" s="38"/>
      <c r="F18" s="38">
        <f>SUM(F2:F17)</f>
        <v>6499.2</v>
      </c>
      <c r="G18" s="37"/>
      <c r="H18" s="181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35.200000000000003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34.880000000000003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34.56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34.24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33.92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33.6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33.28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32.96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32.64</v>
      </c>
      <c r="Q51" s="82"/>
      <c r="R51" s="34"/>
      <c r="T51" s="92" t="s">
        <v>104</v>
      </c>
      <c r="U51" s="87" t="s">
        <v>728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32.32</v>
      </c>
      <c r="Q52" s="82"/>
      <c r="R52" s="34"/>
      <c r="T52" s="92" t="s">
        <v>105</v>
      </c>
      <c r="U52" s="87" t="s">
        <v>546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32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31.68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31.36</v>
      </c>
      <c r="Q55" s="82"/>
      <c r="T55" s="92" t="s">
        <v>107</v>
      </c>
      <c r="U55" s="87" t="s">
        <v>729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31.04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30.72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30.4</v>
      </c>
      <c r="Q58" s="82"/>
      <c r="T58" s="92" t="s">
        <v>108</v>
      </c>
      <c r="U58" s="87" t="s">
        <v>610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30.08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29.76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29.44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29.12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28.8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7" priority="63">
      <formula>F26&gt;0</formula>
    </cfRule>
    <cfRule type="expression" dxfId="196" priority="64">
      <formula>F26&lt;0</formula>
    </cfRule>
  </conditionalFormatting>
  <conditionalFormatting sqref="H26:H27">
    <cfRule type="expression" dxfId="195" priority="61">
      <formula>H26&gt;0</formula>
    </cfRule>
    <cfRule type="expression" dxfId="194" priority="62">
      <formula>H26&lt;0</formula>
    </cfRule>
  </conditionalFormatting>
  <conditionalFormatting sqref="H28">
    <cfRule type="expression" dxfId="193" priority="59">
      <formula>H28&gt;0</formula>
    </cfRule>
    <cfRule type="expression" dxfId="192" priority="60">
      <formula>H28&lt;0</formula>
    </cfRule>
  </conditionalFormatting>
  <conditionalFormatting sqref="H29">
    <cfRule type="expression" dxfId="191" priority="57">
      <formula>H29&gt;0</formula>
    </cfRule>
    <cfRule type="expression" dxfId="190" priority="58">
      <formula>H29&lt;0</formula>
    </cfRule>
  </conditionalFormatting>
  <conditionalFormatting sqref="H30:H34">
    <cfRule type="expression" dxfId="189" priority="55">
      <formula>H30&gt;0</formula>
    </cfRule>
    <cfRule type="expression" dxfId="188" priority="56">
      <formula>H30&lt;0</formula>
    </cfRule>
  </conditionalFormatting>
  <conditionalFormatting sqref="F21:F24">
    <cfRule type="expression" dxfId="187" priority="53">
      <formula>F21&gt;0</formula>
    </cfRule>
    <cfRule type="expression" dxfId="186" priority="54">
      <formula>F21&lt;0</formula>
    </cfRule>
  </conditionalFormatting>
  <conditionalFormatting sqref="H21:H24">
    <cfRule type="expression" dxfId="185" priority="51">
      <formula>H21&gt;0</formula>
    </cfRule>
    <cfRule type="expression" dxfId="184" priority="52">
      <formula>H21&lt;0</formula>
    </cfRule>
  </conditionalFormatting>
  <conditionalFormatting sqref="F30:F31">
    <cfRule type="expression" dxfId="183" priority="49">
      <formula>F30&gt;0</formula>
    </cfRule>
    <cfRule type="expression" dxfId="182" priority="50">
      <formula>F30&lt;0</formula>
    </cfRule>
  </conditionalFormatting>
  <conditionalFormatting sqref="I25:I27">
    <cfRule type="expression" dxfId="181" priority="47">
      <formula>I25&gt;0</formula>
    </cfRule>
    <cfRule type="expression" dxfId="180" priority="48">
      <formula>I25&lt;0</formula>
    </cfRule>
  </conditionalFormatting>
  <conditionalFormatting sqref="I28">
    <cfRule type="expression" dxfId="179" priority="45">
      <formula>I28&gt;0</formula>
    </cfRule>
    <cfRule type="expression" dxfId="178" priority="46">
      <formula>I28&lt;0</formula>
    </cfRule>
  </conditionalFormatting>
  <conditionalFormatting sqref="I29">
    <cfRule type="expression" dxfId="177" priority="43">
      <formula>I29&gt;0</formula>
    </cfRule>
    <cfRule type="expression" dxfId="176" priority="44">
      <formula>I29&lt;0</formula>
    </cfRule>
  </conditionalFormatting>
  <conditionalFormatting sqref="I30:I34">
    <cfRule type="expression" dxfId="175" priority="41">
      <formula>I30&gt;0</formula>
    </cfRule>
    <cfRule type="expression" dxfId="174" priority="42">
      <formula>I30&lt;0</formula>
    </cfRule>
  </conditionalFormatting>
  <conditionalFormatting sqref="I21:I24">
    <cfRule type="expression" dxfId="173" priority="39">
      <formula>I21&gt;0</formula>
    </cfRule>
    <cfRule type="expression" dxfId="172" priority="40">
      <formula>I21&lt;0</formula>
    </cfRule>
  </conditionalFormatting>
  <conditionalFormatting sqref="F32">
    <cfRule type="expression" dxfId="171" priority="37">
      <formula>F32&gt;0</formula>
    </cfRule>
    <cfRule type="expression" dxfId="170" priority="38">
      <formula>F32&lt;0</formula>
    </cfRule>
  </conditionalFormatting>
  <conditionalFormatting sqref="Q8">
    <cfRule type="expression" dxfId="169" priority="33">
      <formula>Q8&gt;0</formula>
    </cfRule>
    <cfRule type="expression" dxfId="168" priority="34">
      <formula>Q8&lt;0</formula>
    </cfRule>
  </conditionalFormatting>
  <conditionalFormatting sqref="Q7">
    <cfRule type="expression" dxfId="167" priority="35">
      <formula>Q7&gt;0</formula>
    </cfRule>
    <cfRule type="expression" dxfId="166" priority="36">
      <formula>Q7&lt;0</formula>
    </cfRule>
  </conditionalFormatting>
  <conditionalFormatting sqref="F60:F64">
    <cfRule type="expression" dxfId="165" priority="31">
      <formula>F60&gt;0</formula>
    </cfRule>
    <cfRule type="expression" dxfId="164" priority="32">
      <formula>F60&lt;0</formula>
    </cfRule>
  </conditionalFormatting>
  <conditionalFormatting sqref="H60:H62">
    <cfRule type="expression" dxfId="163" priority="29">
      <formula>H60&gt;0</formula>
    </cfRule>
    <cfRule type="expression" dxfId="162" priority="30">
      <formula>H60&lt;0</formula>
    </cfRule>
  </conditionalFormatting>
  <conditionalFormatting sqref="H63">
    <cfRule type="expression" dxfId="161" priority="27">
      <formula>H63&gt;0</formula>
    </cfRule>
    <cfRule type="expression" dxfId="160" priority="28">
      <formula>H63&lt;0</formula>
    </cfRule>
  </conditionalFormatting>
  <conditionalFormatting sqref="H64">
    <cfRule type="expression" dxfId="159" priority="25">
      <formula>H64&gt;0</formula>
    </cfRule>
    <cfRule type="expression" dxfId="158" priority="26">
      <formula>H64&lt;0</formula>
    </cfRule>
  </conditionalFormatting>
  <conditionalFormatting sqref="H65:H69">
    <cfRule type="expression" dxfId="157" priority="23">
      <formula>H65&gt;0</formula>
    </cfRule>
    <cfRule type="expression" dxfId="156" priority="24">
      <formula>H65&lt;0</formula>
    </cfRule>
  </conditionalFormatting>
  <conditionalFormatting sqref="F56:F59">
    <cfRule type="expression" dxfId="155" priority="21">
      <formula>F56&gt;0</formula>
    </cfRule>
    <cfRule type="expression" dxfId="154" priority="22">
      <formula>F56&lt;0</formula>
    </cfRule>
  </conditionalFormatting>
  <conditionalFormatting sqref="H56:H59">
    <cfRule type="expression" dxfId="153" priority="19">
      <formula>H56&gt;0</formula>
    </cfRule>
    <cfRule type="expression" dxfId="152" priority="20">
      <formula>H56&lt;0</formula>
    </cfRule>
  </conditionalFormatting>
  <conditionalFormatting sqref="F65:F66">
    <cfRule type="expression" dxfId="151" priority="17">
      <formula>F65&gt;0</formula>
    </cfRule>
    <cfRule type="expression" dxfId="150" priority="18">
      <formula>F65&lt;0</formula>
    </cfRule>
  </conditionalFormatting>
  <conditionalFormatting sqref="I60:I62">
    <cfRule type="expression" dxfId="149" priority="15">
      <formula>I60&gt;0</formula>
    </cfRule>
    <cfRule type="expression" dxfId="148" priority="16">
      <formula>I60&lt;0</formula>
    </cfRule>
  </conditionalFormatting>
  <conditionalFormatting sqref="I63">
    <cfRule type="expression" dxfId="147" priority="13">
      <formula>I63&gt;0</formula>
    </cfRule>
    <cfRule type="expression" dxfId="146" priority="14">
      <formula>I63&lt;0</formula>
    </cfRule>
  </conditionalFormatting>
  <conditionalFormatting sqref="I64">
    <cfRule type="expression" dxfId="145" priority="11">
      <formula>I64&gt;0</formula>
    </cfRule>
    <cfRule type="expression" dxfId="144" priority="12">
      <formula>I64&lt;0</formula>
    </cfRule>
  </conditionalFormatting>
  <conditionalFormatting sqref="I65:I69">
    <cfRule type="expression" dxfId="143" priority="9">
      <formula>I65&gt;0</formula>
    </cfRule>
    <cfRule type="expression" dxfId="142" priority="10">
      <formula>I65&lt;0</formula>
    </cfRule>
  </conditionalFormatting>
  <conditionalFormatting sqref="I56:I59">
    <cfRule type="expression" dxfId="141" priority="7">
      <formula>I56&gt;0</formula>
    </cfRule>
    <cfRule type="expression" dxfId="140" priority="8">
      <formula>I56&lt;0</formula>
    </cfRule>
  </conditionalFormatting>
  <conditionalFormatting sqref="F67">
    <cfRule type="expression" dxfId="139" priority="5">
      <formula>F67&gt;0</formula>
    </cfRule>
    <cfRule type="expression" dxfId="138" priority="6">
      <formula>F67&lt;0</formula>
    </cfRule>
  </conditionalFormatting>
  <conditionalFormatting sqref="F25">
    <cfRule type="expression" dxfId="137" priority="3">
      <formula>F25&gt;0</formula>
    </cfRule>
    <cfRule type="expression" dxfId="136" priority="4">
      <formula>F25&lt;0</formula>
    </cfRule>
  </conditionalFormatting>
  <conditionalFormatting sqref="H25">
    <cfRule type="expression" dxfId="135" priority="1">
      <formula>H25&gt;0</formula>
    </cfRule>
    <cfRule type="expression" dxfId="134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109.58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109.58</v>
      </c>
      <c r="R4" s="498">
        <v>-6.9999999999999999E-4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4" t="s">
        <v>78</v>
      </c>
      <c r="P40" s="704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120.53800000000001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119.44220000000001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118.3464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117.25060000000001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116.15480000000001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115.059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113.9632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112.8674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111.77160000000001</v>
      </c>
      <c r="Q49" s="2"/>
      <c r="T49" s="92" t="s">
        <v>103</v>
      </c>
      <c r="U49" s="87" t="s">
        <v>561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110.6758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109.58</v>
      </c>
      <c r="Q51" s="2"/>
      <c r="T51" s="92" t="s">
        <v>104</v>
      </c>
      <c r="U51" s="87" t="s">
        <v>730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108.4842</v>
      </c>
      <c r="Q52" s="2"/>
      <c r="T52" s="92" t="s">
        <v>105</v>
      </c>
      <c r="U52" s="87" t="s">
        <v>731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107.38839999999999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106.29259999999999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105.1968</v>
      </c>
      <c r="T55" s="92" t="s">
        <v>107</v>
      </c>
      <c r="U55" s="87" t="s">
        <v>732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104.101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103.00519999999999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101.90940000000001</v>
      </c>
      <c r="T58" s="92" t="s">
        <v>108</v>
      </c>
      <c r="U58" s="87" t="s">
        <v>586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100.81360000000001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99.717799999999997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98.622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196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33" priority="15">
      <formula>F25&gt;0</formula>
    </cfRule>
    <cfRule type="expression" dxfId="132" priority="16">
      <formula>F25&lt;0</formula>
    </cfRule>
  </conditionalFormatting>
  <conditionalFormatting sqref="F32:F70">
    <cfRule type="expression" dxfId="131" priority="11">
      <formula>F32&gt;0</formula>
    </cfRule>
    <cfRule type="expression" dxfId="130" priority="12">
      <formula>F32&lt;0</formula>
    </cfRule>
  </conditionalFormatting>
  <conditionalFormatting sqref="F32:F70">
    <cfRule type="expression" dxfId="129" priority="13">
      <formula>F32&gt;0</formula>
    </cfRule>
    <cfRule type="expression" dxfId="128" priority="14">
      <formula>F32&lt;0</formula>
    </cfRule>
  </conditionalFormatting>
  <conditionalFormatting sqref="H25 H30:H70">
    <cfRule type="expression" dxfId="127" priority="9">
      <formula>H25&gt;0</formula>
    </cfRule>
    <cfRule type="expression" dxfId="126" priority="10">
      <formula>H25&lt;0</formula>
    </cfRule>
  </conditionalFormatting>
  <conditionalFormatting sqref="F26:F29">
    <cfRule type="expression" dxfId="125" priority="7">
      <formula>F26&gt;0</formula>
    </cfRule>
    <cfRule type="expression" dxfId="124" priority="8">
      <formula>F26&lt;0</formula>
    </cfRule>
  </conditionalFormatting>
  <conditionalFormatting sqref="H26:H29">
    <cfRule type="expression" dxfId="123" priority="5">
      <formula>H26&gt;0</formula>
    </cfRule>
    <cfRule type="expression" dxfId="122" priority="6">
      <formula>H26&lt;0</formula>
    </cfRule>
  </conditionalFormatting>
  <conditionalFormatting sqref="Q7">
    <cfRule type="expression" dxfId="121" priority="3">
      <formula>Q7&gt;0</formula>
    </cfRule>
    <cfRule type="expression" dxfId="120" priority="4">
      <formula>Q7&lt;0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763</v>
      </c>
      <c r="O4" s="11" t="s">
        <v>66</v>
      </c>
      <c r="Q4" s="199">
        <v>1.2</v>
      </c>
      <c r="R4" s="498">
        <v>-9.0899999999999995E-2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4800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-5589.4199999999983</v>
      </c>
      <c r="R7">
        <v>4000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-6024.3499999999985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-0.55655535898229447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7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7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704" t="s">
        <v>78</v>
      </c>
      <c r="P40" s="704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312</v>
      </c>
      <c r="J41" s="40"/>
      <c r="K41" s="40"/>
      <c r="O41" s="82">
        <v>1.1000000000000001</v>
      </c>
      <c r="P41" s="82">
        <f>O41*$Q$4</f>
        <v>1.32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1.3080000000000001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1.296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1.284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1.272</v>
      </c>
      <c r="Q45" s="2"/>
      <c r="T45" s="92" t="s">
        <v>99</v>
      </c>
      <c r="U45" s="87" t="s">
        <v>733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1.26</v>
      </c>
      <c r="Q46" s="2"/>
      <c r="T46" s="92" t="s">
        <v>100</v>
      </c>
      <c r="U46" s="87" t="s">
        <v>734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1.248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1.236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1.224</v>
      </c>
      <c r="Q49" s="2"/>
      <c r="T49" s="92" t="s">
        <v>121</v>
      </c>
      <c r="U49" s="87" t="s">
        <v>448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1.212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1.2</v>
      </c>
      <c r="Q51" s="2"/>
      <c r="T51" s="92" t="s">
        <v>104</v>
      </c>
      <c r="U51" s="87" t="s">
        <v>735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1.1879999999999999</v>
      </c>
      <c r="Q52" s="2"/>
      <c r="T52" s="92" t="s">
        <v>105</v>
      </c>
      <c r="U52" s="87" t="s">
        <v>567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1.1759999999999999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1.1639999999999999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1.1519999999999999</v>
      </c>
      <c r="T55" s="92" t="s">
        <v>107</v>
      </c>
      <c r="U55" s="87" t="s">
        <v>736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1.1399999999999999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1.1279999999999999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420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1.1160000000000001</v>
      </c>
      <c r="T58" s="92" t="s">
        <v>108</v>
      </c>
      <c r="U58" s="87" t="s">
        <v>611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424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1.1040000000000001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472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1.0920000000000001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476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1.08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489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490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" si="36">C71*(E71-D71)</f>
        <v>-5194.3999999999996</v>
      </c>
      <c r="G71" s="40">
        <f t="shared" ref="G71" si="37">D71*C71</f>
        <v>11034.4</v>
      </c>
      <c r="H71" s="230">
        <f t="shared" ref="H71" si="38">(E71-D71)/D71</f>
        <v>-0.47074603059522946</v>
      </c>
      <c r="I71" s="40"/>
      <c r="J71" s="40"/>
      <c r="K71" s="234">
        <v>-4549</v>
      </c>
    </row>
    <row r="72" spans="1:31" x14ac:dyDescent="0.25">
      <c r="B72" s="191"/>
      <c r="C72" s="10"/>
      <c r="D72" s="240"/>
      <c r="E72" s="40"/>
      <c r="F72" s="234"/>
      <c r="G72" s="40"/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113</v>
      </c>
      <c r="C117" s="510" t="s">
        <v>146</v>
      </c>
      <c r="D117" s="511" t="s">
        <v>145</v>
      </c>
      <c r="E117" s="512" t="s">
        <v>147</v>
      </c>
      <c r="F117" s="513" t="s">
        <v>65</v>
      </c>
      <c r="G117" s="514" t="s">
        <v>151</v>
      </c>
      <c r="H117" s="513" t="s">
        <v>88</v>
      </c>
      <c r="I117" s="514" t="s">
        <v>154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7" priority="25">
      <formula>F28&gt;0</formula>
    </cfRule>
    <cfRule type="expression" dxfId="116" priority="26">
      <formula>F28&lt;0</formula>
    </cfRule>
  </conditionalFormatting>
  <conditionalFormatting sqref="H118:H125">
    <cfRule type="expression" dxfId="115" priority="23">
      <formula>H118&gt;0</formula>
    </cfRule>
    <cfRule type="expression" dxfId="114" priority="24">
      <formula>H118&lt;0</formula>
    </cfRule>
  </conditionalFormatting>
  <conditionalFormatting sqref="H126">
    <cfRule type="expression" dxfId="113" priority="21">
      <formula>H126&gt;0</formula>
    </cfRule>
    <cfRule type="expression" dxfId="112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1" priority="11">
      <formula>Q8&gt;0</formula>
    </cfRule>
    <cfRule type="expression" dxfId="110" priority="12">
      <formula>Q8&lt;0</formula>
    </cfRule>
  </conditionalFormatting>
  <conditionalFormatting sqref="Q7">
    <cfRule type="expression" dxfId="109" priority="13">
      <formula>Q7&gt;0</formula>
    </cfRule>
    <cfRule type="expression" dxfId="108" priority="14">
      <formula>Q7&lt;0</formula>
    </cfRule>
  </conditionalFormatting>
  <conditionalFormatting sqref="F30:F33">
    <cfRule type="expression" dxfId="107" priority="9">
      <formula>F30&gt;0</formula>
    </cfRule>
    <cfRule type="expression" dxfId="106" priority="10">
      <formula>F30&lt;0</formula>
    </cfRule>
  </conditionalFormatting>
  <conditionalFormatting sqref="H30:H33">
    <cfRule type="expression" dxfId="105" priority="7">
      <formula>H30&gt;0</formula>
    </cfRule>
    <cfRule type="expression" dxfId="104" priority="8">
      <formula>H30&lt;0</formula>
    </cfRule>
  </conditionalFormatting>
  <conditionalFormatting sqref="K59:K93">
    <cfRule type="expression" dxfId="103" priority="5">
      <formula>K59&gt;0</formula>
    </cfRule>
    <cfRule type="expression" dxfId="102" priority="6">
      <formula>K59&lt;0</formula>
    </cfRule>
  </conditionalFormatting>
  <conditionalFormatting sqref="K66">
    <cfRule type="expression" dxfId="101" priority="3">
      <formula>K66&gt;0</formula>
    </cfRule>
    <cfRule type="expression" dxfId="100" priority="4">
      <formula>K66&lt;0</formula>
    </cfRule>
  </conditionalFormatting>
  <conditionalFormatting sqref="M63">
    <cfRule type="expression" dxfId="99" priority="1">
      <formula>M63&gt;0</formula>
    </cfRule>
    <cfRule type="expression" dxfId="9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66.709999999999994</v>
      </c>
      <c r="R4" s="498">
        <v>-3.0999999999999999E-3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16677.5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-2863.4900000000052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-2863.4900000000052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212</v>
      </c>
      <c r="Q9" s="136">
        <f>IF(Q2=0, 0, Q8/Q6)</f>
        <v>-0.14653761145162061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544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87" t="s">
        <v>534</v>
      </c>
      <c r="K39" s="688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4" t="s">
        <v>78</v>
      </c>
      <c r="P42" s="704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73.381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72.713899999999995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72.046800000000005</v>
      </c>
      <c r="Q45" s="2"/>
      <c r="T45" s="92" t="s">
        <v>99</v>
      </c>
      <c r="U45" s="87" t="s">
        <v>737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71.3797</v>
      </c>
      <c r="Q46" s="2"/>
      <c r="T46" s="92" t="s">
        <v>100</v>
      </c>
      <c r="U46" s="87" t="s">
        <v>738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70.712599999999995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70.04549999999999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69.378399999999999</v>
      </c>
      <c r="Q49" s="2"/>
      <c r="T49" s="92" t="s">
        <v>103</v>
      </c>
      <c r="U49" s="87" t="s">
        <v>612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68.711299999999994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68.044199999999989</v>
      </c>
      <c r="Q51" s="2"/>
      <c r="T51" s="92" t="s">
        <v>104</v>
      </c>
      <c r="U51" s="87" t="s">
        <v>739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67.377099999999999</v>
      </c>
      <c r="Q52" s="2"/>
      <c r="T52" s="92" t="s">
        <v>105</v>
      </c>
      <c r="U52" s="87" t="s">
        <v>438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66.709999999999994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66.042899999999989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65.375799999999998</v>
      </c>
      <c r="Q55" s="2"/>
      <c r="T55" s="92" t="s">
        <v>107</v>
      </c>
      <c r="U55" s="87" t="s">
        <v>740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64.708699999999993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64.041599999999988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63.374499999999991</v>
      </c>
      <c r="T58" s="92" t="s">
        <v>108</v>
      </c>
      <c r="U58" s="87" t="s">
        <v>613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62.707399999999993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62.040299999999995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61.373199999999997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60.706099999999999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60.038999999999994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395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419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433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452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455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470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419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" si="41">C131*(E131-D131)</f>
        <v>-2591.0000000000009</v>
      </c>
      <c r="G131" s="40">
        <f t="shared" ref="G131" si="42">D131*C131</f>
        <v>19541</v>
      </c>
      <c r="H131" s="230">
        <f t="shared" ref="H131" si="43">(E131-D131)/D131</f>
        <v>-0.13259300956962289</v>
      </c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7" priority="30">
      <formula>F50&gt;0</formula>
    </cfRule>
    <cfRule type="expression" dxfId="96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95" priority="23">
      <formula>F47&gt;0</formula>
    </cfRule>
    <cfRule type="expression" dxfId="94" priority="24">
      <formula>F47&lt;0</formula>
    </cfRule>
  </conditionalFormatting>
  <conditionalFormatting sqref="H47:I47">
    <cfRule type="expression" dxfId="93" priority="19">
      <formula>H47&gt;0</formula>
    </cfRule>
    <cfRule type="expression" dxfId="92" priority="20">
      <formula>H47&lt;0</formula>
    </cfRule>
  </conditionalFormatting>
  <conditionalFormatting sqref="H48:I48">
    <cfRule type="expression" dxfId="91" priority="17">
      <formula>H48&gt;0</formula>
    </cfRule>
    <cfRule type="expression" dxfId="90" priority="18">
      <formula>H48&lt;0</formula>
    </cfRule>
  </conditionalFormatting>
  <conditionalFormatting sqref="H49:I49">
    <cfRule type="expression" dxfId="89" priority="15">
      <formula>H49&gt;0</formula>
    </cfRule>
    <cfRule type="expression" dxfId="88" priority="16">
      <formula>H49&lt;0</formula>
    </cfRule>
  </conditionalFormatting>
  <conditionalFormatting sqref="F40:F46">
    <cfRule type="expression" dxfId="87" priority="13">
      <formula>F40&gt;0</formula>
    </cfRule>
    <cfRule type="expression" dxfId="86" priority="14">
      <formula>F40&lt;0</formula>
    </cfRule>
  </conditionalFormatting>
  <conditionalFormatting sqref="H40:I46">
    <cfRule type="expression" dxfId="85" priority="11">
      <formula>H40&gt;0</formula>
    </cfRule>
    <cfRule type="expression" dxfId="84" priority="12">
      <formula>H40&lt;0</formula>
    </cfRule>
  </conditionalFormatting>
  <conditionalFormatting sqref="I52 F52:F54">
    <cfRule type="expression" dxfId="83" priority="9">
      <formula>F52&gt;0</formula>
    </cfRule>
    <cfRule type="expression" dxfId="82" priority="10">
      <formula>F52&lt;0</formula>
    </cfRule>
  </conditionalFormatting>
  <conditionalFormatting sqref="Q8">
    <cfRule type="expression" dxfId="81" priority="5">
      <formula>Q8&gt;0</formula>
    </cfRule>
    <cfRule type="expression" dxfId="80" priority="6">
      <formula>Q8&lt;0</formula>
    </cfRule>
  </conditionalFormatting>
  <conditionalFormatting sqref="Q7">
    <cfRule type="expression" dxfId="79" priority="7">
      <formula>Q7&gt;0</formula>
    </cfRule>
    <cfRule type="expression" dxfId="78" priority="8">
      <formula>Q7&lt;0</formula>
    </cfRule>
  </conditionalFormatting>
  <conditionalFormatting sqref="F124:F131 H124:H131">
    <cfRule type="expression" dxfId="77" priority="1">
      <formula>F124&gt;0</formula>
    </cfRule>
    <cfRule type="expression" dxfId="76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66.760000000000005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66.760000000000005</v>
      </c>
      <c r="R4" s="498">
        <v>-4.0000000000000002E-4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462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4" t="s">
        <v>78</v>
      </c>
      <c r="P42" s="704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73.436000000000007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72.768400000000014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72.100800000000007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71.433200000000014</v>
      </c>
      <c r="Q46" s="82"/>
      <c r="T46" s="92" t="s">
        <v>100</v>
      </c>
      <c r="U46" s="87" t="s">
        <v>741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70.765600000000006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70.098000000000013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69.430400000000006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68.762800000000013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68.095200000000006</v>
      </c>
      <c r="Q51" s="82"/>
      <c r="T51" s="92" t="s">
        <v>104</v>
      </c>
      <c r="U51" s="87" t="s">
        <v>742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67.427600000000012</v>
      </c>
      <c r="Q52" s="82"/>
      <c r="T52" s="92" t="s">
        <v>105</v>
      </c>
      <c r="U52" s="87" t="s">
        <v>743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66.760000000000005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66.092399999999998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65.424800000000005</v>
      </c>
      <c r="Q55" s="82"/>
      <c r="T55" s="92" t="s">
        <v>107</v>
      </c>
      <c r="U55" s="87" t="s">
        <v>744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64.757199999999997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64.089600000000004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63.422000000000004</v>
      </c>
      <c r="Q58" s="82"/>
      <c r="T58" s="92" t="s">
        <v>108</v>
      </c>
      <c r="U58" s="87" t="s">
        <v>577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62.754400000000004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62.086800000000011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61.419200000000011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60.751600000000003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60.084000000000003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5" priority="5">
      <formula>F21&gt;0</formula>
    </cfRule>
    <cfRule type="expression" dxfId="74" priority="6">
      <formula>F21&lt;0</formula>
    </cfRule>
  </conditionalFormatting>
  <conditionalFormatting sqref="Q8">
    <cfRule type="expression" dxfId="73" priority="1">
      <formula>Q8&gt;0</formula>
    </cfRule>
    <cfRule type="expression" dxfId="72" priority="2">
      <formula>Q8&lt;0</formula>
    </cfRule>
  </conditionalFormatting>
  <conditionalFormatting sqref="Q7">
    <cfRule type="expression" dxfId="71" priority="3">
      <formula>Q7&gt;0</formula>
    </cfRule>
    <cfRule type="expression" dxfId="7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G10" sqref="G10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162">
        <v>42622</v>
      </c>
      <c r="C2" s="4">
        <v>25</v>
      </c>
      <c r="D2" s="3">
        <v>66.959999999999994</v>
      </c>
      <c r="E2" s="3">
        <v>0</v>
      </c>
      <c r="F2" s="3">
        <f t="shared" ref="F2:F7" si="0">C2*D2+E2</f>
        <v>1673.9999999999998</v>
      </c>
      <c r="G2" s="73"/>
      <c r="H2" s="183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162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58.896450000000002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56.26</v>
      </c>
      <c r="R4" s="498">
        <v>-1.4E-3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7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11252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497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11779.29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497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-477.34000000000106</v>
      </c>
      <c r="R7">
        <v>100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O8" s="11" t="s">
        <v>182</v>
      </c>
      <c r="P8" s="34"/>
      <c r="Q8" s="2">
        <f>K18+M18-F18+Q2*Q4</f>
        <v>-527.29000000000087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212</v>
      </c>
      <c r="Q9" s="136">
        <f>IF(Q2=0, 0, Q8/Q6)</f>
        <v>-4.4764158111397279E-2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200</v>
      </c>
      <c r="D18" s="13"/>
      <c r="E18" s="13"/>
      <c r="F18" s="13">
        <f>SUM(F2:F17)</f>
        <v>11851.29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459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1" si="9">C36*(E36-D36)</f>
        <v>-56.497500000000223</v>
      </c>
      <c r="G36" s="40">
        <f t="shared" ref="G36:G41" si="10">D36*C36</f>
        <v>4643.4975000000004</v>
      </c>
      <c r="H36" s="229">
        <f t="shared" ref="H36:H41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704" t="s">
        <v>78</v>
      </c>
      <c r="P41" s="704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1.1000000000000001</v>
      </c>
      <c r="P42" s="82">
        <f>O42*$Q$4</f>
        <v>61.886000000000003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61.323399999999999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60.760800000000003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60.1982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59.635600000000004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59.073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58.510399999999997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57.947800000000001</v>
      </c>
      <c r="Q49" s="2"/>
      <c r="T49" s="92" t="s">
        <v>121</v>
      </c>
      <c r="U49" s="129" t="s">
        <v>573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57.385199999999998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56.822600000000001</v>
      </c>
      <c r="Q51" s="2"/>
      <c r="T51" s="92" t="s">
        <v>104</v>
      </c>
      <c r="U51" s="129" t="s">
        <v>745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56.26</v>
      </c>
      <c r="Q52" s="2"/>
      <c r="T52" s="92" t="s">
        <v>105</v>
      </c>
      <c r="U52" s="129" t="s">
        <v>746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55.697399999999995</v>
      </c>
      <c r="Q53" s="2"/>
      <c r="T53" s="505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55.134799999999998</v>
      </c>
      <c r="Q54" s="2"/>
      <c r="T54" s="505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54.572199999999995</v>
      </c>
      <c r="T55" s="92" t="s">
        <v>107</v>
      </c>
      <c r="U55" s="129" t="s">
        <v>747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2"/>
        <v>54.009599999999999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53.446999999999996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52.884399999999992</v>
      </c>
      <c r="T58" s="92" t="s">
        <v>108</v>
      </c>
      <c r="U58" s="129" t="s">
        <v>614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52.321800000000003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51.7592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51.196599999999997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50.634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9" priority="15">
      <formula>F22&gt;0</formula>
    </cfRule>
    <cfRule type="expression" dxfId="68" priority="16">
      <formula>F22&lt;0</formula>
    </cfRule>
  </conditionalFormatting>
  <conditionalFormatting sqref="H22:H53">
    <cfRule type="expression" dxfId="67" priority="13">
      <formula>H22&gt;0</formula>
    </cfRule>
    <cfRule type="expression" dxfId="66" priority="14">
      <formula>H22&lt;0</formula>
    </cfRule>
  </conditionalFormatting>
  <conditionalFormatting sqref="Q8">
    <cfRule type="expression" dxfId="65" priority="9">
      <formula>Q8&gt;0</formula>
    </cfRule>
    <cfRule type="expression" dxfId="64" priority="10">
      <formula>Q8&lt;0</formula>
    </cfRule>
  </conditionalFormatting>
  <conditionalFormatting sqref="Q7">
    <cfRule type="expression" dxfId="63" priority="11">
      <formula>Q7&gt;0</formula>
    </cfRule>
    <cfRule type="expression" dxfId="62" priority="12">
      <formula>Q7&lt;0</formula>
    </cfRule>
  </conditionalFormatting>
  <conditionalFormatting sqref="M56">
    <cfRule type="expression" dxfId="61" priority="7">
      <formula>M56&gt;0</formula>
    </cfRule>
    <cfRule type="expression" dxfId="60" priority="8">
      <formula>M56&lt;0</formula>
    </cfRule>
  </conditionalFormatting>
  <conditionalFormatting sqref="J36">
    <cfRule type="expression" dxfId="59" priority="5">
      <formula>J36&gt;0</formula>
    </cfRule>
    <cfRule type="expression" dxfId="58" priority="6">
      <formula>J36&lt;0</formula>
    </cfRule>
  </conditionalFormatting>
  <conditionalFormatting sqref="J37:J52">
    <cfRule type="expression" dxfId="57" priority="3">
      <formula>J37&gt;0</formula>
    </cfRule>
    <cfRule type="expression" dxfId="56" priority="4">
      <formula>J37&lt;0</formula>
    </cfRule>
  </conditionalFormatting>
  <conditionalFormatting sqref="Q10">
    <cfRule type="expression" dxfId="55" priority="1">
      <formula>Q10&gt;0</formula>
    </cfRule>
    <cfRule type="expression" dxfId="54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34.11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34.11</v>
      </c>
      <c r="R4" s="498">
        <v>-3.5000000000000001E-3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5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5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4" t="s">
        <v>78</v>
      </c>
      <c r="P41" s="704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37.521000000000001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37.179900000000004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36.838799999999999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36.497700000000002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36.156600000000005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35.8155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35.474400000000003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35.133299999999998</v>
      </c>
      <c r="Q49" s="2"/>
      <c r="T49" s="10" t="s">
        <v>103</v>
      </c>
      <c r="U49" s="10" t="s">
        <v>578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34.792200000000001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34.451099999999997</v>
      </c>
      <c r="Q51" s="2"/>
      <c r="T51" s="10" t="s">
        <v>104</v>
      </c>
      <c r="U51" s="10" t="s">
        <v>748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34.11</v>
      </c>
      <c r="Q52" s="2"/>
      <c r="T52" s="10" t="s">
        <v>105</v>
      </c>
      <c r="U52" s="10" t="s">
        <v>517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33.768900000000002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33.427799999999998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33.0867</v>
      </c>
      <c r="T55" s="10" t="s">
        <v>107</v>
      </c>
      <c r="U55" s="10" t="s">
        <v>749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32.745599999999996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32.404499999999999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32.063399999999994</v>
      </c>
      <c r="T58" s="10" t="s">
        <v>108</v>
      </c>
      <c r="U58" s="10" t="s">
        <v>615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31.722300000000001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31.3812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31.040099999999999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30.699000000000002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3" priority="7">
      <formula>F22&gt;0</formula>
    </cfRule>
    <cfRule type="expression" dxfId="52" priority="8">
      <formula>F22&lt;0</formula>
    </cfRule>
  </conditionalFormatting>
  <conditionalFormatting sqref="H22:H2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171.01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171.01</v>
      </c>
      <c r="R4" s="498">
        <v>2.0000000000000001E-4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4" t="s">
        <v>78</v>
      </c>
      <c r="P45" s="704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188.11100000000002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186.40090000000001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184.6908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182.98070000000001</v>
      </c>
      <c r="Q49" s="2"/>
      <c r="T49" s="92" t="s">
        <v>103</v>
      </c>
      <c r="U49" s="431" t="s">
        <v>616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181.2706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179.56049999999999</v>
      </c>
      <c r="Q51" s="2"/>
      <c r="T51" s="92" t="s">
        <v>104</v>
      </c>
      <c r="U51" s="431" t="s">
        <v>750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177.85040000000001</v>
      </c>
      <c r="Q52" s="2"/>
      <c r="T52" s="92" t="s">
        <v>105</v>
      </c>
      <c r="U52" s="431" t="s">
        <v>579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176.1403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174.43019999999999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172.7201</v>
      </c>
      <c r="Q55" s="2"/>
      <c r="T55" s="92" t="s">
        <v>107</v>
      </c>
      <c r="U55" s="431" t="s">
        <v>751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171.01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169.29989999999998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167.5898</v>
      </c>
      <c r="Q58" s="2"/>
      <c r="T58" s="92" t="s">
        <v>108</v>
      </c>
      <c r="U58" s="431" t="s">
        <v>568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165.87969999999999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164.16959999999997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162.45949999999999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160.74939999999998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159.0393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157.32919999999999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155.6191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153.90899999999999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5" priority="17">
      <formula>F21&gt;0</formula>
    </cfRule>
    <cfRule type="expression" dxfId="44" priority="18">
      <formula>F21&lt;0</formula>
    </cfRule>
  </conditionalFormatting>
  <conditionalFormatting sqref="H26 H31:H41 H21">
    <cfRule type="expression" dxfId="43" priority="15">
      <formula>H21&gt;0</formula>
    </cfRule>
    <cfRule type="expression" dxfId="42" priority="16">
      <formula>H21&lt;0</formula>
    </cfRule>
  </conditionalFormatting>
  <conditionalFormatting sqref="Q7">
    <cfRule type="expression" dxfId="41" priority="9">
      <formula>Q7&gt;0</formula>
    </cfRule>
    <cfRule type="expression" dxfId="40" priority="10">
      <formula>Q7&lt;0</formula>
    </cfRule>
  </conditionalFormatting>
  <conditionalFormatting sqref="Q8">
    <cfRule type="expression" dxfId="39" priority="7">
      <formula>Q8&gt;0</formula>
    </cfRule>
    <cfRule type="expression" dxfId="38" priority="8">
      <formula>Q8&lt;0</formula>
    </cfRule>
  </conditionalFormatting>
  <conditionalFormatting sqref="F27:F30 F22:F25">
    <cfRule type="expression" dxfId="37" priority="5">
      <formula>F22&gt;0</formula>
    </cfRule>
    <cfRule type="expression" dxfId="36" priority="6">
      <formula>F22&lt;0</formula>
    </cfRule>
  </conditionalFormatting>
  <conditionalFormatting sqref="H27:H30 H22:H25">
    <cfRule type="expression" dxfId="35" priority="3">
      <formula>H22&gt;0</formula>
    </cfRule>
    <cfRule type="expression" dxfId="34" priority="4">
      <formula>H22&lt;0</formula>
    </cfRule>
  </conditionalFormatting>
  <conditionalFormatting sqref="M43">
    <cfRule type="expression" dxfId="33" priority="1">
      <formula>M43&gt;0</formula>
    </cfRule>
    <cfRule type="expression" dxfId="32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48.2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48.2</v>
      </c>
      <c r="R4" s="498">
        <v>3.0999999999999999E-3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53.02000000000001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52.538000000000004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52.056000000000004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51.574000000000005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51.092000000000006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50.610000000000007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50.128000000000007</v>
      </c>
      <c r="Q49" s="2"/>
      <c r="T49" s="92" t="s">
        <v>121</v>
      </c>
      <c r="U49" s="431" t="s">
        <v>394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49.646000000000001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49.164000000000001</v>
      </c>
      <c r="Q51" s="2"/>
      <c r="T51" s="92" t="s">
        <v>104</v>
      </c>
      <c r="U51" s="431" t="s">
        <v>752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48.682000000000002</v>
      </c>
      <c r="Q52" s="2"/>
      <c r="T52" s="92" t="s">
        <v>105</v>
      </c>
      <c r="U52" s="431" t="s">
        <v>475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48.2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47.718000000000004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47.236000000000004</v>
      </c>
      <c r="Q55" s="2"/>
      <c r="T55" s="92" t="s">
        <v>107</v>
      </c>
      <c r="U55" s="431" t="s">
        <v>753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46.754000000000005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46.271999999999998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45.79</v>
      </c>
      <c r="Q58" s="2"/>
      <c r="T58" s="92" t="s">
        <v>108</v>
      </c>
      <c r="U58" s="431" t="s">
        <v>617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45.308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44.826000000000008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44.344000000000001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43.862000000000002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43.38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1" priority="7">
      <formula>F21&gt;0</formula>
    </cfRule>
    <cfRule type="expression" dxfId="30" priority="8">
      <formula>F21&lt;0</formula>
    </cfRule>
  </conditionalFormatting>
  <conditionalFormatting sqref="H21:H32">
    <cfRule type="expression" dxfId="29" priority="5">
      <formula>H21&gt;0</formula>
    </cfRule>
    <cfRule type="expression" dxfId="28" priority="6">
      <formula>H21&lt;0</formula>
    </cfRule>
  </conditionalFormatting>
  <conditionalFormatting sqref="Q8">
    <cfRule type="expression" dxfId="27" priority="1">
      <formula>Q8&gt;0</formula>
    </cfRule>
    <cfRule type="expression" dxfId="26" priority="2">
      <formula>Q8&lt;0</formula>
    </cfRule>
  </conditionalFormatting>
  <conditionalFormatting sqref="Q7">
    <cfRule type="expression" dxfId="25" priority="3">
      <formula>Q7&gt;0</formula>
    </cfRule>
    <cfRule type="expression" dxfId="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121.28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121.28</v>
      </c>
      <c r="R4" s="498">
        <v>2.0999999999999999E-3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4" t="s">
        <v>78</v>
      </c>
      <c r="Q39" s="704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133.40800000000002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132.1952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130.98240000000001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129.7696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128.55680000000001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127.34400000000001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126.13120000000001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124.91840000000001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123.7056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122.4928</v>
      </c>
      <c r="T49" s="92" t="s">
        <v>121</v>
      </c>
      <c r="U49" s="87" t="s">
        <v>394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121.28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120.0672</v>
      </c>
      <c r="T51" s="92" t="s">
        <v>104</v>
      </c>
      <c r="U51" s="87" t="s">
        <v>754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118.8544</v>
      </c>
      <c r="T52" s="92" t="s">
        <v>105</v>
      </c>
      <c r="U52" s="87" t="s">
        <v>547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117.6416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116.4288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115.21599999999999</v>
      </c>
      <c r="T55" s="92" t="s">
        <v>107</v>
      </c>
      <c r="U55" s="87" t="s">
        <v>755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114.00319999999999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112.79040000000001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111.5776</v>
      </c>
      <c r="T58" s="92" t="s">
        <v>108</v>
      </c>
      <c r="U58" s="87" t="s">
        <v>618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110.3648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109.152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173.32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173.32</v>
      </c>
      <c r="R4" s="498">
        <v>-4.0000000000000002E-4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587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4" t="s">
        <v>78</v>
      </c>
      <c r="P41" s="704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190.65200000000002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188.9188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187.18559999999999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185.45240000000001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183.7192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181.98599999999999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180.25280000000001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178.5196</v>
      </c>
      <c r="Q49" s="82"/>
      <c r="T49" s="92" t="s">
        <v>103</v>
      </c>
      <c r="U49" s="87" t="s">
        <v>562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176.78639999999999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175.0532</v>
      </c>
      <c r="Q51" s="82"/>
      <c r="T51" s="92" t="s">
        <v>104</v>
      </c>
      <c r="U51" s="87" t="s">
        <v>756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173.32</v>
      </c>
      <c r="Q52" s="82"/>
      <c r="T52" s="92" t="s">
        <v>105</v>
      </c>
      <c r="U52" s="87" t="s">
        <v>557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171.58679999999998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169.8536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168.12039999999999</v>
      </c>
      <c r="Q55" s="82"/>
      <c r="T55" s="92" t="s">
        <v>107</v>
      </c>
      <c r="U55" s="87" t="s">
        <v>757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166.38719999999998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164.654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162.92079999999999</v>
      </c>
      <c r="Q58" s="82"/>
      <c r="T58" s="92" t="s">
        <v>108</v>
      </c>
      <c r="U58" s="87" t="s">
        <v>619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161.1876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159.45439999999999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157.72120000000001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155.988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9" priority="13">
      <formula>F21&gt;0</formula>
    </cfRule>
    <cfRule type="expression" dxfId="18" priority="14">
      <formula>F21&lt;0</formula>
    </cfRule>
  </conditionalFormatting>
  <conditionalFormatting sqref="F22">
    <cfRule type="expression" dxfId="17" priority="11">
      <formula>F22&gt;0</formula>
    </cfRule>
    <cfRule type="expression" dxfId="16" priority="12">
      <formula>F22&lt;0</formula>
    </cfRule>
  </conditionalFormatting>
  <conditionalFormatting sqref="F23:F30">
    <cfRule type="expression" dxfId="15" priority="9">
      <formula>F23&gt;0</formula>
    </cfRule>
    <cfRule type="expression" dxfId="14" priority="10">
      <formula>F23&lt;0</formula>
    </cfRule>
  </conditionalFormatting>
  <conditionalFormatting sqref="H21:H31">
    <cfRule type="expression" dxfId="13" priority="7">
      <formula>H21&gt;0</formula>
    </cfRule>
    <cfRule type="expression" dxfId="12" priority="8">
      <formula>H21&lt;0</formula>
    </cfRule>
  </conditionalFormatting>
  <conditionalFormatting sqref="F24">
    <cfRule type="expression" dxfId="11" priority="5">
      <formula>F24&gt;0</formula>
    </cfRule>
    <cfRule type="expression" dxfId="10" priority="6">
      <formula>F24&lt;0</formula>
    </cfRule>
  </conditionalFormatting>
  <conditionalFormatting sqref="Q8">
    <cfRule type="expression" dxfId="9" priority="1">
      <formula>Q8&gt;0</formula>
    </cfRule>
    <cfRule type="expression" dxfId="8" priority="2">
      <formula>Q8&lt;0</formula>
    </cfRule>
  </conditionalFormatting>
  <conditionalFormatting sqref="Q7">
    <cfRule type="expression" dxfId="7" priority="3">
      <formula>Q7&gt;0</formula>
    </cfRule>
    <cfRule type="expression" dxfId="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109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KR!hp?s_KR</vt:lpstr>
      <vt:lpstr>LUV!hp?s_LUV</vt:lpstr>
      <vt:lpstr>MOS!hp?s_MOS_Historical_Prices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2017-05-12T01:53:32Z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