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0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16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2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24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5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+xml"/>
  <Override PartName="/xl/queryTables/queryTable34.xml" ContentType="application/vnd.openxmlformats-officedocument.spreadsheetml.queryTable+xml"/>
  <Override PartName="/xl/drawings/drawing27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3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queryTables/queryTable43.xml" ContentType="application/vnd.openxmlformats-officedocument.spreadsheetml.queryTable+xml"/>
  <Override PartName="/xl/tables/table1.xml" ContentType="application/vnd.openxmlformats-officedocument.spreadsheetml.table+xml"/>
  <Override PartName="/xl/queryTables/queryTable44.xml" ContentType="application/vnd.openxmlformats-officedocument.spreadsheetml.queryTable+xml"/>
  <Override PartName="/xl/drawings/drawing31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3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4.xml" ContentType="application/vnd.openxmlformats-officedocument.spreadsheetml.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8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9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40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41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42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43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r:id="rId18"/>
    <sheet name="IEMG" sheetId="105" state="hidden" r:id="rId19"/>
    <sheet name="CVS" sheetId="69" r:id="rId20"/>
    <sheet name="ADBE" sheetId="85" state="hidden" r:id="rId21"/>
    <sheet name="MRO" sheetId="25" r:id="rId22"/>
    <sheet name="GE" sheetId="86" state="hidden" r:id="rId23"/>
    <sheet name="XRAY" sheetId="103" state="hidden" r:id="rId24"/>
    <sheet name="XLP" sheetId="104" state="hidden" r:id="rId25"/>
    <sheet name="KR" sheetId="51" state="hidden" r:id="rId26"/>
    <sheet name="F" sheetId="54" state="hidden" r:id="rId27"/>
    <sheet name="JNJ" sheetId="68" state="hidden" r:id="rId28"/>
    <sheet name="ULTA" sheetId="81" state="hidden" r:id="rId29"/>
    <sheet name="FRC" sheetId="89" state="hidden" r:id="rId30"/>
    <sheet name="AAP" sheetId="77" state="hidden" r:id="rId31"/>
    <sheet name="CMCSA" sheetId="99" state="hidden" r:id="rId32"/>
    <sheet name="XEC" sheetId="100" state="hidden" r:id="rId33"/>
    <sheet name="MO" sheetId="102" r:id="rId34"/>
    <sheet name="T" sheetId="93" state="hidden" r:id="rId35"/>
    <sheet name="COST" sheetId="78" state="hidden" r:id="rId36"/>
    <sheet name="CPN" sheetId="7" state="hidden" r:id="rId37"/>
    <sheet name="EW" sheetId="72" state="hidden" r:id="rId38"/>
    <sheet name="TJX" sheetId="79" state="hidden" r:id="rId39"/>
    <sheet name="QQQ" sheetId="101" state="hidden" r:id="rId40"/>
    <sheet name="WBA" sheetId="84" r:id="rId41"/>
    <sheet name="AZO" sheetId="83" state="hidden" r:id="rId42"/>
    <sheet name="FL" sheetId="98" state="hidden" r:id="rId43"/>
    <sheet name="MLM" sheetId="97" state="hidden" r:id="rId44"/>
    <sheet name="KHC" sheetId="96" r:id="rId45"/>
    <sheet name="KBWY" sheetId="94" state="hidden" r:id="rId46"/>
    <sheet name="AYI" sheetId="92" state="hidden" r:id="rId47"/>
    <sheet name="DIA" sheetId="91" state="hidden" r:id="rId48"/>
    <sheet name="ICE" sheetId="95" state="hidden" r:id="rId49"/>
    <sheet name="NKE" sheetId="50" state="hidden" r:id="rId50"/>
    <sheet name="MOS" sheetId="58" r:id="rId51"/>
    <sheet name="VGK" sheetId="59" state="hidden" r:id="rId52"/>
    <sheet name="CMG" sheetId="87" state="hidden" r:id="rId53"/>
    <sheet name="HAS" sheetId="90" state="hidden" r:id="rId54"/>
    <sheet name="HSIC" sheetId="82" state="hidden" r:id="rId55"/>
    <sheet name="PDCO" sheetId="88" r:id="rId56"/>
    <sheet name="MU" sheetId="17" state="hidden" r:id="rId57"/>
    <sheet name="IP" sheetId="44" state="hidden" r:id="rId58"/>
    <sheet name="INTC" sheetId="13" state="hidden" r:id="rId59"/>
    <sheet name="HES" sheetId="10" state="hidden" r:id="rId60"/>
    <sheet name="UNP" sheetId="20" state="hidden" r:id="rId61"/>
    <sheet name="NCLH" sheetId="67" state="hidden" r:id="rId62"/>
    <sheet name="SPY" sheetId="47" state="hidden" r:id="rId63"/>
    <sheet name="SWKS" sheetId="41" state="hidden" r:id="rId64"/>
    <sheet name="CNI" sheetId="42" state="hidden" r:id="rId65"/>
    <sheet name="WFC" sheetId="45" state="hidden" r:id="rId66"/>
    <sheet name="AA" sheetId="3" state="hidden" r:id="rId67"/>
    <sheet name="CF" sheetId="61" state="hidden" r:id="rId68"/>
    <sheet name="TGT" sheetId="75" state="hidden" r:id="rId69"/>
    <sheet name="NWL" sheetId="46" state="hidden" r:id="rId70"/>
    <sheet name="KORS" sheetId="16" state="hidden" r:id="rId71"/>
    <sheet name="ALL" sheetId="22" state="hidden" r:id="rId72"/>
    <sheet name="NSC" sheetId="24" state="hidden" r:id="rId73"/>
    <sheet name="AVGO" sheetId="15" state="hidden" r:id="rId74"/>
    <sheet name="UAL" sheetId="52" state="hidden" r:id="rId75"/>
    <sheet name="CAH" sheetId="53" state="hidden" r:id="rId76"/>
    <sheet name="DAL" sheetId="49" r:id="rId77"/>
    <sheet name="TEVA" sheetId="74" state="hidden" r:id="rId78"/>
    <sheet name="DIS" sheetId="34" state="hidden" r:id="rId79"/>
    <sheet name="FTR" sheetId="40" state="hidden" r:id="rId80"/>
    <sheet name="GILD" sheetId="31" r:id="rId81"/>
    <sheet name="WWD" sheetId="28" state="hidden" r:id="rId82"/>
    <sheet name="GIS" sheetId="43" state="hidden" r:id="rId83"/>
    <sheet name="GM" sheetId="29" state="hidden" r:id="rId84"/>
    <sheet name="TMO" sheetId="48" state="hidden" r:id="rId85"/>
    <sheet name="TKR" sheetId="32" state="hidden" r:id="rId86"/>
    <sheet name="UTX" sheetId="30" state="hidden" r:id="rId87"/>
    <sheet name="UNH" sheetId="26" state="hidden" r:id="rId88"/>
  </sheets>
  <functionGroups builtInGroupCount="18"/>
  <definedNames>
    <definedName name="_xlnm._FilterDatabase" localSheetId="0" hidden="1">ACTIVE!$E$1:$M$26</definedName>
    <definedName name="hp?s_AA_Historical_Prices_1" localSheetId="66">AA!$W$1:$AC$68</definedName>
    <definedName name="hp?s_AAPL" localSheetId="6">AAPL!$W$1:$AC$69</definedName>
    <definedName name="hp?s_AKAM_Historical_Prices" localSheetId="14">BMY!$W$1:$AC$70</definedName>
    <definedName name="hp?s_ALL_Historical_Prices" localSheetId="71">ALL!$X$1:$AD$69</definedName>
    <definedName name="hp?s_AVGO" localSheetId="73">AVGO!$W$1:$AC$69</definedName>
    <definedName name="hp?s_AXP_Historical_Prices" localSheetId="7">AXP!$W$1:$AC$70</definedName>
    <definedName name="hp?s_BIIB" localSheetId="3">BIIB!#REF!</definedName>
    <definedName name="hp?s_CAH" localSheetId="75">CAH!$W$1:$AC$69</definedName>
    <definedName name="hp?s_cce" localSheetId="13">CCE!$W$1:$AC$68</definedName>
    <definedName name="hp?s_CNI" localSheetId="64">CNI!$W$1:$AC$69</definedName>
    <definedName name="hp?s_CPN_Historical_Prices" localSheetId="36">CPN!$W$1:$AC$68</definedName>
    <definedName name="hp?s_DIS" localSheetId="13">CCE!#REF!</definedName>
    <definedName name="hp?s_DIS" localSheetId="78">DIS!$W$1:$AC$68</definedName>
    <definedName name="hp?s_DIS" localSheetId="79">FTR!#REF!</definedName>
    <definedName name="hp?s_ew_Historical_Prices" localSheetId="37">EW!$W$1:$AC$68</definedName>
    <definedName name="hp?s_foxa" localSheetId="10">FOXA!$W$1:$AC$69</definedName>
    <definedName name="hp?s_GILD" localSheetId="80">GILD!#REF!</definedName>
    <definedName name="hp?s_GIS" localSheetId="82">GIS!#REF!</definedName>
    <definedName name="hp?s_GM" localSheetId="83">GM!$W$1:$AC$69</definedName>
    <definedName name="hp?s_HES" localSheetId="59">HES!$W$1:$AC$69</definedName>
    <definedName name="hp?s_INTC_Historical_Prices" localSheetId="58">INTC!$W$1:$AC$69</definedName>
    <definedName name="hp?s_IP" localSheetId="57">IP!$W$1:$AC$69</definedName>
    <definedName name="hp?s_KORS" localSheetId="70">KORS!$W$1:$AC$68</definedName>
    <definedName name="hp?s_MYL" localSheetId="4">MYL!$W$1:$AC$68</definedName>
    <definedName name="hp?s_nclh" localSheetId="61">NCLH!$W$1:$AC$68</definedName>
    <definedName name="hp?s_nke" localSheetId="49">NKE!$W$1:$AC$69</definedName>
    <definedName name="hp?s_NWL" localSheetId="69">NWL!#REF!</definedName>
    <definedName name="hp?s_pinc" localSheetId="9">PINC!$W$1:$AC$68</definedName>
    <definedName name="hp?s_SWKS" localSheetId="63">SWKS!$W$1:$AC$69</definedName>
    <definedName name="hp?s_TKR" localSheetId="85">TKR!$W$1:$AC$69</definedName>
    <definedName name="hp?s_tmo" localSheetId="84">TMO!$W$1:$AC$69</definedName>
    <definedName name="hp?s_ual" localSheetId="74">UAL!$W$1:$AC$68</definedName>
    <definedName name="hp?s_UNH" localSheetId="87">UNH!$W$1:$AC$69</definedName>
    <definedName name="hp?s_UTX" localSheetId="86">UTX!$W$1:$AC$69</definedName>
    <definedName name="hp?s_vgk" localSheetId="51">VGK!$W$1:$AC$69</definedName>
    <definedName name="hp?s_WFC" localSheetId="65">WFC!#REF!</definedName>
    <definedName name="hp?s_WWD" localSheetId="81">WWD!$W$1:$AC$69</definedName>
    <definedName name="PL" localSheetId="66">AA!$Q$7</definedName>
    <definedName name="PL" localSheetId="30">#REF!</definedName>
    <definedName name="PL" localSheetId="20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6">#REF!</definedName>
    <definedName name="PL" localSheetId="41">#REF!</definedName>
    <definedName name="PL" localSheetId="14">#REF!</definedName>
    <definedName name="PL" localSheetId="75">#REF!</definedName>
    <definedName name="PL" localSheetId="67">#REF!</definedName>
    <definedName name="PL" localSheetId="31">#REF!</definedName>
    <definedName name="PL" localSheetId="52">#REF!</definedName>
    <definedName name="PL" localSheetId="35">#REF!</definedName>
    <definedName name="PL" localSheetId="19">#REF!</definedName>
    <definedName name="PL" localSheetId="8">#REF!</definedName>
    <definedName name="PL" localSheetId="47">#REF!</definedName>
    <definedName name="PL" localSheetId="37">#REF!</definedName>
    <definedName name="PL" localSheetId="26">#REF!</definedName>
    <definedName name="PL" localSheetId="42">#REF!</definedName>
    <definedName name="PL" localSheetId="10">#REF!</definedName>
    <definedName name="PL" localSheetId="29">#REF!</definedName>
    <definedName name="PL" localSheetId="22">#REF!</definedName>
    <definedName name="PL" localSheetId="15">#REF!</definedName>
    <definedName name="PL" localSheetId="53">#REF!</definedName>
    <definedName name="PL" localSheetId="54">#REF!</definedName>
    <definedName name="PL" localSheetId="48">#REF!</definedName>
    <definedName name="PL" localSheetId="18">#REF!</definedName>
    <definedName name="PL" localSheetId="27">#REF!</definedName>
    <definedName name="PL" localSheetId="45">#REF!</definedName>
    <definedName name="PL" localSheetId="44">#REF!</definedName>
    <definedName name="PL" localSheetId="25">#REF!</definedName>
    <definedName name="PL" localSheetId="12">#REF!</definedName>
    <definedName name="PL" localSheetId="43">#REF!</definedName>
    <definedName name="PL" localSheetId="33">#REF!</definedName>
    <definedName name="PL" localSheetId="50">#REF!</definedName>
    <definedName name="PL" localSheetId="4">#REF!</definedName>
    <definedName name="PL" localSheetId="61">NCLH!$Q$7</definedName>
    <definedName name="PL" localSheetId="49">#REF!</definedName>
    <definedName name="PL" localSheetId="55">#REF!</definedName>
    <definedName name="PL" localSheetId="9">PINC!$Q$7</definedName>
    <definedName name="PL" localSheetId="39">#REF!</definedName>
    <definedName name="PL" localSheetId="62">SPY!$Q$7</definedName>
    <definedName name="PL" localSheetId="63">SWKS!$Q$7</definedName>
    <definedName name="PL" localSheetId="34">#REF!</definedName>
    <definedName name="PL" localSheetId="68">#REF!</definedName>
    <definedName name="PL" localSheetId="38">#REF!</definedName>
    <definedName name="PL" localSheetId="74">#REF!</definedName>
    <definedName name="PL" localSheetId="28">#REF!</definedName>
    <definedName name="PL" localSheetId="51">#REF!</definedName>
    <definedName name="PL" localSheetId="40">#REF!</definedName>
    <definedName name="PL" localSheetId="65">WFC!$Q$7</definedName>
    <definedName name="PL" localSheetId="32">#REF!</definedName>
    <definedName name="PL" localSheetId="24">#REF!</definedName>
    <definedName name="PL" localSheetId="23">#REF!</definedName>
    <definedName name="q?s_aa_ql_1" localSheetId="66">AA!$T$40:$U$55</definedName>
    <definedName name="q?s_AAPL" localSheetId="6">AAPL!$T$40:$U$55</definedName>
    <definedName name="q?s_AKAM" localSheetId="16">AKAM!$T$43:$U$58</definedName>
    <definedName name="q?s_ALL" localSheetId="71">ALL!$T$40:$U$55</definedName>
    <definedName name="q?s_AVGO" localSheetId="73">AVGO!$T$42:$U$57</definedName>
    <definedName name="q?s_AXP" localSheetId="7">AXP!$T$43:$U$58</definedName>
    <definedName name="q?s_BMY_1" localSheetId="14">BMY!$T$43:$U$58</definedName>
    <definedName name="q?s_CAH" localSheetId="75">CAH!$T$43:$U$58</definedName>
    <definedName name="q?s_cce" localSheetId="13">CCE!$T$43:$U$58</definedName>
    <definedName name="q?s_CF" localSheetId="67">CF!$T$56:$U$71</definedName>
    <definedName name="q?s_CNI" localSheetId="64">CNI!$T$43:$U$58</definedName>
    <definedName name="q?s_CPN" localSheetId="36">CPN!$T$43:$U$58</definedName>
    <definedName name="q?s_cvs" localSheetId="19">CVS!$T$43:$U$58</definedName>
    <definedName name="q?s_dg" localSheetId="8">DG!$T$43:$U$58</definedName>
    <definedName name="q?s_DIS" localSheetId="78">DIS!$T$43:$U$58</definedName>
    <definedName name="q?s_ew" localSheetId="37">EW!$T$43:$U$58</definedName>
    <definedName name="q?s_F" localSheetId="26">F!$T$43:$U$58</definedName>
    <definedName name="q?s_foxa" localSheetId="10">FOXA!$T$43:$U$58</definedName>
    <definedName name="q?s_FTR" localSheetId="79">FTR!$T$43:$U$58</definedName>
    <definedName name="q?s_GILD" localSheetId="80">GILD!$T$43:$U$58</definedName>
    <definedName name="q?s_GM" localSheetId="83">GM!$T$43:$U$58</definedName>
    <definedName name="q?s_HES" localSheetId="59">HES!$T$43:$U$58</definedName>
    <definedName name="q?s_INTC" localSheetId="58">INTC!$T$43:$U$58</definedName>
    <definedName name="q?s_IP" localSheetId="57">IP!$T$43:$U$58</definedName>
    <definedName name="q?s_JNJ" localSheetId="27">JNJ!$T$43:$U$58</definedName>
    <definedName name="q?s_KORS" localSheetId="70">KORS!$T$43:$U$58</definedName>
    <definedName name="q?s_MU" localSheetId="56">MU!#REF!</definedName>
    <definedName name="q?s_MYL" localSheetId="4">MYL!$T$43:$U$58</definedName>
    <definedName name="q?s_nclh" localSheetId="61">NCLH!$T$40:$U$55</definedName>
    <definedName name="q?s_NKE" localSheetId="49">NKE!$T$43:$U$58</definedName>
    <definedName name="q?s_NSC" localSheetId="60">UNP!$T$43:$U$58</definedName>
    <definedName name="q?s_pinc" localSheetId="9">PINC!$T$40:$U$55</definedName>
    <definedName name="q?s_SIG" localSheetId="5">SIG!#REF!</definedName>
    <definedName name="q?s_SWKS" localSheetId="63">SWKS!$T$40:$U$55</definedName>
    <definedName name="q?s_tgt" localSheetId="68">TGT!$T$43:$U$58</definedName>
    <definedName name="q?s_TKR" localSheetId="85">TKR!$T$43:$U$58</definedName>
    <definedName name="q?s_tmo" localSheetId="84">TMO!$T$43:$U$58</definedName>
    <definedName name="q?s_UAL" localSheetId="74">UAL!$T$43:$U$58</definedName>
    <definedName name="q?s_UNH" localSheetId="87">UNH!$T$43:$U$58</definedName>
    <definedName name="q?s_UTX" localSheetId="86">UTX!$T$43:$U$58</definedName>
    <definedName name="q?s_vgk" localSheetId="51">VGK!$T$43:$U$56</definedName>
    <definedName name="q?s_WWD" localSheetId="8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5" i="93" l="1"/>
  <c r="F35" i="93"/>
  <c r="H35" i="93"/>
  <c r="A689" i="38"/>
  <c r="D689" i="38"/>
  <c r="E689" i="38"/>
  <c r="G689" i="38"/>
  <c r="H689" i="38"/>
  <c r="K689" i="38"/>
  <c r="L689" i="38" s="1"/>
  <c r="M689" i="38"/>
  <c r="N689" i="38" s="1"/>
  <c r="O689" i="38" s="1"/>
  <c r="S689" i="38"/>
  <c r="V689" i="38"/>
  <c r="X689" i="38" l="1"/>
  <c r="P689" i="38"/>
  <c r="Q689" i="38" s="1"/>
  <c r="W689" i="38"/>
  <c r="Y689" i="38" s="1"/>
  <c r="U689" i="38"/>
  <c r="Z689" i="38"/>
  <c r="F247" i="25"/>
  <c r="G247" i="25"/>
  <c r="H247" i="25"/>
  <c r="F246" i="25"/>
  <c r="H246" i="25"/>
  <c r="G246" i="25"/>
  <c r="F89" i="25"/>
  <c r="F35" i="102"/>
  <c r="H35" i="102"/>
  <c r="G35" i="102"/>
  <c r="F5" i="102"/>
  <c r="F88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P688" i="38" s="1"/>
  <c r="M688" i="38"/>
  <c r="N688" i="38" s="1"/>
  <c r="O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U688" i="38" l="1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45" i="25"/>
  <c r="H245" i="25"/>
  <c r="G245" i="25"/>
  <c r="F87" i="25"/>
  <c r="C32" i="58" l="1"/>
  <c r="F33" i="93"/>
  <c r="H33" i="93"/>
  <c r="G33" i="93"/>
  <c r="F6" i="93"/>
  <c r="F40" i="99"/>
  <c r="H40" i="99"/>
  <c r="G40" i="99"/>
  <c r="K5" i="99"/>
  <c r="F104" i="58"/>
  <c r="G104" i="58"/>
  <c r="H104" i="58"/>
  <c r="F105" i="58"/>
  <c r="G105" i="58"/>
  <c r="H10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44" i="25"/>
  <c r="H244" i="25"/>
  <c r="G244" i="25"/>
  <c r="K68" i="25"/>
  <c r="C18" i="92"/>
  <c r="Z684" i="38" l="1"/>
  <c r="O684" i="38"/>
  <c r="P684" i="38"/>
  <c r="U684" i="38"/>
  <c r="G65" i="46"/>
  <c r="F65" i="46"/>
  <c r="H65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P683" i="38" s="1"/>
  <c r="M683" i="38"/>
  <c r="N683" i="38" s="1"/>
  <c r="S683" i="38"/>
  <c r="O683" i="38" l="1"/>
  <c r="Z683" i="38"/>
  <c r="U683" i="38"/>
  <c r="F38" i="86"/>
  <c r="H38" i="86"/>
  <c r="G38" i="86"/>
  <c r="K4" i="86"/>
  <c r="F74" i="84" l="1"/>
  <c r="G74" i="84"/>
  <c r="H74" i="84"/>
  <c r="K10" i="84"/>
  <c r="H24" i="84"/>
  <c r="F243" i="25"/>
  <c r="G243" i="25"/>
  <c r="H243" i="25"/>
  <c r="K67" i="25"/>
  <c r="F76" i="81"/>
  <c r="H76" i="81"/>
  <c r="G76" i="81"/>
  <c r="K15" i="81"/>
  <c r="K3" i="82"/>
  <c r="F32" i="102"/>
  <c r="G32" i="102"/>
  <c r="H32" i="102"/>
  <c r="K2" i="102"/>
  <c r="K5" i="98"/>
  <c r="K12" i="57"/>
  <c r="K2" i="96"/>
  <c r="Q2" i="31" l="1"/>
  <c r="K2" i="31"/>
  <c r="K10" i="47"/>
  <c r="H18" i="47"/>
  <c r="F41" i="101"/>
  <c r="H41" i="101"/>
  <c r="G41" i="101"/>
  <c r="K7" i="101"/>
  <c r="H18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42" i="25"/>
  <c r="H242" i="25"/>
  <c r="G242" i="25"/>
  <c r="F86" i="25"/>
  <c r="F64" i="46"/>
  <c r="H64" i="46"/>
  <c r="G64" i="46"/>
  <c r="F41" i="47"/>
  <c r="H41" i="47"/>
  <c r="G41" i="47"/>
  <c r="K9" i="47"/>
  <c r="K13" i="46"/>
  <c r="F241" i="25"/>
  <c r="H241" i="25"/>
  <c r="G241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H19" i="47"/>
  <c r="H24" i="46"/>
  <c r="C24" i="46"/>
  <c r="M19" i="47"/>
  <c r="C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0" i="25"/>
  <c r="H240" i="25"/>
  <c r="G240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39" i="25"/>
  <c r="G239" i="25"/>
  <c r="H239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6" i="43"/>
  <c r="G66" i="43"/>
  <c r="H66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H24" i="88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38" i="25"/>
  <c r="G238" i="25"/>
  <c r="H238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3" i="105"/>
  <c r="Q11" i="105"/>
  <c r="F2" i="105"/>
  <c r="F18" i="105" s="1"/>
  <c r="C24" i="88"/>
  <c r="F85" i="105"/>
  <c r="H19" i="105"/>
  <c r="C85" i="105"/>
  <c r="F19" i="105"/>
  <c r="M19" i="105"/>
  <c r="K19" i="105"/>
  <c r="K85" i="105"/>
  <c r="M85" i="105"/>
  <c r="C19" i="105"/>
  <c r="H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37" i="25"/>
  <c r="G237" i="25"/>
  <c r="H237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3" i="58"/>
  <c r="F103" i="58"/>
  <c r="H10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36" i="25"/>
  <c r="H236" i="25"/>
  <c r="G236" i="25"/>
  <c r="F83" i="25"/>
  <c r="F152" i="51"/>
  <c r="G152" i="51"/>
  <c r="H152" i="51"/>
  <c r="F46" i="51"/>
  <c r="K31" i="51"/>
  <c r="G102" i="58"/>
  <c r="F102" i="58"/>
  <c r="H10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35" i="25"/>
  <c r="G235" i="25"/>
  <c r="H235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1" i="58"/>
  <c r="F101" i="58"/>
  <c r="H10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34" i="25"/>
  <c r="H234" i="25"/>
  <c r="G234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P669" i="38" s="1"/>
  <c r="M669" i="38"/>
  <c r="N669" i="38" s="1"/>
  <c r="S669" i="38"/>
  <c r="F233" i="25"/>
  <c r="H233" i="25"/>
  <c r="G233" i="25"/>
  <c r="F82" i="25"/>
  <c r="F37" i="86"/>
  <c r="H37" i="86"/>
  <c r="G37" i="86"/>
  <c r="F7" i="86"/>
  <c r="F232" i="25"/>
  <c r="H232" i="25"/>
  <c r="G232" i="25"/>
  <c r="F81" i="25"/>
  <c r="F80" i="25"/>
  <c r="F150" i="51"/>
  <c r="H150" i="51"/>
  <c r="G150" i="51"/>
  <c r="F45" i="51"/>
  <c r="F33" i="96"/>
  <c r="H33" i="96"/>
  <c r="G33" i="96"/>
  <c r="F63" i="46"/>
  <c r="H63" i="46"/>
  <c r="M23" i="46"/>
  <c r="G63" i="46"/>
  <c r="O669" i="38" l="1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1" i="25"/>
  <c r="G231" i="25"/>
  <c r="H231" i="25"/>
  <c r="K63" i="25"/>
  <c r="G62" i="46"/>
  <c r="F62" i="46"/>
  <c r="H62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P663" i="38" s="1"/>
  <c r="M663" i="38"/>
  <c r="N663" i="38" s="1"/>
  <c r="S663" i="38"/>
  <c r="O663" i="38" l="1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C18" i="86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61" i="46"/>
  <c r="G61" i="46"/>
  <c r="H61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0" i="25"/>
  <c r="G230" i="25"/>
  <c r="H230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60" i="46"/>
  <c r="H60" i="46"/>
  <c r="G60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9" i="25"/>
  <c r="H229" i="25"/>
  <c r="G229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53" i="88"/>
  <c r="H53" i="88"/>
  <c r="G53" i="88"/>
  <c r="F145" i="51"/>
  <c r="G145" i="51"/>
  <c r="H145" i="51"/>
  <c r="F65" i="84"/>
  <c r="H65" i="84"/>
  <c r="G65" i="84"/>
  <c r="F228" i="25"/>
  <c r="H228" i="25"/>
  <c r="G228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7" i="25"/>
  <c r="G227" i="25"/>
  <c r="H227" i="25"/>
  <c r="K61" i="25"/>
  <c r="F99" i="58"/>
  <c r="H99" i="58"/>
  <c r="G99" i="58"/>
  <c r="H3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6" i="25"/>
  <c r="G226" i="25"/>
  <c r="H226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63" i="84"/>
  <c r="H63" i="84"/>
  <c r="G63" i="84"/>
  <c r="F14" i="84"/>
  <c r="F52" i="88"/>
  <c r="H52" i="88"/>
  <c r="G52" i="88"/>
  <c r="F14" i="88"/>
  <c r="AA14" i="88" s="1"/>
  <c r="AB14" i="88" s="1"/>
  <c r="F98" i="58"/>
  <c r="H98" i="58"/>
  <c r="G9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AB14" i="58"/>
  <c r="AC14" i="58"/>
  <c r="AD14" i="58"/>
  <c r="AB35" i="58"/>
  <c r="AC35" i="58"/>
  <c r="AD35" i="58"/>
  <c r="AD53" i="58"/>
  <c r="AD54" i="58" s="1"/>
  <c r="F97" i="58"/>
  <c r="H97" i="58"/>
  <c r="G97" i="58"/>
  <c r="F24" i="58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25" i="25"/>
  <c r="H225" i="25"/>
  <c r="G225" i="25"/>
  <c r="C96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24" i="25"/>
  <c r="H224" i="25"/>
  <c r="G224" i="25"/>
  <c r="K58" i="25"/>
  <c r="F96" i="58"/>
  <c r="H96" i="58"/>
  <c r="G96" i="58"/>
  <c r="K18" i="58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58" i="46"/>
  <c r="F58" i="46"/>
  <c r="H58" i="46"/>
  <c r="F18" i="46"/>
  <c r="F223" i="25"/>
  <c r="H223" i="25"/>
  <c r="G223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C19" i="104"/>
  <c r="H19" i="104"/>
  <c r="H85" i="104"/>
  <c r="F85" i="104"/>
  <c r="K19" i="104"/>
  <c r="C85" i="104"/>
  <c r="K85" i="104"/>
  <c r="M19" i="104"/>
  <c r="F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56" i="46"/>
  <c r="H56" i="46"/>
  <c r="G56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22" i="25"/>
  <c r="G222" i="25"/>
  <c r="H222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21" i="25"/>
  <c r="G221" i="25"/>
  <c r="H221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AD5" i="88" l="1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8" i="88"/>
  <c r="H48" i="88"/>
  <c r="G48" i="88"/>
  <c r="F220" i="25"/>
  <c r="G220" i="25"/>
  <c r="H220" i="25"/>
  <c r="F28" i="102"/>
  <c r="G28" i="102"/>
  <c r="H28" i="102"/>
  <c r="Q13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C18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9" i="25"/>
  <c r="H219" i="25"/>
  <c r="G219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8" i="25"/>
  <c r="H218" i="25"/>
  <c r="G218" i="25"/>
  <c r="K55" i="25"/>
  <c r="F33" i="47"/>
  <c r="H33" i="47"/>
  <c r="G33" i="47"/>
  <c r="K5" i="47"/>
  <c r="F93" i="58"/>
  <c r="H93" i="58"/>
  <c r="G93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17" i="25"/>
  <c r="H217" i="25"/>
  <c r="G217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1" i="58"/>
  <c r="H91" i="58"/>
  <c r="G91" i="58"/>
  <c r="F22" i="58"/>
  <c r="F216" i="25"/>
  <c r="G216" i="25"/>
  <c r="H216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15" i="25"/>
  <c r="H215" i="25"/>
  <c r="G215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14" i="25"/>
  <c r="H214" i="25"/>
  <c r="G214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9" i="47"/>
  <c r="H29" i="47"/>
  <c r="G29" i="47"/>
  <c r="F8" i="47"/>
  <c r="H213" i="25"/>
  <c r="G213" i="25"/>
  <c r="F213" i="25"/>
  <c r="F212" i="25"/>
  <c r="G212" i="25"/>
  <c r="H212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11" i="25" l="1"/>
  <c r="H211" i="25"/>
  <c r="G211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0" i="25"/>
  <c r="H210" i="25"/>
  <c r="G210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209" i="25"/>
  <c r="H209" i="25"/>
  <c r="G209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08" i="25"/>
  <c r="G208" i="25"/>
  <c r="H208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H61" i="81"/>
  <c r="G61" i="81"/>
  <c r="F61" i="81"/>
  <c r="F207" i="25"/>
  <c r="G207" i="25"/>
  <c r="H207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6" i="25"/>
  <c r="H206" i="25"/>
  <c r="G206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05" i="25"/>
  <c r="H205" i="25"/>
  <c r="G205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04" i="25"/>
  <c r="H204" i="25"/>
  <c r="G204" i="25"/>
  <c r="F69" i="25"/>
  <c r="M19" i="103"/>
  <c r="H19" i="103"/>
  <c r="K85" i="103"/>
  <c r="C19" i="103"/>
  <c r="K19" i="103"/>
  <c r="M85" i="103"/>
  <c r="F19" i="103"/>
  <c r="H85" i="103"/>
  <c r="F85" i="103"/>
  <c r="C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3" i="25"/>
  <c r="H203" i="25"/>
  <c r="G203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F202" i="25"/>
  <c r="H202" i="25"/>
  <c r="G202" i="25"/>
  <c r="K48" i="25"/>
  <c r="F69" i="87"/>
  <c r="K69" i="87"/>
  <c r="C19" i="102"/>
  <c r="F85" i="102"/>
  <c r="M85" i="102"/>
  <c r="K19" i="102"/>
  <c r="H19" i="102"/>
  <c r="M19" i="102"/>
  <c r="C85" i="102"/>
  <c r="H85" i="102"/>
  <c r="K85" i="102"/>
  <c r="F19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F43" i="88"/>
  <c r="H43" i="88"/>
  <c r="G43" i="88"/>
  <c r="F10" i="88"/>
  <c r="AA10" i="88" s="1"/>
  <c r="AB10" i="88" s="1"/>
  <c r="H19" i="99"/>
  <c r="C85" i="101"/>
  <c r="M19" i="101"/>
  <c r="H85" i="100"/>
  <c r="C19" i="101"/>
  <c r="K19" i="99"/>
  <c r="M19" i="99"/>
  <c r="M85" i="101"/>
  <c r="H85" i="101"/>
  <c r="F19" i="99"/>
  <c r="K85" i="101"/>
  <c r="F85" i="101"/>
  <c r="F85" i="100"/>
  <c r="M19" i="100"/>
  <c r="F19" i="101"/>
  <c r="C19" i="100"/>
  <c r="H19" i="101"/>
  <c r="K85" i="100"/>
  <c r="K19" i="101"/>
  <c r="F19" i="100"/>
  <c r="M85" i="100"/>
  <c r="C85" i="99"/>
  <c r="M85" i="99"/>
  <c r="H85" i="99"/>
  <c r="H19" i="100"/>
  <c r="C85" i="100"/>
  <c r="C19" i="99"/>
  <c r="K85" i="99"/>
  <c r="F85" i="99"/>
  <c r="K19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1" i="25"/>
  <c r="H201" i="25"/>
  <c r="G201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0" i="25"/>
  <c r="G200" i="25"/>
  <c r="H200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4" i="58" l="1"/>
  <c r="G84" i="58"/>
  <c r="H84" i="58"/>
  <c r="F55" i="81"/>
  <c r="G55" i="81"/>
  <c r="H55" i="81"/>
  <c r="F122" i="51"/>
  <c r="G122" i="51"/>
  <c r="H122" i="51"/>
  <c r="F199" i="25"/>
  <c r="H199" i="25"/>
  <c r="G199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F85" i="97"/>
  <c r="K19" i="97"/>
  <c r="F19" i="98"/>
  <c r="M85" i="98"/>
  <c r="M85" i="97"/>
  <c r="H19" i="98"/>
  <c r="K19" i="98"/>
  <c r="C19" i="97"/>
  <c r="K85" i="98"/>
  <c r="F85" i="98"/>
  <c r="K25" i="88"/>
  <c r="C85" i="97"/>
  <c r="C85" i="98"/>
  <c r="K85" i="97"/>
  <c r="C19" i="98"/>
  <c r="M19" i="97"/>
  <c r="H19" i="97"/>
  <c r="M19" i="98"/>
  <c r="H85" i="98"/>
  <c r="H85" i="97"/>
  <c r="F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8" i="25"/>
  <c r="H198" i="25"/>
  <c r="G198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197" i="25"/>
  <c r="G197" i="25"/>
  <c r="H197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6" i="25"/>
  <c r="H196" i="25"/>
  <c r="G196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95" i="25"/>
  <c r="H195" i="25"/>
  <c r="G195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194" i="25"/>
  <c r="H194" i="25"/>
  <c r="G194" i="25"/>
  <c r="K47" i="25"/>
  <c r="F81" i="58"/>
  <c r="H81" i="58"/>
  <c r="G81" i="58"/>
  <c r="K14" i="58"/>
  <c r="F80" i="58"/>
  <c r="H80" i="58"/>
  <c r="G80" i="58"/>
  <c r="K13" i="58"/>
  <c r="F19" i="96"/>
  <c r="F85" i="96"/>
  <c r="C85" i="96"/>
  <c r="M85" i="96"/>
  <c r="K19" i="96"/>
  <c r="H19" i="96"/>
  <c r="C19" i="96"/>
  <c r="K85" i="96"/>
  <c r="M19" i="96"/>
  <c r="H85" i="96"/>
  <c r="Q2" i="96" l="1"/>
  <c r="M66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93" i="25"/>
  <c r="H193" i="25"/>
  <c r="G193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F192" i="25"/>
  <c r="H192" i="25"/>
  <c r="G192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1" i="25"/>
  <c r="H191" i="25"/>
  <c r="G191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90" i="25"/>
  <c r="G190" i="25"/>
  <c r="H190" i="25"/>
  <c r="F189" i="25"/>
  <c r="H189" i="25"/>
  <c r="F188" i="25"/>
  <c r="H188" i="25"/>
  <c r="F187" i="25"/>
  <c r="H187" i="25"/>
  <c r="K43" i="25"/>
  <c r="F25" i="47"/>
  <c r="G25" i="47"/>
  <c r="H25" i="47"/>
  <c r="F24" i="47"/>
  <c r="G24" i="47"/>
  <c r="H24" i="47"/>
  <c r="K2" i="47"/>
  <c r="K18" i="47" s="1"/>
  <c r="G189" i="25"/>
  <c r="F61" i="25"/>
  <c r="G49" i="81"/>
  <c r="K4" i="81"/>
  <c r="G188" i="25"/>
  <c r="K42" i="25"/>
  <c r="F6" i="47"/>
  <c r="F5" i="91"/>
  <c r="G48" i="81"/>
  <c r="F11" i="81"/>
  <c r="F8" i="57"/>
  <c r="G187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6" i="25"/>
  <c r="H186" i="25"/>
  <c r="G186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85" i="95"/>
  <c r="K19" i="95"/>
  <c r="F85" i="95"/>
  <c r="H85" i="95"/>
  <c r="M85" i="95"/>
  <c r="M19" i="95"/>
  <c r="C19" i="95"/>
  <c r="H19" i="95"/>
  <c r="F19" i="95"/>
  <c r="K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M85" i="94"/>
  <c r="F85" i="94"/>
  <c r="K19" i="94"/>
  <c r="F19" i="94"/>
  <c r="C19" i="94"/>
  <c r="C85" i="94"/>
  <c r="K85" i="94"/>
  <c r="H19" i="94"/>
  <c r="M19" i="94"/>
  <c r="H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19" i="93"/>
  <c r="H85" i="93"/>
  <c r="K19" i="93"/>
  <c r="M19" i="93"/>
  <c r="C85" i="93"/>
  <c r="M85" i="93"/>
  <c r="H19" i="93"/>
  <c r="F85" i="93"/>
  <c r="C19" i="93"/>
  <c r="K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85" i="25"/>
  <c r="H185" i="25"/>
  <c r="G185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M19" i="92"/>
  <c r="C85" i="91"/>
  <c r="F85" i="91"/>
  <c r="C19" i="91"/>
  <c r="K19" i="92"/>
  <c r="F19" i="91"/>
  <c r="H85" i="92"/>
  <c r="F85" i="92"/>
  <c r="H85" i="91"/>
  <c r="K19" i="91"/>
  <c r="M19" i="91"/>
  <c r="K85" i="92"/>
  <c r="F19" i="92"/>
  <c r="K85" i="91"/>
  <c r="C19" i="92"/>
  <c r="H19" i="91"/>
  <c r="M85" i="92"/>
  <c r="H19" i="92"/>
  <c r="C85" i="92"/>
  <c r="F19" i="47"/>
  <c r="M85" i="91"/>
  <c r="F18" i="47" l="1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84" i="25"/>
  <c r="H184" i="25"/>
  <c r="G184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3" i="25"/>
  <c r="G183" i="25"/>
  <c r="H183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4" i="46"/>
  <c r="H44" i="46"/>
  <c r="G44" i="46"/>
  <c r="F14" i="46"/>
  <c r="F182" i="25"/>
  <c r="G182" i="25"/>
  <c r="H182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1" i="25"/>
  <c r="H181" i="25"/>
  <c r="G181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0" i="25"/>
  <c r="H180" i="25"/>
  <c r="G180" i="25"/>
  <c r="K40" i="25"/>
  <c r="F179" i="25"/>
  <c r="H179" i="25"/>
  <c r="G179" i="25"/>
  <c r="K39" i="25"/>
  <c r="F53" i="25"/>
  <c r="Z565" i="38" l="1"/>
  <c r="O565" i="38"/>
  <c r="U565" i="38"/>
  <c r="P565" i="38"/>
  <c r="Q11" i="89"/>
  <c r="F178" i="25"/>
  <c r="H178" i="25"/>
  <c r="G178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7" i="25"/>
  <c r="H177" i="25"/>
  <c r="G177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AC25" i="31" l="1"/>
  <c r="F176" i="25"/>
  <c r="H176" i="25"/>
  <c r="G176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75" i="25"/>
  <c r="H175" i="25"/>
  <c r="G175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74" i="25"/>
  <c r="G174" i="25"/>
  <c r="H174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3" i="25"/>
  <c r="G173" i="25"/>
  <c r="H173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H19" i="90"/>
  <c r="C85" i="90"/>
  <c r="H85" i="90"/>
  <c r="F85" i="90"/>
  <c r="C19" i="90"/>
  <c r="M85" i="90"/>
  <c r="K85" i="90"/>
  <c r="K19" i="90"/>
  <c r="F19" i="90"/>
  <c r="M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72" i="25"/>
  <c r="H172" i="25"/>
  <c r="G172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71" i="25"/>
  <c r="G171" i="25"/>
  <c r="H171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0" i="25"/>
  <c r="H170" i="25"/>
  <c r="G170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M19" i="89"/>
  <c r="C85" i="89"/>
  <c r="F19" i="89"/>
  <c r="K85" i="89"/>
  <c r="H58" i="51"/>
  <c r="M85" i="89"/>
  <c r="H19" i="89"/>
  <c r="H85" i="89"/>
  <c r="K19" i="89"/>
  <c r="C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90" i="88"/>
  <c r="K90" i="88"/>
  <c r="H90" i="88"/>
  <c r="F90" i="88"/>
  <c r="C9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9" i="87"/>
  <c r="C91" i="88"/>
  <c r="M91" i="88"/>
  <c r="H91" i="88"/>
  <c r="C85" i="87"/>
  <c r="M25" i="88"/>
  <c r="K19" i="87"/>
  <c r="M85" i="87"/>
  <c r="H85" i="87"/>
  <c r="K85" i="87"/>
  <c r="F91" i="88"/>
  <c r="M19" i="87"/>
  <c r="F25" i="88"/>
  <c r="C19" i="87"/>
  <c r="F85" i="87"/>
  <c r="K91" i="88"/>
  <c r="H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7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9" i="25"/>
  <c r="G169" i="25"/>
  <c r="H169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C19" i="86"/>
  <c r="C85" i="86"/>
  <c r="H85" i="86"/>
  <c r="K85" i="86"/>
  <c r="M19" i="86"/>
  <c r="F19" i="86"/>
  <c r="F85" i="86"/>
  <c r="M85" i="86"/>
  <c r="H19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H22" i="43"/>
  <c r="M22" i="43"/>
  <c r="C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K8" i="58"/>
  <c r="F168" i="25"/>
  <c r="H168" i="25"/>
  <c r="G168" i="25"/>
  <c r="K33" i="25"/>
  <c r="F44" i="84"/>
  <c r="H44" i="84"/>
  <c r="G44" i="84"/>
  <c r="K5" i="84"/>
  <c r="F167" i="25"/>
  <c r="G167" i="25"/>
  <c r="H167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6" i="25"/>
  <c r="H166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6" i="25"/>
  <c r="K30" i="25"/>
  <c r="Z548" i="38" l="1"/>
  <c r="P548" i="38"/>
  <c r="O548" i="38"/>
  <c r="U548" i="38"/>
  <c r="F165" i="25"/>
  <c r="G165" i="25"/>
  <c r="H165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64" i="25"/>
  <c r="H164" i="25"/>
  <c r="G164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3" i="25"/>
  <c r="H163" i="25"/>
  <c r="G163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62" i="25"/>
  <c r="H162" i="25"/>
  <c r="G162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1" i="25"/>
  <c r="H161" i="25"/>
  <c r="G161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0" i="25"/>
  <c r="H160" i="25"/>
  <c r="G160" i="25"/>
  <c r="F159" i="25"/>
  <c r="H159" i="25"/>
  <c r="G159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8" i="25"/>
  <c r="H158" i="25"/>
  <c r="G158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7" i="25"/>
  <c r="H157" i="25"/>
  <c r="G157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6" i="25"/>
  <c r="H156" i="25"/>
  <c r="G156" i="25"/>
  <c r="F46" i="25"/>
  <c r="F54" i="43"/>
  <c r="H54" i="43"/>
  <c r="G54" i="43"/>
  <c r="M21" i="43"/>
  <c r="H21" i="43"/>
  <c r="K6" i="43"/>
  <c r="C21" i="40"/>
  <c r="K24" i="46"/>
  <c r="M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55" i="25"/>
  <c r="H155" i="25"/>
  <c r="G155" i="25"/>
  <c r="K24" i="25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54" i="25"/>
  <c r="H154" i="25"/>
  <c r="G154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3" i="25"/>
  <c r="H153" i="25"/>
  <c r="G153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52" i="25"/>
  <c r="G152" i="25"/>
  <c r="H152" i="25"/>
  <c r="O508" i="38" l="1"/>
  <c r="Z508" i="38"/>
  <c r="P507" i="38"/>
  <c r="N507" i="38"/>
  <c r="F151" i="25"/>
  <c r="G151" i="25"/>
  <c r="H151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50" i="25"/>
  <c r="G150" i="25"/>
  <c r="H150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9" i="25"/>
  <c r="H149" i="25"/>
  <c r="G149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8" i="25"/>
  <c r="H148" i="25"/>
  <c r="G148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7" i="25"/>
  <c r="H147" i="25"/>
  <c r="G147" i="25"/>
  <c r="K20" i="25"/>
  <c r="H108" i="81"/>
  <c r="G108" i="81"/>
  <c r="F108" i="81"/>
  <c r="H107" i="81"/>
  <c r="G107" i="81"/>
  <c r="F107" i="81"/>
  <c r="K86" i="81"/>
  <c r="F86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6" i="25"/>
  <c r="H146" i="25"/>
  <c r="G146" i="25"/>
  <c r="K19" i="25"/>
  <c r="M97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45" i="25"/>
  <c r="H145" i="25"/>
  <c r="G145" i="25"/>
  <c r="K18" i="25"/>
  <c r="F144" i="25"/>
  <c r="H144" i="25"/>
  <c r="G144" i="25"/>
  <c r="K17" i="25"/>
  <c r="P486" i="38" l="1"/>
  <c r="N486" i="38"/>
  <c r="F143" i="25"/>
  <c r="G143" i="25"/>
  <c r="H143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85" i="85"/>
  <c r="C85" i="85"/>
  <c r="K19" i="85"/>
  <c r="H19" i="85"/>
  <c r="M19" i="85"/>
  <c r="F19" i="85"/>
  <c r="C19" i="85"/>
  <c r="M85" i="85"/>
  <c r="H85" i="85"/>
  <c r="K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9" i="83"/>
  <c r="M107" i="84"/>
  <c r="K85" i="83"/>
  <c r="H19" i="83"/>
  <c r="C25" i="84"/>
  <c r="F107" i="84"/>
  <c r="K107" i="84"/>
  <c r="C85" i="83"/>
  <c r="M19" i="83"/>
  <c r="H25" i="84"/>
  <c r="H107" i="84"/>
  <c r="M25" i="84"/>
  <c r="C107" i="84"/>
  <c r="C19" i="83"/>
  <c r="H85" i="83"/>
  <c r="F25" i="84"/>
  <c r="F85" i="83"/>
  <c r="F19" i="83"/>
  <c r="M85" i="83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42" i="25"/>
  <c r="G142" i="25"/>
  <c r="H142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60" i="82"/>
  <c r="H19" i="82"/>
  <c r="H60" i="82"/>
  <c r="K60" i="82"/>
  <c r="C19" i="82"/>
  <c r="F60" i="82"/>
  <c r="H18" i="74"/>
  <c r="C18" i="74"/>
  <c r="M60" i="82"/>
  <c r="F19" i="82"/>
  <c r="M18" i="74"/>
  <c r="M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1" i="25"/>
  <c r="G141" i="25"/>
  <c r="H141" i="25"/>
  <c r="K15" i="25"/>
  <c r="F29" i="78"/>
  <c r="H29" i="78"/>
  <c r="G29" i="78"/>
  <c r="F29" i="70"/>
  <c r="H29" i="70"/>
  <c r="G29" i="70"/>
  <c r="K5" i="51"/>
  <c r="F6" i="70"/>
  <c r="F140" i="25"/>
  <c r="H140" i="25"/>
  <c r="G140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03" i="46"/>
  <c r="G103" i="46"/>
  <c r="F103" i="46"/>
  <c r="H102" i="46"/>
  <c r="G102" i="46"/>
  <c r="F102" i="46"/>
  <c r="H101" i="46"/>
  <c r="G101" i="46"/>
  <c r="F101" i="46"/>
  <c r="H100" i="46"/>
  <c r="G100" i="46"/>
  <c r="F100" i="46"/>
  <c r="H99" i="46"/>
  <c r="G99" i="46"/>
  <c r="F99" i="46"/>
  <c r="H98" i="46"/>
  <c r="G98" i="46"/>
  <c r="F98" i="46"/>
  <c r="H97" i="46"/>
  <c r="G97" i="46"/>
  <c r="F97" i="46"/>
  <c r="H96" i="46"/>
  <c r="G96" i="46"/>
  <c r="F96" i="46"/>
  <c r="H95" i="46"/>
  <c r="G95" i="46"/>
  <c r="F95" i="46"/>
  <c r="H94" i="46"/>
  <c r="G94" i="46"/>
  <c r="F94" i="46"/>
  <c r="H93" i="46"/>
  <c r="G93" i="46"/>
  <c r="F93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9" i="25"/>
  <c r="H139" i="25"/>
  <c r="G139" i="25"/>
  <c r="K14" i="25"/>
  <c r="H78" i="75"/>
  <c r="C96" i="31"/>
  <c r="M78" i="75"/>
  <c r="K96" i="31"/>
  <c r="H96" i="31"/>
  <c r="M96" i="31"/>
  <c r="F96" i="31"/>
  <c r="C78" i="75"/>
  <c r="F78" i="75"/>
  <c r="K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19" i="64"/>
  <c r="H85" i="64"/>
  <c r="K19" i="64"/>
  <c r="M85" i="64"/>
  <c r="H19" i="64"/>
  <c r="K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8" i="25"/>
  <c r="H138" i="25"/>
  <c r="G138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2" i="81"/>
  <c r="K102" i="81"/>
  <c r="H102" i="81"/>
  <c r="F102" i="81"/>
  <c r="C102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9" i="81"/>
  <c r="F27" i="63"/>
  <c r="G27" i="63"/>
  <c r="H27" i="63"/>
  <c r="H103" i="81"/>
  <c r="F103" i="81"/>
  <c r="K103" i="81"/>
  <c r="F30" i="81"/>
  <c r="M30" i="81"/>
  <c r="M103" i="81"/>
  <c r="C103" i="81"/>
  <c r="H30" i="81"/>
  <c r="O468" i="38" l="1"/>
  <c r="Z468" i="38"/>
  <c r="M84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7" i="25"/>
  <c r="H137" i="25"/>
  <c r="G137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M19" i="80"/>
  <c r="K19" i="80"/>
  <c r="F19" i="80"/>
  <c r="M85" i="80"/>
  <c r="C19" i="80"/>
  <c r="C85" i="80"/>
  <c r="H85" i="80"/>
  <c r="K85" i="80"/>
  <c r="F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M65" i="79"/>
  <c r="F65" i="79"/>
  <c r="K65" i="79"/>
  <c r="K19" i="79"/>
  <c r="F19" i="79"/>
  <c r="H65" i="79"/>
  <c r="C19" i="79"/>
  <c r="C65" i="79"/>
  <c r="H19" i="79"/>
  <c r="M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6" i="25"/>
  <c r="G136" i="25"/>
  <c r="H136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35" i="25"/>
  <c r="H135" i="25"/>
  <c r="G135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34" i="25"/>
  <c r="G134" i="25"/>
  <c r="H134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3" i="25"/>
  <c r="H133" i="25"/>
  <c r="G133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32" i="25"/>
  <c r="G132" i="25"/>
  <c r="H132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H85" i="78"/>
  <c r="C19" i="78"/>
  <c r="H19" i="78"/>
  <c r="F19" i="78"/>
  <c r="F85" i="78"/>
  <c r="M19" i="78"/>
  <c r="C85" i="78"/>
  <c r="K85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96" i="25"/>
  <c r="F131" i="25"/>
  <c r="H131" i="25"/>
  <c r="G131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9" i="77"/>
  <c r="M19" i="77"/>
  <c r="C19" i="77"/>
  <c r="C89" i="77"/>
  <c r="M89" i="77"/>
  <c r="H89" i="77"/>
  <c r="H19" i="77"/>
  <c r="F89" i="77"/>
  <c r="F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0" i="25"/>
  <c r="H130" i="25"/>
  <c r="G130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9" i="25"/>
  <c r="H129" i="25"/>
  <c r="G129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8" i="25"/>
  <c r="H128" i="25"/>
  <c r="G128" i="25"/>
  <c r="F33" i="25"/>
  <c r="F266" i="7"/>
  <c r="H266" i="7"/>
  <c r="G266" i="7"/>
  <c r="K102" i="7"/>
  <c r="G23" i="50"/>
  <c r="K23" i="50" s="1"/>
  <c r="F23" i="50"/>
  <c r="M18" i="50"/>
  <c r="C18" i="50"/>
  <c r="F18" i="50"/>
  <c r="F127" i="25"/>
  <c r="H127" i="25"/>
  <c r="G127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6" i="25"/>
  <c r="H126" i="25"/>
  <c r="G126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25" i="25"/>
  <c r="H125" i="25"/>
  <c r="G125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24" i="25"/>
  <c r="H124" i="25"/>
  <c r="G124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23" i="25"/>
  <c r="H123" i="25"/>
  <c r="G123" i="25"/>
  <c r="O416" i="38" l="1"/>
  <c r="Z416" i="38"/>
  <c r="E415" i="38"/>
  <c r="H415" i="38"/>
  <c r="K415" i="38"/>
  <c r="L415" i="38" s="1"/>
  <c r="P415" i="38" s="1"/>
  <c r="M415" i="38"/>
  <c r="U415" i="38" s="1"/>
  <c r="S415" i="38"/>
  <c r="F122" i="25"/>
  <c r="H122" i="25"/>
  <c r="G122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1" i="25"/>
  <c r="H121" i="25"/>
  <c r="G121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F77" i="69"/>
  <c r="H77" i="69"/>
  <c r="K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0" i="25"/>
  <c r="H120" i="25"/>
  <c r="G120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F19" i="76"/>
  <c r="C19" i="76"/>
  <c r="H19" i="76"/>
  <c r="K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9" i="25"/>
  <c r="H119" i="25"/>
  <c r="G119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8" i="25"/>
  <c r="G118" i="25"/>
  <c r="H118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7" i="25"/>
  <c r="H117" i="25"/>
  <c r="G117" i="25"/>
  <c r="K6" i="25"/>
  <c r="O390" i="38" l="1"/>
  <c r="Z390" i="38"/>
  <c r="N389" i="38"/>
  <c r="P389" i="38"/>
  <c r="F116" i="25"/>
  <c r="G116" i="25"/>
  <c r="H116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15" i="25"/>
  <c r="G115" i="25"/>
  <c r="H115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14" i="25"/>
  <c r="G114" i="25"/>
  <c r="H114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3" i="25"/>
  <c r="G113" i="25"/>
  <c r="H113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12" i="25"/>
  <c r="G112" i="25"/>
  <c r="H112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11" i="25"/>
  <c r="G111" i="25"/>
  <c r="H111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0" i="25"/>
  <c r="G110" i="25"/>
  <c r="H110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9" i="25"/>
  <c r="G109" i="25"/>
  <c r="H109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8" i="25"/>
  <c r="G108" i="25"/>
  <c r="H108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7" i="25"/>
  <c r="H107" i="25"/>
  <c r="G107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6" i="25"/>
  <c r="G106" i="25"/>
  <c r="H106" i="25"/>
  <c r="E372" i="38"/>
  <c r="H372" i="38"/>
  <c r="K372" i="38"/>
  <c r="L372" i="38" s="1"/>
  <c r="M372" i="38"/>
  <c r="U372" i="38" s="1"/>
  <c r="S372" i="38"/>
  <c r="N372" i="38" l="1"/>
  <c r="P372" i="38"/>
  <c r="F105" i="25"/>
  <c r="G105" i="25"/>
  <c r="H105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04" i="25"/>
  <c r="G104" i="25"/>
  <c r="H104" i="25"/>
  <c r="F21" i="25"/>
  <c r="F73" i="51"/>
  <c r="G73" i="51"/>
  <c r="H73" i="51"/>
  <c r="F11" i="51"/>
  <c r="F10" i="51"/>
  <c r="F9" i="51"/>
  <c r="K93" i="68"/>
  <c r="F93" i="68"/>
  <c r="M93" i="68"/>
  <c r="H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3" i="25"/>
  <c r="G103" i="25"/>
  <c r="H103" i="25"/>
  <c r="K2" i="25"/>
  <c r="K96" i="25" s="1"/>
  <c r="K97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02" i="25"/>
  <c r="G102" i="25"/>
  <c r="H102" i="25"/>
  <c r="F20" i="25"/>
  <c r="F71" i="51"/>
  <c r="G71" i="51"/>
  <c r="H71" i="51"/>
  <c r="F7" i="51"/>
  <c r="P364" i="38" l="1"/>
  <c r="N364" i="38"/>
  <c r="K80" i="53"/>
  <c r="F80" i="53"/>
  <c r="H101" i="25"/>
  <c r="G101" i="25"/>
  <c r="F101" i="25"/>
  <c r="M777" i="25"/>
  <c r="H777" i="25"/>
  <c r="C777" i="25"/>
  <c r="F753" i="25"/>
  <c r="F752" i="25"/>
  <c r="F751" i="25"/>
  <c r="F750" i="25"/>
  <c r="F749" i="25"/>
  <c r="F748" i="25"/>
  <c r="F747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F659" i="25"/>
  <c r="F658" i="25"/>
  <c r="F657" i="25"/>
  <c r="K656" i="25"/>
  <c r="F656" i="25"/>
  <c r="F655" i="25"/>
  <c r="F654" i="25"/>
  <c r="F653" i="25"/>
  <c r="F652" i="25"/>
  <c r="F651" i="25"/>
  <c r="F650" i="25"/>
  <c r="F649" i="25"/>
  <c r="F648" i="25"/>
  <c r="F647" i="25"/>
  <c r="F646" i="25"/>
  <c r="F645" i="25"/>
  <c r="F644" i="25"/>
  <c r="F643" i="25"/>
  <c r="F642" i="25"/>
  <c r="F641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778" i="25"/>
  <c r="M778" i="25"/>
  <c r="C778" i="25"/>
  <c r="K778" i="25"/>
  <c r="F778" i="25"/>
  <c r="O364" i="38" l="1"/>
  <c r="Z364" i="38"/>
  <c r="N363" i="38"/>
  <c r="F777" i="25"/>
  <c r="K777" i="25"/>
  <c r="P363" i="38"/>
  <c r="O363" i="38" l="1"/>
  <c r="Z363" i="38"/>
  <c r="M514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4" i="43"/>
  <c r="H84" i="43"/>
  <c r="C84" i="43"/>
  <c r="P24" i="43"/>
  <c r="P23" i="43"/>
  <c r="P22" i="43"/>
  <c r="P21" i="43"/>
  <c r="P20" i="43"/>
  <c r="P19" i="43"/>
  <c r="P18" i="43"/>
  <c r="K77" i="43"/>
  <c r="K84" i="43" s="1"/>
  <c r="F77" i="43"/>
  <c r="F84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9" i="46"/>
  <c r="H89" i="46"/>
  <c r="C89" i="46"/>
  <c r="P25" i="46"/>
  <c r="P24" i="46"/>
  <c r="P23" i="46"/>
  <c r="P22" i="46"/>
  <c r="P21" i="46"/>
  <c r="P20" i="46"/>
  <c r="P19" i="46"/>
  <c r="K79" i="46"/>
  <c r="K78" i="46"/>
  <c r="F78" i="46"/>
  <c r="K77" i="46"/>
  <c r="F77" i="46"/>
  <c r="H27" i="46"/>
  <c r="G27" i="46"/>
  <c r="F27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3" i="58"/>
  <c r="H173" i="58"/>
  <c r="C173" i="58"/>
  <c r="K164" i="58"/>
  <c r="F164" i="58"/>
  <c r="K163" i="58"/>
  <c r="F163" i="58"/>
  <c r="K157" i="58"/>
  <c r="F157" i="58"/>
  <c r="H147" i="58"/>
  <c r="G147" i="58"/>
  <c r="F147" i="58"/>
  <c r="H146" i="58"/>
  <c r="G146" i="58"/>
  <c r="F146" i="58"/>
  <c r="H145" i="58"/>
  <c r="G145" i="58"/>
  <c r="F145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P37" i="58"/>
  <c r="H132" i="58"/>
  <c r="G132" i="58"/>
  <c r="F132" i="58"/>
  <c r="P36" i="58"/>
  <c r="H131" i="58"/>
  <c r="G131" i="58"/>
  <c r="F131" i="58"/>
  <c r="P35" i="58"/>
  <c r="H130" i="58"/>
  <c r="G130" i="58"/>
  <c r="F130" i="58"/>
  <c r="P34" i="58"/>
  <c r="H129" i="58"/>
  <c r="G129" i="58"/>
  <c r="F129" i="58"/>
  <c r="P33" i="58"/>
  <c r="P32" i="58"/>
  <c r="P31" i="58"/>
  <c r="P30" i="58"/>
  <c r="H125" i="58"/>
  <c r="G125" i="58"/>
  <c r="F125" i="58"/>
  <c r="P29" i="58"/>
  <c r="H124" i="58"/>
  <c r="G124" i="58"/>
  <c r="F124" i="58"/>
  <c r="P28" i="58"/>
  <c r="H123" i="58"/>
  <c r="G123" i="58"/>
  <c r="F123" i="58"/>
  <c r="P27" i="58"/>
  <c r="H122" i="58"/>
  <c r="G122" i="58"/>
  <c r="F122" i="58"/>
  <c r="P26" i="58"/>
  <c r="H121" i="58"/>
  <c r="G121" i="58"/>
  <c r="F121" i="58"/>
  <c r="P25" i="58"/>
  <c r="H120" i="58"/>
  <c r="G120" i="58"/>
  <c r="F120" i="58"/>
  <c r="P24" i="58"/>
  <c r="H119" i="58"/>
  <c r="G119" i="58"/>
  <c r="F119" i="58"/>
  <c r="P23" i="58"/>
  <c r="H118" i="58"/>
  <c r="G118" i="58"/>
  <c r="F118" i="58"/>
  <c r="P22" i="58"/>
  <c r="H117" i="58"/>
  <c r="G117" i="58"/>
  <c r="F117" i="58"/>
  <c r="P21" i="58"/>
  <c r="H116" i="58"/>
  <c r="G116" i="58"/>
  <c r="F116" i="58"/>
  <c r="P20" i="58"/>
  <c r="H115" i="58"/>
  <c r="G115" i="58"/>
  <c r="F115" i="58"/>
  <c r="P19" i="58"/>
  <c r="H114" i="58"/>
  <c r="G114" i="58"/>
  <c r="F114" i="58"/>
  <c r="P18" i="58"/>
  <c r="H113" i="58"/>
  <c r="G113" i="58"/>
  <c r="F113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H260" i="25"/>
  <c r="G260" i="25"/>
  <c r="H259" i="25"/>
  <c r="G259" i="25"/>
  <c r="H258" i="25"/>
  <c r="G258" i="25"/>
  <c r="H257" i="25"/>
  <c r="G257" i="25"/>
  <c r="H256" i="25"/>
  <c r="G256" i="25"/>
  <c r="H255" i="25"/>
  <c r="G255" i="25"/>
  <c r="H96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Q11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25" i="31"/>
  <c r="K65" i="63"/>
  <c r="M19" i="55"/>
  <c r="C19" i="62"/>
  <c r="M75" i="41"/>
  <c r="F25" i="31"/>
  <c r="K30" i="40"/>
  <c r="C33" i="58"/>
  <c r="M23" i="17"/>
  <c r="H72" i="59"/>
  <c r="C90" i="72"/>
  <c r="F51" i="54"/>
  <c r="C19" i="72"/>
  <c r="F451" i="17"/>
  <c r="C213" i="57"/>
  <c r="K23" i="57"/>
  <c r="H19" i="75"/>
  <c r="C19" i="34"/>
  <c r="F67" i="60"/>
  <c r="M19" i="52"/>
  <c r="C55" i="50"/>
  <c r="C19" i="70"/>
  <c r="M72" i="59"/>
  <c r="M119" i="7"/>
  <c r="C19" i="59"/>
  <c r="F19" i="52"/>
  <c r="H156" i="49"/>
  <c r="F19" i="72"/>
  <c r="H33" i="58"/>
  <c r="K67" i="60"/>
  <c r="F85" i="64"/>
  <c r="K19" i="55"/>
  <c r="C77" i="70"/>
  <c r="M19" i="70"/>
  <c r="M19" i="63"/>
  <c r="C19" i="69"/>
  <c r="H90" i="72"/>
  <c r="H19" i="68"/>
  <c r="C19" i="71"/>
  <c r="M19" i="60"/>
  <c r="F81" i="61"/>
  <c r="F19" i="64"/>
  <c r="C94" i="52"/>
  <c r="K19" i="75"/>
  <c r="C23" i="17"/>
  <c r="F19" i="61"/>
  <c r="M19" i="71"/>
  <c r="K19" i="34"/>
  <c r="H65" i="71"/>
  <c r="C19" i="68"/>
  <c r="K77" i="70"/>
  <c r="K63" i="66"/>
  <c r="H19" i="53"/>
  <c r="H100" i="34"/>
  <c r="H19" i="61"/>
  <c r="K86" i="53"/>
  <c r="M19" i="54"/>
  <c r="C75" i="41"/>
  <c r="F19" i="63"/>
  <c r="C97" i="25"/>
  <c r="M174" i="58"/>
  <c r="F77" i="70"/>
  <c r="C19" i="73"/>
  <c r="F99" i="45"/>
  <c r="F119" i="7"/>
  <c r="K19" i="50"/>
  <c r="F19" i="73"/>
  <c r="H19" i="54"/>
  <c r="H65" i="63"/>
  <c r="H19" i="60"/>
  <c r="C19" i="41"/>
  <c r="M19" i="69"/>
  <c r="F23" i="17"/>
  <c r="C30" i="49"/>
  <c r="F19" i="50"/>
  <c r="M19" i="3"/>
  <c r="F72" i="59"/>
  <c r="M19" i="75"/>
  <c r="M19" i="45"/>
  <c r="F19" i="54"/>
  <c r="M100" i="34"/>
  <c r="F19" i="34"/>
  <c r="M19" i="61"/>
  <c r="M19" i="34"/>
  <c r="M86" i="53"/>
  <c r="C30" i="40"/>
  <c r="C19" i="66"/>
  <c r="H63" i="66"/>
  <c r="K19" i="54"/>
  <c r="K19" i="59"/>
  <c r="F90" i="72"/>
  <c r="M65" i="63"/>
  <c r="M55" i="50"/>
  <c r="K19" i="3"/>
  <c r="C19" i="75"/>
  <c r="M19" i="59"/>
  <c r="F75" i="41"/>
  <c r="C119" i="7"/>
  <c r="H19" i="3"/>
  <c r="K156" i="49"/>
  <c r="C174" i="58"/>
  <c r="K19" i="70"/>
  <c r="K100" i="34"/>
  <c r="H19" i="71"/>
  <c r="H19" i="73"/>
  <c r="M94" i="52"/>
  <c r="H51" i="54"/>
  <c r="C72" i="59"/>
  <c r="M451" i="17"/>
  <c r="K119" i="7"/>
  <c r="H213" i="57"/>
  <c r="M30" i="40"/>
  <c r="F94" i="52"/>
  <c r="F19" i="66"/>
  <c r="H99" i="45"/>
  <c r="F33" i="58"/>
  <c r="C19" i="60"/>
  <c r="F30" i="40"/>
  <c r="H19" i="34"/>
  <c r="M19" i="50"/>
  <c r="M19" i="72"/>
  <c r="K174" i="58"/>
  <c r="C85" i="64"/>
  <c r="K23" i="17"/>
  <c r="K58" i="51"/>
  <c r="F213" i="57"/>
  <c r="C25" i="31"/>
  <c r="K19" i="66"/>
  <c r="K19" i="61"/>
  <c r="H19" i="72"/>
  <c r="C63" i="66"/>
  <c r="C19" i="54"/>
  <c r="C19" i="45"/>
  <c r="F65" i="71"/>
  <c r="C451" i="17"/>
  <c r="M99" i="45"/>
  <c r="C99" i="45"/>
  <c r="H19" i="69"/>
  <c r="K51" i="54"/>
  <c r="M63" i="66"/>
  <c r="K19" i="62"/>
  <c r="H30" i="40"/>
  <c r="M65" i="71"/>
  <c r="H97" i="25"/>
  <c r="K33" i="58"/>
  <c r="C65" i="71"/>
  <c r="F63" i="66"/>
  <c r="C67" i="60"/>
  <c r="F19" i="70"/>
  <c r="F174" i="58"/>
  <c r="F19" i="59"/>
  <c r="M30" i="49"/>
  <c r="M90" i="72"/>
  <c r="K451" i="17"/>
  <c r="H19" i="62"/>
  <c r="H19" i="41"/>
  <c r="K19" i="60"/>
  <c r="M23" i="57"/>
  <c r="F65" i="63"/>
  <c r="K19" i="52"/>
  <c r="K19" i="69"/>
  <c r="H67" i="60"/>
  <c r="H94" i="52"/>
  <c r="C19" i="55"/>
  <c r="H19" i="66"/>
  <c r="F30" i="49"/>
  <c r="K18" i="74"/>
  <c r="K19" i="72"/>
  <c r="F55" i="50"/>
  <c r="H86" i="53"/>
  <c r="H77" i="70"/>
  <c r="K81" i="61"/>
  <c r="F19" i="75"/>
  <c r="C51" i="54"/>
  <c r="M19" i="53"/>
  <c r="K72" i="59"/>
  <c r="H81" i="61"/>
  <c r="F156" i="49"/>
  <c r="K19" i="41"/>
  <c r="C19" i="53"/>
  <c r="C156" i="49"/>
  <c r="M33" i="58"/>
  <c r="K90" i="72"/>
  <c r="M58" i="51"/>
  <c r="H119" i="7"/>
  <c r="K94" i="52"/>
  <c r="K19" i="53"/>
  <c r="H19" i="50"/>
  <c r="H451" i="17"/>
  <c r="F19" i="62"/>
  <c r="F19" i="55"/>
  <c r="F19" i="71"/>
  <c r="C19" i="3"/>
  <c r="C100" i="34"/>
  <c r="H19" i="55"/>
  <c r="K75" i="41"/>
  <c r="C65" i="63"/>
  <c r="K25" i="31"/>
  <c r="M156" i="49"/>
  <c r="H55" i="50"/>
  <c r="M19" i="62"/>
  <c r="M19" i="66"/>
  <c r="F23" i="57"/>
  <c r="F19" i="69"/>
  <c r="K19" i="73"/>
  <c r="F22" i="43"/>
  <c r="H19" i="59"/>
  <c r="H19" i="52"/>
  <c r="M25" i="31"/>
  <c r="C19" i="52"/>
  <c r="H23" i="17"/>
  <c r="K213" i="57"/>
  <c r="M81" i="61"/>
  <c r="C19" i="64"/>
  <c r="K19" i="68"/>
  <c r="F97" i="25"/>
  <c r="F18" i="74"/>
  <c r="F19" i="60"/>
  <c r="M19" i="41"/>
  <c r="C19" i="63"/>
  <c r="K65" i="71"/>
  <c r="M213" i="57"/>
  <c r="C86" i="53"/>
  <c r="F58" i="51"/>
  <c r="M51" i="54"/>
  <c r="C23" i="57"/>
  <c r="F19" i="68"/>
  <c r="C81" i="61"/>
  <c r="F100" i="34"/>
  <c r="K19" i="71"/>
  <c r="C19" i="61"/>
  <c r="M67" i="60"/>
  <c r="M19" i="68"/>
  <c r="K55" i="50"/>
  <c r="F19" i="45"/>
  <c r="H30" i="49"/>
  <c r="F86" i="53"/>
  <c r="H19" i="70"/>
  <c r="H174" i="58"/>
  <c r="M77" i="70"/>
  <c r="K30" i="49"/>
  <c r="H75" i="41"/>
  <c r="H19" i="63"/>
  <c r="M19" i="73"/>
  <c r="C19" i="50"/>
  <c r="F19" i="41"/>
  <c r="F19" i="53"/>
  <c r="F19" i="3"/>
  <c r="K19" i="63"/>
  <c r="K99" i="45"/>
  <c r="V688" i="38" l="1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6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73" i="58"/>
  <c r="K173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9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9" i="46"/>
  <c r="F51" i="24"/>
  <c r="F120" i="40"/>
  <c r="M75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688" i="38" l="1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5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75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86" i="38" l="1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0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<sst xmlns="http://schemas.openxmlformats.org/spreadsheetml/2006/main" count="7750" uniqueCount="1224">
  <si>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</si>
  <si>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</si>
  <si>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</si>
  <si>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</si>
  <si>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</si>
  <si>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</si>
  <si>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</si>
  <si>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</si>
  <si>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</si>
  <si>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</si>
  <si>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</si>
  <si>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</si>
  <si>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</si>
  <si>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</si>
  <si>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</si>
  <si>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</si>
  <si>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</si>
  <si>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</si>
  <si>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</si>
  <si>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</si>
  <si>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</si>
  <si>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</si>
  <si>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</si>
  <si>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</si>
  <si>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</si>
  <si>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</si>
  <si>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</si>
  <si>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</si>
  <si>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</si>
  <si>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</si>
  <si>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</si>
  <si>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</si>
  <si>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</si>
  <si>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</si>
  <si>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</si>
  <si>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</si>
  <si>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</si>
  <si>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</si>
  <si>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</si>
  <si>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</si>
  <si>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</si>
  <si>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</si>
  <si>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</si>
  <si>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</si>
  <si>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</si>
  <si>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</si>
  <si>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</si>
  <si>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</si>
  <si>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</si>
  <si>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</si>
  <si>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</si>
  <si>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</si>
  <si>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</si>
  <si>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</si>
  <si>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</si>
  <si>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</si>
  <si>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</si>
  <si>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</si>
  <si>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</si>
  <si>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</si>
  <si>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</si>
  <si>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</si>
  <si>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</si>
  <si>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</si>
  <si>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</si>
  <si>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</si>
  <si>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</si>
  <si>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</si>
  <si>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</si>
  <si>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</si>
  <si>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</si>
  <si>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</si>
  <si>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</si>
  <si>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</si>
  <si>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</si>
  <si>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</si>
  <si>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</si>
  <si>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</si>
  <si>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</si>
  <si>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</si>
  <si>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</si>
  <si>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</si>
  <si>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</si>
  <si>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</si>
  <si>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</si>
  <si>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</si>
  <si>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</si>
  <si>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</si>
  <si>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</si>
  <si>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</si>
  <si>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</si>
  <si>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</si>
  <si>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</si>
  <si>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</si>
  <si>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</si>
  <si>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</si>
  <si>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</si>
  <si>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</si>
  <si>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</si>
  <si>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</si>
  <si>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</si>
  <si>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</si>
  <si>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</si>
  <si>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</si>
  <si>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</si>
  <si>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</si>
  <si>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</si>
  <si>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</si>
  <si>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</si>
  <si>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</si>
  <si>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</si>
  <si>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</si>
  <si>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</si>
  <si>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</si>
  <si>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</si>
  <si>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</si>
  <si>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</si>
  <si>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</si>
  <si>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</si>
  <si>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</si>
  <si>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</si>
  <si>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</si>
  <si>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</si>
  <si>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</si>
  <si>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</si>
  <si>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</si>
  <si>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</si>
  <si>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</si>
  <si>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</si>
  <si>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</si>
  <si>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</si>
  <si>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</si>
  <si>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</si>
  <si>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</si>
  <si>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</si>
  <si>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</si>
  <si>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</si>
  <si>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</si>
  <si>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</si>
  <si>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</si>
  <si>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</si>
  <si>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</si>
  <si>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</si>
  <si>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</si>
  <si>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</si>
  <si>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</si>
  <si>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</si>
  <si>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</si>
  <si>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</si>
  <si>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</si>
  <si>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</si>
  <si>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</si>
  <si>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</si>
  <si>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</si>
  <si>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</si>
  <si>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</si>
  <si>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</si>
  <si>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</si>
  <si>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</si>
  <si>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</si>
  <si>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</si>
  <si>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</si>
  <si>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</si>
  <si>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</si>
  <si>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</si>
  <si>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</si>
  <si>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</si>
  <si>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</si>
  <si>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</si>
  <si>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</si>
  <si>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</si>
  <si>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</si>
  <si>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</si>
  <si>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</si>
  <si>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</si>
  <si>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</si>
  <si>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</si>
  <si>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</si>
  <si>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</si>
  <si>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</si>
  <si>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</si>
  <si>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</si>
  <si>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</si>
  <si>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</si>
  <si>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</si>
  <si>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</si>
  <si>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</si>
  <si>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</si>
  <si>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</si>
  <si>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</si>
  <si>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</si>
  <si>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</si>
  <si>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</si>
  <si>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</si>
  <si>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</si>
  <si>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</si>
  <si>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</si>
  <si>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</si>
  <si>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</si>
  <si>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</si>
  <si>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</si>
  <si>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</si>
  <si>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</si>
  <si>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</si>
  <si>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</si>
  <si>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</si>
  <si>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</si>
  <si>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</si>
  <si>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</si>
  <si>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</si>
  <si>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</si>
  <si>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</si>
  <si>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</si>
  <si>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</si>
  <si>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</si>
  <si>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</si>
  <si>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</si>
  <si>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</si>
  <si>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</si>
  <si>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</si>
  <si>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</si>
  <si>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</si>
  <si>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</si>
  <si>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</si>
  <si>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</si>
  <si>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</si>
  <si>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</si>
  <si>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</si>
  <si>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</si>
  <si>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</si>
  <si>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</si>
  <si>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</si>
  <si>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</si>
  <si>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</si>
  <si>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</si>
  <si>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</si>
  <si>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</si>
  <si>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</si>
  <si>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</si>
  <si>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</si>
  <si>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</si>
  <si>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</si>
  <si>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</si>
  <si>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</si>
  <si>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</si>
  <si>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</si>
  <si>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</si>
  <si>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</si>
  <si>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</si>
  <si>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</si>
  <si>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</si>
  <si>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</si>
  <si>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</si>
  <si>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</si>
  <si>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</si>
  <si>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</si>
  <si>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</si>
  <si>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</si>
  <si>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</si>
  <si>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</si>
  <si>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</si>
  <si>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</si>
  <si>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</si>
  <si>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</si>
  <si>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</si>
  <si>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</si>
  <si>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</si>
  <si>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</si>
  <si>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</si>
  <si>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</si>
  <si>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</si>
  <si>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</si>
  <si>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</si>
  <si>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</si>
  <si>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</si>
  <si>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</si>
  <si>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</si>
  <si>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</si>
  <si>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</si>
  <si>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</si>
  <si>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</si>
  <si>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</si>
  <si>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</si>
  <si>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</si>
  <si>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</si>
  <si>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</si>
  <si>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</si>
  <si>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</si>
  <si>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</si>
  <si>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</si>
  <si>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</si>
  <si>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</si>
  <si>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</si>
  <si>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</si>
  <si>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</si>
  <si>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</si>
  <si>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</si>
  <si>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</si>
  <si>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</si>
  <si>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</si>
  <si>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</si>
  <si>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</si>
  <si>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</si>
  <si>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</si>
  <si>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</si>
  <si>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</si>
  <si>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</si>
  <si>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</si>
  <si>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</si>
  <si>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</si>
  <si>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</si>
  <si>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</si>
  <si>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</si>
  <si>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</si>
  <si>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</si>
  <si>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</si>
  <si>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</si>
  <si>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</si>
  <si>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</si>
  <si>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</si>
  <si>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</si>
  <si>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</si>
  <si>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</si>
  <si>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</si>
  <si>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</si>
  <si>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</si>
  <si>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</si>
  <si>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</si>
  <si>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</si>
  <si>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</si>
  <si>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</si>
  <si>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</si>
  <si>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</si>
  <si>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</si>
  <si>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</si>
  <si>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</si>
  <si>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</si>
  <si>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</si>
  <si>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</si>
  <si>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</si>
  <si>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</si>
  <si>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</si>
  <si>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</si>
  <si>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</si>
  <si>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</si>
  <si>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</si>
  <si>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</si>
  <si>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</si>
  <si>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</si>
  <si>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</si>
  <si>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</si>
  <si>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</si>
  <si>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</si>
  <si>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</si>
  <si>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</si>
  <si>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</si>
  <si>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</si>
  <si>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</si>
  <si>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</si>
  <si>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</si>
  <si>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</si>
  <si>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</si>
  <si>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</si>
  <si>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</si>
  <si>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</si>
  <si>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</si>
  <si>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</si>
  <si>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</si>
  <si>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</si>
  <si>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</si>
  <si>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</si>
  <si>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</si>
  <si>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</si>
  <si>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</si>
  <si>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</si>
  <si>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</si>
  <si>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</si>
  <si>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</si>
  <si>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</si>
  <si>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</si>
  <si>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</si>
  <si>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</si>
  <si>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</si>
  <si>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</si>
  <si>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</si>
  <si>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</si>
  <si>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</si>
  <si>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</si>
  <si>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</si>
  <si>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</si>
  <si>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</si>
  <si>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</si>
  <si>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</si>
  <si>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</si>
  <si>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</si>
  <si>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</si>
  <si>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</si>
  <si>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</si>
  <si>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</si>
  <si>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</si>
  <si>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</si>
  <si>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</si>
  <si>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</si>
  <si>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</si>
  <si>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</si>
  <si>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</si>
  <si>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</si>
  <si>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</si>
  <si>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</si>
  <si>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</si>
  <si>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</si>
  <si>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</si>
  <si>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</si>
  <si>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</si>
  <si>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</si>
  <si>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</si>
  <si>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</si>
  <si>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</si>
  <si>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</si>
  <si>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</si>
  <si>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</si>
  <si>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</si>
  <si>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</si>
  <si>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</si>
  <si>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</si>
  <si>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</si>
  <si>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</si>
  <si>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</si>
  <si>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</si>
  <si>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</si>
  <si>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</si>
  <si>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</si>
  <si>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</si>
  <si>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</si>
  <si>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</si>
  <si>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</si>
  <si>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</si>
  <si>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</si>
  <si>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</si>
  <si>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</si>
  <si>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</si>
  <si>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</si>
  <si>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</si>
  <si>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</si>
  <si>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</si>
  <si>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</si>
  <si>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</si>
  <si>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</si>
  <si>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</si>
  <si>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</si>
  <si>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</si>
  <si>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</si>
  <si>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</si>
  <si>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</si>
  <si>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</si>
  <si>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</si>
  <si>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</si>
  <si>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</si>
  <si>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</si>
  <si>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</si>
  <si>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</si>
  <si>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</si>
  <si>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</si>
  <si>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</si>
  <si>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</si>
  <si>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</si>
  <si>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</si>
  <si>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</si>
  <si>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</si>
  <si>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</si>
  <si>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</si>
  <si>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</si>
  <si>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</si>
  <si>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</si>
  <si>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</si>
  <si>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</si>
  <si>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</si>
  <si>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</si>
  <si>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</si>
  <si>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</si>
  <si>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</si>
  <si>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</si>
  <si>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</si>
  <si>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</si>
  <si>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</si>
  <si>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</si>
  <si>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</si>
  <si>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</si>
  <si>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</si>
  <si>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</si>
  <si>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</si>
  <si>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</si>
  <si>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</si>
  <si>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</si>
  <si>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</si>
  <si>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</si>
  <si>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</si>
  <si>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</si>
  <si>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</si>
  <si>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</si>
  <si>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</si>
  <si>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</si>
  <si>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</si>
  <si>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</si>
  <si>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</si>
  <si>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</si>
  <si>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</si>
  <si>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</si>
  <si>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</si>
  <si>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</si>
  <si>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</si>
  <si>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</si>
  <si>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</si>
  <si>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</si>
  <si>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</si>
  <si>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</si>
  <si>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</si>
  <si>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</si>
  <si>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</si>
  <si>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</si>
  <si>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</si>
  <si>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</si>
  <si>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</si>
  <si>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</si>
  <si>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</si>
  <si>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</si>
  <si>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</si>
  <si>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</si>
  <si>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</si>
  <si>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</si>
  <si>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</si>
  <si>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</si>
  <si>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</si>
  <si>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</si>
  <si>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</si>
  <si>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</si>
  <si>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</si>
  <si>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</si>
  <si>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</si>
  <si>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</si>
  <si>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</si>
  <si>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</si>
  <si>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</si>
  <si>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</si>
  <si>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</si>
  <si>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</si>
  <si>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</si>
  <si>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</si>
  <si>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</si>
  <si>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</si>
  <si>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</si>
  <si>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</si>
  <si>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</si>
  <si>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</si>
  <si>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</si>
  <si>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</si>
  <si>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</si>
  <si>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</si>
  <si>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</si>
  <si>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</si>
  <si>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</si>
  <si>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</si>
  <si>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</si>
  <si>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</si>
  <si>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</si>
  <si>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</si>
  <si>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</si>
  <si>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</si>
  <si>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</si>
  <si>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</si>
  <si>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</si>
  <si>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</si>
  <si>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</si>
  <si>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</si>
  <si>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</si>
  <si>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</si>
  <si>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</si>
  <si>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</si>
  <si>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</si>
  <si>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</si>
  <si>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</si>
  <si>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</si>
  <si>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</si>
  <si>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</si>
  <si>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</si>
  <si>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</si>
  <si>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</si>
  <si>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</si>
  <si>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</si>
  <si>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</si>
  <si>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</si>
  <si>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</si>
  <si>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</si>
  <si>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</si>
  <si>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</si>
  <si>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</si>
  <si>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</si>
  <si>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</si>
  <si>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</si>
  <si>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</si>
  <si>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</si>
  <si>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</si>
  <si>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</si>
  <si>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</si>
  <si>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</si>
  <si>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</si>
  <si>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</si>
  <si>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</si>
  <si>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</si>
  <si>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</si>
  <si>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</si>
  <si>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</si>
  <si>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</si>
  <si>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</si>
  <si>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</si>
  <si>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</si>
  <si>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</si>
  <si>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</si>
  <si>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</si>
  <si>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</si>
  <si>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</si>
  <si>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</si>
  <si>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</si>
  <si>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</si>
  <si>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</si>
  <si>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</si>
  <si>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</si>
  <si>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</si>
  <si>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</si>
  <si>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</si>
  <si>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</si>
  <si>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</si>
  <si>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</si>
  <si>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</si>
  <si>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</si>
  <si>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</si>
  <si>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</si>
  <si>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</si>
  <si>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</si>
  <si>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</si>
  <si>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</si>
  <si>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</si>
  <si>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</si>
  <si>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</si>
  <si>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</si>
  <si>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</si>
  <si>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</si>
  <si>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</si>
  <si>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</si>
  <si>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</si>
  <si>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</si>
  <si>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</si>
  <si>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</si>
  <si>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</si>
  <si>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</si>
  <si>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</si>
  <si>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</si>
  <si>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</si>
  <si>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</si>
  <si>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</si>
  <si>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</si>
  <si>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</si>
  <si>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</si>
  <si>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</si>
  <si>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</si>
  <si>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</si>
  <si>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</si>
  <si>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</si>
  <si>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</si>
  <si>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</si>
  <si>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</si>
  <si>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</si>
  <si>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</si>
  <si>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</si>
  <si>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</si>
  <si>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</si>
  <si>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</si>
  <si>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</si>
  <si>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</si>
  <si>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</si>
  <si>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</si>
  <si>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</si>
  <si>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</si>
  <si>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</si>
  <si>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</si>
  <si>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</si>
  <si>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</si>
  <si>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</si>
  <si>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</si>
  <si>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</si>
  <si>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</si>
  <si>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</si>
  <si>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</si>
  <si>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</si>
  <si>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</si>
  <si>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</si>
  <si>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</si>
  <si>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</si>
  <si>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</si>
  <si>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</si>
  <si>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</si>
  <si>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</si>
  <si>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</si>
  <si>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</si>
  <si>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</si>
  <si>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</si>
  <si>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</si>
  <si>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</si>
  <si>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</si>
  <si>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</si>
  <si>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</si>
  <si>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</si>
  <si>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</si>
  <si>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</si>
  <si>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</si>
  <si>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</si>
  <si>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</si>
  <si>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</si>
  <si>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</si>
  <si>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</si>
  <si>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</si>
  <si>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</si>
  <si>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</si>
  <si>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</si>
  <si>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</si>
  <si>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</si>
  <si>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</si>
  <si>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</si>
  <si>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</si>
  <si>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</si>
  <si>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</si>
  <si>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</si>
  <si>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</si>
  <si>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</si>
  <si>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</si>
  <si>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</si>
  <si>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</si>
  <si>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</si>
  <si>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</si>
  <si>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</si>
  <si>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</si>
  <si>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</si>
  <si>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</si>
  <si>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</si>
  <si>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</si>
  <si>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</si>
  <si>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</si>
  <si>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</si>
  <si>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</si>
  <si>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</si>
  <si>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</si>
  <si>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</si>
  <si>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</si>
  <si>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</si>
  <si>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</si>
  <si>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</si>
  <si>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</si>
  <si>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</si>
  <si>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</si>
  <si>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</si>
  <si>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</si>
  <si>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</si>
  <si>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</si>
  <si>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</si>
  <si>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</si>
  <si>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</si>
  <si>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</si>
  <si>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</si>
  <si>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</si>
  <si>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</si>
  <si>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</si>
  <si>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</si>
  <si>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</si>
  <si>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</si>
  <si>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</si>
  <si>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</si>
  <si>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</si>
  <si>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</si>
  <si>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</si>
  <si>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</si>
  <si>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</si>
  <si>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</si>
  <si>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</si>
  <si>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</si>
  <si>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</si>
  <si>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</si>
  <si>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</si>
  <si>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</si>
  <si>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</si>
  <si>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</si>
  <si>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</si>
  <si>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</si>
  <si>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</si>
  <si>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</si>
  <si>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</si>
  <si>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</si>
  <si>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</si>
  <si>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</si>
  <si>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</si>
  <si>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</si>
  <si>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</si>
  <si>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</si>
  <si>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</si>
  <si>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</si>
  <si>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</si>
  <si>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</si>
  <si>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</si>
  <si>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</si>
  <si>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</si>
  <si>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</si>
  <si>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</si>
  <si>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</si>
  <si>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</si>
  <si>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</si>
  <si>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</si>
  <si>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</si>
  <si>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</si>
  <si>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</si>
  <si>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</si>
  <si>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</si>
  <si>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</si>
  <si>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</si>
  <si>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</si>
  <si>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</si>
  <si>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</si>
  <si>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</si>
  <si>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</si>
  <si>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</si>
  <si>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</si>
  <si>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</si>
  <si>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</si>
  <si>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</si>
  <si>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</si>
  <si>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</si>
  <si>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</si>
  <si>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</si>
  <si>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</si>
  <si>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</si>
  <si>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</si>
  <si>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</si>
  <si>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</si>
  <si>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</si>
  <si>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</si>
  <si>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</si>
  <si>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</si>
  <si>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</si>
  <si>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</si>
  <si>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</si>
  <si>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</si>
  <si>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</si>
  <si>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</si>
  <si>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</si>
  <si>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</si>
  <si>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</si>
  <si>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</si>
  <si>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</si>
  <si>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</si>
  <si>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</si>
  <si>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</si>
  <si>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</si>
  <si>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</si>
  <si>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</si>
  <si>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</si>
  <si>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</si>
  <si>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</si>
  <si>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</si>
  <si>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</si>
  <si>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</si>
  <si>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</si>
  <si>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</si>
  <si>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</si>
  <si>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</si>
  <si>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</si>
  <si>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</si>
  <si>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</si>
  <si>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</si>
  <si>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</si>
  <si>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</si>
  <si>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</si>
  <si>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</si>
  <si>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</si>
  <si>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</si>
  <si>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</si>
  <si>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</si>
  <si>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</si>
  <si>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</si>
  <si>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</si>
  <si>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</si>
  <si>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</si>
  <si>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</si>
  <si>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</si>
  <si>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</si>
  <si>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</si>
  <si>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</si>
  <si>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</si>
  <si>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</si>
  <si>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</si>
  <si>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</si>
  <si>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</si>
  <si>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</si>
  <si>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</si>
  <si>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</si>
  <si>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</si>
  <si>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</si>
  <si>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</si>
  <si>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</si>
  <si>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</si>
  <si>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</si>
  <si>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</si>
  <si>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</si>
  <si>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</si>
  <si>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</si>
  <si>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</si>
  <si>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</si>
  <si>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</si>
  <si>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</si>
  <si>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</si>
  <si>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</si>
  <si>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</si>
  <si>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</si>
  <si>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</si>
  <si>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</si>
  <si>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</si>
  <si>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</si>
  <si>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</si>
  <si>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</si>
  <si>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</si>
  <si>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</si>
  <si>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</si>
  <si>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</si>
  <si>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</si>
  <si>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</si>
  <si>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</si>
  <si>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</si>
  <si>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</si>
  <si>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</si>
  <si>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</si>
  <si>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</si>
  <si>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</si>
  <si>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</si>
  <si>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</si>
  <si>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</si>
  <si>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</si>
  <si>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</si>
  <si>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</si>
  <si>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</si>
  <si>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</si>
  <si>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</si>
  <si>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</si>
  <si>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</si>
  <si>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</si>
  <si>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</si>
  <si>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</si>
  <si>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</si>
  <si>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</si>
  <si>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</si>
  <si>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</si>
  <si>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</si>
  <si>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</si>
  <si>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</si>
  <si>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</si>
  <si>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</si>
  <si>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</si>
  <si>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</si>
  <si>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</si>
  <si>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</si>
  <si>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</si>
  <si>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</si>
  <si>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</si>
  <si>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</si>
  <si>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</si>
  <si>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</si>
  <si>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</si>
  <si>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</si>
  <si>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</si>
  <si>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</si>
  <si>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</si>
  <si>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</si>
  <si>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</si>
  <si>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</si>
  <si>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</si>
  <si>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</si>
  <si>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</si>
  <si>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</si>
  <si>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</si>
  <si>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</si>
  <si>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</si>
  <si>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</si>
  <si>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</si>
  <si>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</si>
  <si>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</si>
  <si>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</si>
  <si>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</si>
  <si>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</si>
  <si>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</si>
  <si>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</si>
  <si>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</si>
  <si>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</si>
  <si>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</si>
  <si>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</si>
  <si>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</si>
  <si>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</si>
  <si>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</si>
  <si>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</si>
  <si>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</si>
  <si>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</si>
  <si>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</si>
  <si>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</si>
  <si>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</si>
  <si>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</si>
  <si>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</si>
  <si>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</si>
  <si>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</si>
  <si>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</si>
  <si>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</si>
  <si>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</si>
  <si>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</si>
  <si>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</si>
  <si>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</si>
  <si>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</si>
  <si>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</si>
  <si>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</si>
  <si>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</si>
  <si>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</si>
  <si>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</si>
  <si>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</si>
  <si>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</si>
  <si>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</si>
  <si>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</si>
  <si>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</si>
  <si>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</si>
  <si>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</si>
  <si>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</si>
  <si>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</si>
  <si>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</si>
  <si>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</si>
  <si>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</si>
  <si>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</si>
  <si>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</si>
  <si>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</si>
  <si>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</si>
  <si>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</si>
  <si>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</si>
  <si>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</si>
  <si>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</si>
  <si>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</si>
  <si>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</si>
  <si>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</si>
  <si>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</si>
  <si>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</si>
  <si>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</si>
  <si>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</si>
  <si>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</si>
  <si>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</si>
  <si>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</si>
  <si>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</si>
  <si>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</si>
  <si>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</si>
  <si>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</si>
  <si>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</si>
  <si>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</si>
  <si>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</si>
  <si>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</si>
  <si>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</si>
  <si>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</si>
  <si>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</si>
  <si>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</si>
  <si>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</si>
  <si>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</si>
  <si>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</si>
  <si>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</si>
  <si>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</si>
  <si>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</si>
  <si>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</si>
  <si>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</si>
  <si>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</si>
  <si>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</si>
  <si>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</si>
  <si>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</si>
  <si>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</si>
  <si>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</si>
  <si>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</si>
  <si>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</si>
  <si>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</si>
  <si>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</si>
  <si>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</si>
  <si>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</si>
  <si>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</si>
  <si>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</si>
  <si>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</si>
  <si>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</si>
  <si>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</si>
  <si>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</si>
  <si>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</si>
  <si>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</si>
  <si>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</si>
  <si>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</si>
  <si>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</si>
  <si>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</si>
  <si>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</si>
  <si>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</si>
  <si>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</si>
  <si>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</si>
  <si>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</si>
  <si>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</si>
  <si>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</si>
  <si>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</si>
  <si>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</si>
  <si>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</si>
  <si>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</si>
  <si>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</si>
  <si>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</si>
  <si>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</si>
  <si>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</si>
  <si>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</si>
  <si>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</si>
  <si>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</si>
  <si>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</si>
  <si>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</si>
  <si>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</si>
  <si>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</si>
  <si>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</si>
  <si>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</si>
  <si>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</si>
  <si>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</si>
  <si>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</si>
  <si>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</si>
  <si>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</si>
  <si>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</si>
  <si>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</si>
  <si>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</si>
  <si>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</si>
  <si>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</si>
  <si>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</si>
  <si>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</si>
  <si>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</si>
  <si>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7/26/2018 PM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</si>
  <si>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</si>
  <si>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</si>
  <si>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</si>
  <si>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</si>
  <si>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</si>
  <si>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</si>
  <si>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</si>
  <si>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</si>
  <si>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</si>
  <si>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</si>
  <si>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</si>
  <si>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</si>
  <si>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</si>
  <si>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</si>
  <si>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</si>
  <si>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</si>
  <si>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</si>
  <si>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8/30/2018 est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</si>
  <si>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</si>
  <si>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</si>
  <si>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</si>
  <si>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</si>
  <si>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</si>
  <si>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</si>
  <si>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</si>
  <si>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</si>
  <si>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</si>
  <si>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9/28/2018 est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</si>
  <si>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</si>
  <si>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</si>
  <si>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</si>
  <si>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</si>
  <si>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</si>
  <si>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</si>
  <si>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7/17/2018 PM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</si>
  <si>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</si>
  <si>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</si>
  <si>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</si>
  <si>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</si>
  <si>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</si>
  <si>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</si>
  <si>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</si>
  <si>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</si>
  <si>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</si>
  <si>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UAL ER PM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</si>
  <si>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</si>
  <si>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</si>
  <si>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</si>
  <si>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</si>
  <si>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</si>
  <si>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</si>
  <si>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</si>
  <si>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</si>
  <si>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</si>
  <si>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</si>
  <si>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</si>
  <si>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</si>
  <si>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</si>
  <si>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SBH ER est</t>
  </si>
  <si>
    <t>HSIC ER est</t>
  </si>
  <si>
    <t>Macy to open more bluemercury stores</t>
  </si>
  <si>
    <t>Investor day</t>
  </si>
  <si>
    <t>CEO Jeff harmening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</si>
  <si>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</si>
  <si>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</si>
  <si>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</si>
  <si>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</si>
  <si>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</si>
  <si>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</si>
  <si>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</si>
  <si>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</si>
  <si>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</si>
  <si>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</si>
  <si>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8/7/2018 PM</t>
  </si>
  <si>
    <t>LUV ER PM, AAL ER</t>
  </si>
  <si>
    <t>7/26/2018 AH</t>
  </si>
  <si>
    <t>10/3/2018 est</t>
  </si>
  <si>
    <t>8/23/2018 est</t>
  </si>
  <si>
    <t>8/3/2018 est</t>
  </si>
  <si>
    <t>8/2/2018 est</t>
  </si>
  <si>
    <t>8/2/2018 PM</t>
  </si>
  <si>
    <t>7/20/2018 PM</t>
  </si>
  <si>
    <t>7/23/2018 PM</t>
  </si>
  <si>
    <t>1300 @ 20.43</t>
  </si>
  <si>
    <t>WTI dropped to 68. MRO down 7%</t>
  </si>
  <si>
    <t>MRO ER</t>
  </si>
  <si>
    <t>7/24/2018 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</si>
</sst>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6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5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53"/>
      <tableStyleElement type="headerRow" dxfId="2752"/>
    </tableStyle>
  </tableStyles>
  <colors>
    <mruColors>
      <color rgb="FFFF7C5D"/>
      <color rgb="FFE7271D"/>
      <color rgb="FFFBDBD9"/>
      <color rgb="FFF9DEDB"/>
      <color rgb="FFED5C55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connections" Target="connection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Balance!$B$2:$B$850</c:f>
              <c:numCache>
                <c:formatCode>m/d/yyyy</c:formatCode>
                <c:ptCount val="8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</c:numCache>
            </c:numRef>
          </c:xVal>
          <c:yVal>
            <c:numRef>
              <c:f>Balance!$I$2:$I$852</c:f>
              <c:numCache>
                <c:formatCode>0.00</c:formatCode>
                <c:ptCount val="851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789696"/>
        <c:axId val="369793224"/>
      </c:scatterChart>
      <c:valAx>
        <c:axId val="369789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93224"/>
        <c:crosses val="autoZero"/>
        <c:crossBetween val="midCat"/>
      </c:valAx>
      <c:valAx>
        <c:axId val="36979322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89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</c:numCache>
            </c:numRef>
          </c:xVal>
          <c:yVal>
            <c:numRef>
              <c:f>Balance!$M$2:$M$741</c:f>
              <c:numCache>
                <c:formatCode>0.00</c:formatCode>
                <c:ptCount val="74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790088"/>
        <c:axId val="369790480"/>
      </c:scatterChart>
      <c:valAx>
        <c:axId val="369790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90480"/>
        <c:crosses val="autoZero"/>
        <c:crossBetween val="midCat"/>
      </c:valAx>
      <c:valAx>
        <c:axId val="36979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9008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Balance!$B$2:$B$991</c:f>
              <c:numCache>
                <c:formatCode>m/d/yyyy</c:formatCode>
                <c:ptCount val="9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</c:numCache>
            </c:numRef>
          </c:xVal>
          <c:yVal>
            <c:numRef>
              <c:f>Balance!$C$2:$C$993</c:f>
              <c:numCache>
                <c:formatCode>0.00</c:formatCode>
                <c:ptCount val="99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792048"/>
        <c:axId val="369795576"/>
      </c:scatterChart>
      <c:valAx>
        <c:axId val="369792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95576"/>
        <c:crosses val="autoZero"/>
        <c:crossBetween val="midCat"/>
      </c:valAx>
      <c:valAx>
        <c:axId val="36979557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92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</c:numCache>
            </c:numRef>
          </c:xVal>
          <c:yVal>
            <c:numRef>
              <c:f>Balance!$Q$2:$Q$744</c:f>
              <c:numCache>
                <c:formatCode>0.00%</c:formatCode>
                <c:ptCount val="7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793616"/>
        <c:axId val="369794008"/>
      </c:scatterChart>
      <c:valAx>
        <c:axId val="369793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94008"/>
        <c:crosses val="autoZero"/>
        <c:crossBetween val="midCat"/>
      </c:valAx>
      <c:valAx>
        <c:axId val="36979400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93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</c:numCache>
            </c:numRef>
          </c:xVal>
          <c:yVal>
            <c:numRef>
              <c:f>Balance!$W$2:$W$795</c:f>
              <c:numCache>
                <c:formatCode>0.00%</c:formatCode>
                <c:ptCount val="794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368920"/>
        <c:axId val="464366960"/>
      </c:scatterChart>
      <c:valAx>
        <c:axId val="464368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366960"/>
        <c:crosses val="autoZero"/>
        <c:crossBetween val="midCat"/>
      </c:valAx>
      <c:valAx>
        <c:axId val="46436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368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Balance!$B$2:$B$741</c:f>
              <c:numCache>
                <c:formatCode>m/d/yyyy</c:formatCode>
                <c:ptCount val="7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</c:numCache>
            </c:numRef>
          </c:xVal>
          <c:yVal>
            <c:numRef>
              <c:f>Balance!$Y$2:$Y$745</c:f>
              <c:numCache>
                <c:formatCode>0.00</c:formatCode>
                <c:ptCount val="744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369704"/>
        <c:axId val="464370096"/>
      </c:scatterChart>
      <c:valAx>
        <c:axId val="464369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370096"/>
        <c:crosses val="autoZero"/>
        <c:crossBetween val="midCat"/>
      </c:valAx>
      <c:valAx>
        <c:axId val="46437009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369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</c:numCache>
            </c:numRef>
          </c:xVal>
          <c:yVal>
            <c:numRef>
              <c:f>Balance!$S$2:$S$795</c:f>
              <c:numCache>
                <c:formatCode>0.00%</c:formatCode>
                <c:ptCount val="794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370488"/>
        <c:axId val="464370880"/>
      </c:scatterChart>
      <c:valAx>
        <c:axId val="464370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370880"/>
        <c:crosses val="autoZero"/>
        <c:crossBetween val="midCat"/>
      </c:valAx>
      <c:valAx>
        <c:axId val="4643708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37048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</c:numCache>
            </c:numRef>
          </c:xVal>
          <c:yVal>
            <c:numRef>
              <c:f>Balance!$Z$3:$Z$696</c:f>
              <c:numCache>
                <c:formatCode>0.00</c:formatCode>
                <c:ptCount val="694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365000"/>
        <c:axId val="464367744"/>
      </c:scatterChart>
      <c:valAx>
        <c:axId val="464365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367744"/>
        <c:crosses val="autoZero"/>
        <c:crossBetween val="midCat"/>
      </c:valAx>
      <c:valAx>
        <c:axId val="46436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365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368528"/>
        <c:axId val="464369312"/>
      </c:lineChart>
      <c:dateAx>
        <c:axId val="464368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369312"/>
        <c:crosses val="autoZero"/>
        <c:auto val="1"/>
        <c:lblOffset val="100"/>
        <c:baseTimeUnit val="days"/>
      </c:dateAx>
      <c:valAx>
        <c:axId val="464369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36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045112"/>
        <c:axId val="466051384"/>
      </c:lineChart>
      <c:dateAx>
        <c:axId val="466045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051384"/>
        <c:crosses val="autoZero"/>
        <c:auto val="1"/>
        <c:lblOffset val="100"/>
        <c:baseTimeUnit val="days"/>
      </c:dateAx>
      <c:valAx>
        <c:axId val="466051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04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051776"/>
        <c:axId val="466050208"/>
      </c:lineChart>
      <c:dateAx>
        <c:axId val="466051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050208"/>
        <c:crosses val="autoZero"/>
        <c:auto val="1"/>
        <c:lblOffset val="100"/>
        <c:baseTimeUnit val="days"/>
      </c:dateAx>
      <c:valAx>
        <c:axId val="4660502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05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266024"/>
        <c:axId val="465266416"/>
      </c:lineChart>
      <c:dateAx>
        <c:axId val="465266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66416"/>
        <c:crosses val="autoZero"/>
        <c:auto val="1"/>
        <c:lblOffset val="100"/>
        <c:baseTimeUnit val="days"/>
      </c:dateAx>
      <c:valAx>
        <c:axId val="4652664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6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95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95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261712"/>
        <c:axId val="466628768"/>
      </c:lineChart>
      <c:catAx>
        <c:axId val="46526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28768"/>
        <c:crosses val="autoZero"/>
        <c:auto val="1"/>
        <c:lblAlgn val="ctr"/>
        <c:lblOffset val="100"/>
        <c:noMultiLvlLbl val="0"/>
      </c:catAx>
      <c:valAx>
        <c:axId val="466628768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6171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622496"/>
        <c:axId val="466623672"/>
      </c:lineChart>
      <c:dateAx>
        <c:axId val="466622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23672"/>
        <c:crosses val="autoZero"/>
        <c:auto val="1"/>
        <c:lblOffset val="100"/>
        <c:baseTimeUnit val="days"/>
      </c:dateAx>
      <c:valAx>
        <c:axId val="466623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22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T!$B$25:$B$49</c:f>
              <c:numCache>
                <c:formatCode>d\-mmm</c:formatCode>
                <c:ptCount val="2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</c:numCache>
            </c:numRef>
          </c:cat>
          <c:val>
            <c:numRef>
              <c:f>T!$E$25:$E$49</c:f>
              <c:numCache>
                <c:formatCode>0.00</c:formatCode>
                <c:ptCount val="25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T!$B$25:$B$49</c:f>
              <c:numCache>
                <c:formatCode>d\-mmm</c:formatCode>
                <c:ptCount val="2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</c:numCache>
            </c:numRef>
          </c:cat>
          <c:val>
            <c:numRef>
              <c:f>T!$D$25:$D$49</c:f>
              <c:numCache>
                <c:formatCode>0.00</c:formatCode>
                <c:ptCount val="25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6624848"/>
        <c:axId val="466625632"/>
      </c:lineChart>
      <c:dateAx>
        <c:axId val="466624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25632"/>
        <c:crosses val="autoZero"/>
        <c:auto val="1"/>
        <c:lblOffset val="100"/>
        <c:baseTimeUnit val="days"/>
      </c:dateAx>
      <c:valAx>
        <c:axId val="46662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2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267592"/>
        <c:axId val="467358888"/>
      </c:lineChart>
      <c:dateAx>
        <c:axId val="465267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58888"/>
        <c:crosses val="autoZero"/>
        <c:auto val="1"/>
        <c:lblOffset val="100"/>
        <c:baseTimeUnit val="days"/>
      </c:dateAx>
      <c:valAx>
        <c:axId val="4673588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67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366336"/>
        <c:axId val="467364768"/>
      </c:lineChart>
      <c:dateAx>
        <c:axId val="467366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64768"/>
        <c:crosses val="autoZero"/>
        <c:auto val="1"/>
        <c:lblOffset val="100"/>
        <c:baseTimeUnit val="days"/>
      </c:dateAx>
      <c:valAx>
        <c:axId val="46736476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6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359280"/>
        <c:axId val="467363984"/>
      </c:lineChart>
      <c:dateAx>
        <c:axId val="467359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63984"/>
        <c:crosses val="autoZero"/>
        <c:auto val="1"/>
        <c:lblOffset val="100"/>
        <c:baseTimeUnit val="days"/>
      </c:dateAx>
      <c:valAx>
        <c:axId val="46736398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59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MOS!$B$37:$B$110</c:f>
              <c:numCache>
                <c:formatCode>d\-mmm</c:formatCode>
                <c:ptCount val="7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</c:numCache>
            </c:numRef>
          </c:cat>
          <c:val>
            <c:numRef>
              <c:f>MOS!$E$37:$E$110</c:f>
              <c:numCache>
                <c:formatCode>0.00</c:formatCode>
                <c:ptCount val="74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MOS!$B$37:$B$110</c:f>
              <c:numCache>
                <c:formatCode>d\-mmm</c:formatCode>
                <c:ptCount val="7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</c:numCache>
            </c:numRef>
          </c:cat>
          <c:val>
            <c:numRef>
              <c:f>MOS!$D$37:$D$110</c:f>
              <c:numCache>
                <c:formatCode>0.00</c:formatCode>
                <c:ptCount val="74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360064"/>
        <c:axId val="467360456"/>
      </c:lineChart>
      <c:dateAx>
        <c:axId val="467360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60456"/>
        <c:crosses val="autoZero"/>
        <c:auto val="1"/>
        <c:lblOffset val="100"/>
        <c:baseTimeUnit val="days"/>
      </c:dateAx>
      <c:valAx>
        <c:axId val="467360456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60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362416"/>
        <c:axId val="467365160"/>
      </c:lineChart>
      <c:catAx>
        <c:axId val="467362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65160"/>
        <c:crosses val="autoZero"/>
        <c:auto val="1"/>
        <c:lblAlgn val="ctr"/>
        <c:lblOffset val="100"/>
        <c:noMultiLvlLbl val="0"/>
      </c:catAx>
      <c:valAx>
        <c:axId val="4673651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36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PDCO!$B$31:$B$69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</c:numCache>
            </c:numRef>
          </c:xVal>
          <c:yVal>
            <c:numRef>
              <c:f>PDCO!$E$31:$E$69</c:f>
              <c:numCache>
                <c:formatCode>0.00</c:formatCode>
                <c:ptCount val="3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PDCO!$B$31:$B$69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</c:numCache>
            </c:numRef>
          </c:xVal>
          <c:yVal>
            <c:numRef>
              <c:f>PDCO!$D$31:$D$69</c:f>
              <c:numCache>
                <c:formatCode>0.00</c:formatCode>
                <c:ptCount val="3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630304"/>
        <c:axId val="493629128"/>
      </c:scatterChart>
      <c:valAx>
        <c:axId val="493630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29128"/>
        <c:crosses val="autoZero"/>
        <c:crossBetween val="midCat"/>
      </c:valAx>
      <c:valAx>
        <c:axId val="4936291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30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631480"/>
        <c:axId val="493633048"/>
      </c:lineChart>
      <c:catAx>
        <c:axId val="493631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33048"/>
        <c:crosses val="autoZero"/>
        <c:auto val="1"/>
        <c:lblAlgn val="ctr"/>
        <c:lblOffset val="100"/>
        <c:noMultiLvlLbl val="0"/>
      </c:catAx>
      <c:valAx>
        <c:axId val="4936330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31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632264"/>
        <c:axId val="493627560"/>
      </c:lineChart>
      <c:dateAx>
        <c:axId val="493632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27560"/>
        <c:crosses val="autoZero"/>
        <c:auto val="1"/>
        <c:lblOffset val="100"/>
        <c:baseTimeUnit val="days"/>
      </c:dateAx>
      <c:valAx>
        <c:axId val="4936275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32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792304"/>
        <c:axId val="494796224"/>
      </c:lineChart>
      <c:dateAx>
        <c:axId val="494792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96224"/>
        <c:crosses val="autoZero"/>
        <c:auto val="1"/>
        <c:lblOffset val="100"/>
        <c:baseTimeUnit val="days"/>
      </c:dateAx>
      <c:valAx>
        <c:axId val="49479622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9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797400"/>
        <c:axId val="494792696"/>
      </c:lineChart>
      <c:dateAx>
        <c:axId val="494797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92696"/>
        <c:crosses val="autoZero"/>
        <c:auto val="1"/>
        <c:lblOffset val="100"/>
        <c:baseTimeUnit val="days"/>
      </c:dateAx>
      <c:valAx>
        <c:axId val="4947926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97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NWL!$C$26</c:f>
              <c:strCache>
                <c:ptCount val="1"/>
                <c:pt idx="0">
                  <c:v>shares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NWL!$B$27:$B$75</c:f>
              <c:numCache>
                <c:formatCode>d\-mmm</c:formatCode>
                <c:ptCount val="4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</c:numCache>
            </c:numRef>
          </c:cat>
          <c:val>
            <c:numRef>
              <c:f>NWL!$E$27:$E$75</c:f>
              <c:numCache>
                <c:formatCode>0.00</c:formatCode>
                <c:ptCount val="4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NWL!$D$26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NWL!$B$27:$B$75</c:f>
              <c:numCache>
                <c:formatCode>d\-mmm</c:formatCode>
                <c:ptCount val="4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</c:numCache>
            </c:numRef>
          </c:cat>
          <c:val>
            <c:numRef>
              <c:f>NWL!$D$27:$D$75</c:f>
              <c:numCache>
                <c:formatCode>0.00</c:formatCode>
                <c:ptCount val="4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335216"/>
        <c:axId val="536325808"/>
      </c:lineChart>
      <c:dateAx>
        <c:axId val="536335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25808"/>
        <c:crosses val="autoZero"/>
        <c:auto val="1"/>
        <c:lblOffset val="100"/>
        <c:baseTimeUnit val="days"/>
      </c:dateAx>
      <c:valAx>
        <c:axId val="536325808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35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330512"/>
        <c:axId val="536334432"/>
      </c:lineChart>
      <c:dateAx>
        <c:axId val="536330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34432"/>
        <c:crosses val="autoZero"/>
        <c:auto val="1"/>
        <c:lblOffset val="100"/>
        <c:baseTimeUnit val="days"/>
      </c:dateAx>
      <c:valAx>
        <c:axId val="5363344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3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330904"/>
        <c:axId val="536328160"/>
      </c:lineChart>
      <c:catAx>
        <c:axId val="536330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28160"/>
        <c:crosses val="autoZero"/>
        <c:auto val="1"/>
        <c:lblAlgn val="ctr"/>
        <c:lblOffset val="100"/>
        <c:noMultiLvlLbl val="0"/>
      </c:catAx>
      <c:valAx>
        <c:axId val="5363281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30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333256"/>
        <c:axId val="536326984"/>
      </c:lineChart>
      <c:catAx>
        <c:axId val="536333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26984"/>
        <c:crosses val="autoZero"/>
        <c:auto val="1"/>
        <c:lblAlgn val="ctr"/>
        <c:lblOffset val="100"/>
        <c:noMultiLvlLbl val="0"/>
      </c:catAx>
      <c:valAx>
        <c:axId val="5363269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33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337568"/>
        <c:axId val="536339920"/>
      </c:lineChart>
      <c:dateAx>
        <c:axId val="536337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39920"/>
        <c:crosses val="autoZero"/>
        <c:auto val="1"/>
        <c:lblOffset val="100"/>
        <c:baseTimeUnit val="days"/>
      </c:dateAx>
      <c:valAx>
        <c:axId val="53633992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3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339528"/>
        <c:axId val="536337960"/>
      </c:lineChart>
      <c:dateAx>
        <c:axId val="536339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37960"/>
        <c:crosses val="autoZero"/>
        <c:auto val="1"/>
        <c:lblOffset val="100"/>
        <c:baseTimeUnit val="days"/>
      </c:dateAx>
      <c:valAx>
        <c:axId val="53633796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339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085296"/>
        <c:axId val="562083336"/>
      </c:lineChart>
      <c:catAx>
        <c:axId val="562085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083336"/>
        <c:crosses val="autoZero"/>
        <c:auto val="1"/>
        <c:lblAlgn val="ctr"/>
        <c:lblOffset val="100"/>
        <c:noMultiLvlLbl val="0"/>
      </c:catAx>
      <c:valAx>
        <c:axId val="5620833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08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085688"/>
        <c:axId val="562081768"/>
      </c:lineChart>
      <c:dateAx>
        <c:axId val="5620856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081768"/>
        <c:crosses val="autoZero"/>
        <c:auto val="1"/>
        <c:lblOffset val="100"/>
        <c:baseTimeUnit val="days"/>
      </c:dateAx>
      <c:valAx>
        <c:axId val="5620817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08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4" Type="http://schemas.openxmlformats.org/officeDocument/2006/relationships/image" Target="../media/image10.gif"/><Relationship Id="rId9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304799</xdr:colOff>
      <xdr:row>60</xdr:row>
      <xdr:rowOff>33337</xdr:rowOff>
    </xdr:from>
    <xdr:to>
      <xdr:col>18</xdr:col>
      <xdr:colOff>723900</xdr:colOff>
      <xdr:row>80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128587</xdr:colOff>
      <xdr:row>44</xdr:row>
      <xdr:rowOff>161924</xdr:rowOff>
    </xdr:from>
    <xdr:to>
      <xdr:col>18</xdr:col>
      <xdr:colOff>1438275</xdr:colOff>
      <xdr:row>64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300037</xdr:colOff>
      <xdr:row>19</xdr:row>
      <xdr:rowOff>66675</xdr:rowOff>
    </xdr:from>
    <xdr:to>
      <xdr:col>19</xdr:col>
      <xdr:colOff>538162</xdr:colOff>
      <xdr:row>37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1195485</xdr:colOff>
      <xdr:row>93</xdr:row>
      <xdr:rowOff>155511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542925</xdr:colOff>
      <xdr:row>40</xdr:row>
      <xdr:rowOff>47625</xdr:rowOff>
    </xdr:from>
    <xdr:to>
      <xdr:col>19</xdr:col>
      <xdr:colOff>1123951</xdr:colOff>
      <xdr:row>65</xdr:row>
      <xdr:rowOff>76199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pinc" backgroundRefresh="0" adjustColumnWidth="0" connectionId="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pinc" backgroundRefresh="0" connectionId="6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oxa" backgroundRefresh="0" adjustColumnWidth="0" connectionId="6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oxa" backgroundRefres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KAM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backgroundRefresh="0" connectionId="6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vs" backgroundRefres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JNJ" backgroundRefresh="0" connectionId="6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HES" backgroundRefresh="0" adjustColumnWidt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clh" backgroundRefresh="0" connectionId="6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nclh" backgroundRefresh="0" adjustColumnWidt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484" dataDxfId="483">
  <autoFilter ref="O15:W26"/>
  <tableColumns count="9">
    <tableColumn id="1" name="Date" dataDxfId="482"/>
    <tableColumn id="2" name="Quarter" dataDxfId="481"/>
    <tableColumn id="3" name="Time" dataDxfId="480"/>
    <tableColumn id="4" name="EPS estimate" dataDxfId="479"/>
    <tableColumn id="5" name="EPS Actual" dataDxfId="478"/>
    <tableColumn id="6" name="Sales Estiamte (B)" dataDxfId="477"/>
    <tableColumn id="7" name="Sales Actual (B)" dataDxfId="476"/>
    <tableColumn id="8" name="Guidance" dataDxfId="475"/>
    <tableColumn id="9" name="Reaction" dataDxfId="47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2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://www.wsj.com/mdc/public/page/2_3021-peyield.html" TargetMode="Externa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25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nasdaq.com/markets/corn.aspx?timeframe=2y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27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57.bin"/><Relationship Id="rId1" Type="http://schemas.openxmlformats.org/officeDocument/2006/relationships/hyperlink" Target="http://www.trendforce.com/price" TargetMode="Externa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3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36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63.bin"/><Relationship Id="rId1" Type="http://schemas.openxmlformats.org/officeDocument/2006/relationships/hyperlink" Target="http://www.wsj.com/mdc/public/page/2_3021-peyield.html" TargetMode="Externa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38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7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2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46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8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50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7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8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9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66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2.bin"/><Relationship Id="rId4" Type="http://schemas.openxmlformats.org/officeDocument/2006/relationships/queryTable" Target="../queryTables/queryTable6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2" activePane="bottomLeft" state="frozen"/>
      <selection pane="bottomLeft" activeCell="U13" sqref="U13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1173</v>
      </c>
      <c r="J1" s="57" t="s">
        <v>74</v>
      </c>
      <c r="K1" s="357" t="s">
        <v>1172</v>
      </c>
      <c r="L1" s="346" t="s">
        <v>1174</v>
      </c>
      <c r="M1" s="357" t="s">
        <v>178</v>
      </c>
      <c r="N1" s="57" t="s">
        <v>229</v>
      </c>
      <c r="O1" s="834" t="s">
        <v>946</v>
      </c>
      <c r="P1" s="346" t="s">
        <v>206</v>
      </c>
      <c r="Q1" s="346" t="s">
        <v>278</v>
      </c>
      <c r="R1" s="357" t="s">
        <v>973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20.04</v>
      </c>
      <c r="G2" s="78">
        <v>11.960376666666649</v>
      </c>
      <c r="H2">
        <v>3000</v>
      </c>
      <c r="I2" s="2">
        <v>60120</v>
      </c>
      <c r="J2" s="2">
        <v>35881.129999999946</v>
      </c>
      <c r="K2" s="2">
        <v>24238.870000000054</v>
      </c>
      <c r="L2" s="736">
        <v>0.67553251528031821</v>
      </c>
      <c r="M2" s="2">
        <v>38854.44100000168</v>
      </c>
      <c r="N2">
        <v>800</v>
      </c>
      <c r="O2" t="s">
        <v>1122</v>
      </c>
      <c r="P2" s="736">
        <v>9.9800399201596824E-3</v>
      </c>
      <c r="Q2" s="736">
        <v>-6.7000000000000004E-2</v>
      </c>
      <c r="R2" s="2">
        <v>31.809523809523807</v>
      </c>
      <c r="S2" s="48"/>
      <c r="T2" s="48"/>
    </row>
    <row r="3" spans="1:41" ht="21.95" customHeight="1" x14ac:dyDescent="0.25">
      <c r="A3" s="50"/>
      <c r="B3" s="50"/>
      <c r="C3" s="51"/>
      <c r="D3" s="788"/>
      <c r="E3" s="22" t="s">
        <v>195</v>
      </c>
      <c r="F3" s="78">
        <v>27.99</v>
      </c>
      <c r="G3" s="78">
        <v>27.715833333333347</v>
      </c>
      <c r="H3">
        <v>1500</v>
      </c>
      <c r="I3" s="2">
        <v>41985</v>
      </c>
      <c r="J3" s="2">
        <v>41573.750000000022</v>
      </c>
      <c r="K3" s="2">
        <v>411.2499999999709</v>
      </c>
      <c r="L3" s="736">
        <v>9.8920592922211135E-3</v>
      </c>
      <c r="M3" s="2">
        <v>2159.2199999999648</v>
      </c>
      <c r="N3">
        <v>200</v>
      </c>
      <c r="O3" t="s">
        <v>1154</v>
      </c>
      <c r="P3" s="736">
        <v>2.0007145409074674E-2</v>
      </c>
      <c r="Q3" s="736">
        <v>-2.0999999999999999E-3</v>
      </c>
      <c r="R3" s="2">
        <v>13.489156626506022</v>
      </c>
      <c r="S3" s="48"/>
      <c r="T3" s="48"/>
    </row>
    <row r="4" spans="1:41" ht="21.95" customHeight="1" x14ac:dyDescent="0.25">
      <c r="A4" s="50"/>
      <c r="B4" s="50"/>
      <c r="C4" s="51"/>
      <c r="D4" s="788"/>
      <c r="E4" s="22" t="s">
        <v>225</v>
      </c>
      <c r="F4" s="2">
        <v>27.979900000000001</v>
      </c>
      <c r="G4" s="78">
        <v>20.062699999999925</v>
      </c>
      <c r="H4">
        <v>500</v>
      </c>
      <c r="I4" s="2">
        <v>13989.95</v>
      </c>
      <c r="J4" s="2">
        <v>10031.349999999962</v>
      </c>
      <c r="K4" s="2">
        <v>3958.6000000000386</v>
      </c>
      <c r="L4" s="736">
        <v>0.39462285734223734</v>
      </c>
      <c r="M4" s="2">
        <v>5410.860000000037</v>
      </c>
      <c r="N4">
        <v>100</v>
      </c>
      <c r="O4" t="s">
        <v>1210</v>
      </c>
      <c r="P4" s="736">
        <v>3.5739941886854493E-3</v>
      </c>
      <c r="Q4" s="736">
        <v>-6.0000000000000001E-3</v>
      </c>
      <c r="R4" s="2">
        <v>19.98564285714286</v>
      </c>
      <c r="V4" s="48"/>
    </row>
    <row r="5" spans="1:41" ht="21.95" customHeight="1" x14ac:dyDescent="0.25">
      <c r="A5" s="152"/>
      <c r="B5" s="50"/>
      <c r="C5" s="51"/>
      <c r="D5" s="788"/>
      <c r="E5" s="22" t="s">
        <v>735</v>
      </c>
      <c r="F5" s="2">
        <v>65.16</v>
      </c>
      <c r="G5" s="78">
        <v>62.082000000000043</v>
      </c>
      <c r="H5">
        <v>200</v>
      </c>
      <c r="I5" s="2">
        <v>13032</v>
      </c>
      <c r="J5" s="2">
        <v>12416.400000000009</v>
      </c>
      <c r="K5" s="2">
        <v>615.59999999999127</v>
      </c>
      <c r="L5" s="736">
        <v>4.9579588286459059E-2</v>
      </c>
      <c r="M5" s="2">
        <v>615.59999999999127</v>
      </c>
      <c r="N5" s="29">
        <v>43311</v>
      </c>
      <c r="O5" t="s">
        <v>1164</v>
      </c>
      <c r="P5" s="736">
        <v>2.4554941682013508E-2</v>
      </c>
      <c r="Q5" s="736">
        <v>-2.0000000000000001E-4</v>
      </c>
      <c r="R5" s="2">
        <v>10.905439330543933</v>
      </c>
      <c r="S5" s="736"/>
      <c r="T5" s="48"/>
      <c r="U5" s="48"/>
      <c r="X5"/>
      <c r="Y5"/>
      <c r="Z5"/>
      <c r="AA5" s="2"/>
      <c r="AB5"/>
      <c r="AC5"/>
      <c r="AD5" s="2"/>
      <c r="AE5"/>
      <c r="AF5"/>
      <c r="AG5" s="2"/>
      <c r="AH5"/>
      <c r="AI5" s="2"/>
      <c r="AJ5"/>
      <c r="AK5"/>
      <c r="AL5"/>
      <c r="AM5"/>
      <c r="AN5"/>
      <c r="AO5"/>
    </row>
    <row r="6" spans="1:41" ht="21.95" customHeight="1" x14ac:dyDescent="0.25">
      <c r="A6" s="50"/>
      <c r="B6" s="50"/>
      <c r="C6" s="51"/>
      <c r="D6" s="788"/>
      <c r="E6" s="22" t="s">
        <v>14</v>
      </c>
      <c r="F6" s="2">
        <v>57.14</v>
      </c>
      <c r="G6" s="78">
        <v>57.732900000000001</v>
      </c>
      <c r="H6">
        <v>200</v>
      </c>
      <c r="I6" s="2">
        <v>11428</v>
      </c>
      <c r="J6" s="2">
        <v>11546.58</v>
      </c>
      <c r="K6" s="2">
        <v>-118.57999999999993</v>
      </c>
      <c r="L6" s="736">
        <v>-1.0269707567089132E-2</v>
      </c>
      <c r="M6" s="2">
        <v>-118.57999999999993</v>
      </c>
      <c r="N6">
        <v>50</v>
      </c>
      <c r="O6" t="s">
        <v>1136</v>
      </c>
      <c r="P6" s="736">
        <v>4.6202310115505775E-2</v>
      </c>
      <c r="Q6" s="736">
        <v>-2.3300000000000001E-2</v>
      </c>
      <c r="R6" s="2">
        <v>14.41109709962169</v>
      </c>
      <c r="S6" s="48"/>
      <c r="T6" s="48"/>
      <c r="X6"/>
      <c r="Y6"/>
      <c r="Z6"/>
      <c r="AA6" s="2"/>
      <c r="AB6"/>
      <c r="AC6"/>
      <c r="AD6" s="2"/>
      <c r="AE6"/>
      <c r="AF6"/>
      <c r="AG6" s="2"/>
      <c r="AH6"/>
      <c r="AI6" s="2"/>
      <c r="AJ6"/>
      <c r="AK6"/>
      <c r="AL6"/>
      <c r="AM6"/>
      <c r="AN6"/>
      <c r="AO6"/>
    </row>
    <row r="7" spans="1:41" ht="21.95" customHeight="1" x14ac:dyDescent="0.25">
      <c r="A7" s="50"/>
      <c r="B7" s="51"/>
      <c r="C7" s="51"/>
      <c r="D7" s="788"/>
      <c r="E7" s="22" t="s">
        <v>32</v>
      </c>
      <c r="F7" s="2">
        <v>50.67</v>
      </c>
      <c r="G7" s="78">
        <v>46.710799999999999</v>
      </c>
      <c r="H7">
        <v>200</v>
      </c>
      <c r="I7" s="2">
        <v>10134</v>
      </c>
      <c r="J7" s="2">
        <v>9342.16</v>
      </c>
      <c r="K7" s="2">
        <v>791.84000000000015</v>
      </c>
      <c r="L7" s="736">
        <v>8.475984140712646E-2</v>
      </c>
      <c r="M7" s="2">
        <v>1990.3099999999972</v>
      </c>
      <c r="N7">
        <v>50</v>
      </c>
      <c r="O7"/>
      <c r="P7" s="736">
        <v>2.4077363331359777E-2</v>
      </c>
      <c r="Q7" s="736">
        <v>-2E-3</v>
      </c>
      <c r="R7" s="2">
        <v>9.1710407239818998</v>
      </c>
      <c r="S7" s="736"/>
      <c r="T7" s="48"/>
      <c r="U7" s="48"/>
    </row>
    <row r="8" spans="1:41" ht="21.95" customHeight="1" x14ac:dyDescent="0.25">
      <c r="A8" s="50"/>
      <c r="B8" s="51"/>
      <c r="C8" s="51"/>
      <c r="D8" s="788"/>
      <c r="E8" s="22" t="s">
        <v>920</v>
      </c>
      <c r="F8" s="2">
        <v>31.899899999999999</v>
      </c>
      <c r="G8" s="78">
        <v>31.950533333333333</v>
      </c>
      <c r="H8">
        <v>300</v>
      </c>
      <c r="I8" s="2">
        <v>9569.9699999999993</v>
      </c>
      <c r="J8" s="2">
        <v>9585.16</v>
      </c>
      <c r="K8" s="2">
        <v>-15.190000000000509</v>
      </c>
      <c r="L8" s="736">
        <v>-1.5847414127672492E-3</v>
      </c>
      <c r="M8" s="2">
        <v>-15.190000000000509</v>
      </c>
      <c r="N8">
        <v>100</v>
      </c>
      <c r="O8" t="s">
        <v>1212</v>
      </c>
      <c r="P8" s="736">
        <v>3.1348060652227748E-2</v>
      </c>
      <c r="Q8" s="736">
        <v>7.3000000000000001E-3</v>
      </c>
      <c r="R8" s="2">
        <v>9.1930547550432262</v>
      </c>
      <c r="S8" s="48"/>
      <c r="T8" s="48"/>
      <c r="X8"/>
      <c r="Y8"/>
      <c r="Z8"/>
      <c r="AA8" s="2"/>
      <c r="AB8"/>
      <c r="AC8"/>
      <c r="AD8" s="2"/>
      <c r="AE8"/>
      <c r="AF8"/>
      <c r="AG8" s="2"/>
      <c r="AH8"/>
      <c r="AI8" s="2"/>
      <c r="AJ8"/>
      <c r="AK8"/>
      <c r="AL8"/>
      <c r="AM8"/>
      <c r="AN8"/>
      <c r="AO8"/>
    </row>
    <row r="9" spans="1:41" ht="21.95" customHeight="1" x14ac:dyDescent="0.25">
      <c r="A9" s="50"/>
      <c r="B9" s="50"/>
      <c r="C9" s="51"/>
      <c r="D9" s="788"/>
      <c r="E9" s="22" t="s">
        <v>918</v>
      </c>
      <c r="F9" s="78">
        <v>132.32990000000001</v>
      </c>
      <c r="G9" s="78">
        <v>125.24485714285711</v>
      </c>
      <c r="H9">
        <v>70</v>
      </c>
      <c r="I9" s="2">
        <v>9263.0930000000008</v>
      </c>
      <c r="J9" s="2">
        <v>8767.1399999999976</v>
      </c>
      <c r="K9" s="2">
        <v>495.95300000000316</v>
      </c>
      <c r="L9" s="736">
        <v>5.6569531226831414E-2</v>
      </c>
      <c r="M9" s="2">
        <v>495.95300000000316</v>
      </c>
      <c r="N9" s="29">
        <v>43311</v>
      </c>
      <c r="O9" t="s">
        <v>1213</v>
      </c>
      <c r="P9" s="736">
        <v>3.9295729838834609E-3</v>
      </c>
      <c r="Q9" s="736">
        <v>-1.5800000000000002E-2</v>
      </c>
      <c r="R9" s="2">
        <v>15.35149651972158</v>
      </c>
      <c r="S9" s="48"/>
      <c r="T9" s="48"/>
      <c r="V9" s="48"/>
    </row>
    <row r="10" spans="1:41" ht="21.95" customHeight="1" x14ac:dyDescent="0.25">
      <c r="A10" s="50"/>
      <c r="B10" s="50"/>
      <c r="C10" s="51"/>
      <c r="D10" s="788"/>
      <c r="E10" s="22" t="s">
        <v>824</v>
      </c>
      <c r="F10" s="2">
        <v>22.529900000000001</v>
      </c>
      <c r="G10" s="78">
        <v>30.841699999999999</v>
      </c>
      <c r="H10">
        <v>400</v>
      </c>
      <c r="I10" s="2">
        <v>9011.9600000000009</v>
      </c>
      <c r="J10" s="2">
        <v>12336.68</v>
      </c>
      <c r="K10" s="2">
        <v>-3324.7199999999993</v>
      </c>
      <c r="L10" s="736">
        <v>-0.26949876303835385</v>
      </c>
      <c r="M10" s="2">
        <v>-3324.7199999999993</v>
      </c>
      <c r="N10">
        <v>300</v>
      </c>
      <c r="O10" t="s">
        <v>1214</v>
      </c>
      <c r="P10" s="736">
        <v>4.6160879542297126E-2</v>
      </c>
      <c r="Q10" s="736">
        <v>-1.7000000000000001E-2</v>
      </c>
      <c r="R10" s="2">
        <v>13.252882352941178</v>
      </c>
      <c r="S10" s="736"/>
      <c r="T10" s="48"/>
      <c r="V10" s="48"/>
    </row>
    <row r="11" spans="1:41" ht="21.95" customHeight="1" x14ac:dyDescent="0.25">
      <c r="A11" s="51"/>
      <c r="B11" s="152"/>
      <c r="C11" s="325"/>
      <c r="D11" s="788"/>
      <c r="E11" s="22" t="s">
        <v>964</v>
      </c>
      <c r="F11" s="78">
        <v>44.72</v>
      </c>
      <c r="G11" s="78">
        <v>49.308750000000003</v>
      </c>
      <c r="H11">
        <v>200</v>
      </c>
      <c r="I11" s="2">
        <v>8944</v>
      </c>
      <c r="J11" s="2">
        <v>9861.75</v>
      </c>
      <c r="K11" s="2">
        <v>-917.75</v>
      </c>
      <c r="L11" s="736">
        <v>-9.3061576292240308E-2</v>
      </c>
      <c r="M11" s="2">
        <v>-917.75</v>
      </c>
      <c r="N11">
        <v>200</v>
      </c>
      <c r="O11" t="s">
        <v>1215</v>
      </c>
      <c r="P11" s="736">
        <v>1.9900000000000001E-2</v>
      </c>
      <c r="Q11" s="736">
        <v>-1.3899999999999999E-2</v>
      </c>
      <c r="R11" s="2">
        <v>17.2</v>
      </c>
      <c r="S11" s="736"/>
      <c r="W11" s="48"/>
      <c r="X11"/>
      <c r="Y11"/>
      <c r="Z11"/>
      <c r="AA11" s="2"/>
      <c r="AB11"/>
      <c r="AC11"/>
      <c r="AD11" s="2"/>
      <c r="AE11"/>
      <c r="AF11"/>
      <c r="AG11" s="2"/>
      <c r="AH11"/>
      <c r="AI11" s="2"/>
      <c r="AJ11"/>
      <c r="AK11"/>
      <c r="AL11"/>
      <c r="AM11"/>
      <c r="AN11"/>
      <c r="AO11"/>
    </row>
    <row r="12" spans="1:41" ht="21.95" customHeight="1" x14ac:dyDescent="0.25">
      <c r="A12" s="50"/>
      <c r="B12" s="50"/>
      <c r="C12" s="51"/>
      <c r="D12" s="788"/>
      <c r="E12" s="22" t="s">
        <v>174</v>
      </c>
      <c r="F12" s="2">
        <v>27.77</v>
      </c>
      <c r="G12" s="78">
        <v>35.466428571428544</v>
      </c>
      <c r="H12">
        <v>280</v>
      </c>
      <c r="I12" s="2">
        <v>7775.5999999999995</v>
      </c>
      <c r="J12" s="2">
        <v>9930.5999999999931</v>
      </c>
      <c r="K12" s="2">
        <v>-2154.9999999999918</v>
      </c>
      <c r="L12" s="736">
        <v>-0.21700602179123055</v>
      </c>
      <c r="M12" s="2">
        <v>-2079.9799999999918</v>
      </c>
      <c r="N12">
        <v>280</v>
      </c>
      <c r="O12" t="s">
        <v>1216</v>
      </c>
      <c r="P12" s="736">
        <v>3.3129276197335258E-2</v>
      </c>
      <c r="Q12" s="736">
        <v>-1.1000000000000001E-3</v>
      </c>
      <c r="R12" s="2">
        <v>10.400749063670412</v>
      </c>
      <c r="S12" s="736"/>
      <c r="U12" s="48"/>
    </row>
    <row r="13" spans="1:41" ht="21.95" customHeight="1" x14ac:dyDescent="0.25">
      <c r="A13" s="50"/>
      <c r="B13" s="50"/>
      <c r="C13" s="51"/>
      <c r="D13" s="788"/>
      <c r="E13" s="22" t="s">
        <v>694</v>
      </c>
      <c r="F13" s="2">
        <v>255.5</v>
      </c>
      <c r="G13" s="78">
        <v>110.19166666666715</v>
      </c>
      <c r="H13">
        <v>30</v>
      </c>
      <c r="I13" s="2">
        <v>7665</v>
      </c>
      <c r="J13" s="2">
        <v>3305.7500000000146</v>
      </c>
      <c r="K13" s="2">
        <v>4359.2499999999854</v>
      </c>
      <c r="L13" s="736">
        <v>1.3186871360508106</v>
      </c>
      <c r="M13" s="2">
        <v>4584.0199999999859</v>
      </c>
      <c r="N13" s="29">
        <v>43307</v>
      </c>
      <c r="O13" t="s">
        <v>1167</v>
      </c>
      <c r="P13" s="736">
        <v>0</v>
      </c>
      <c r="Q13" s="736">
        <v>-1.6799999999999999E-2</v>
      </c>
      <c r="R13" s="2">
        <v>26.092728758169937</v>
      </c>
      <c r="T13" s="48"/>
      <c r="U13" s="48"/>
    </row>
    <row r="14" spans="1:41" ht="21.95" customHeight="1" x14ac:dyDescent="0.25">
      <c r="A14" s="50"/>
      <c r="B14" s="50"/>
      <c r="C14" s="51"/>
      <c r="D14" s="788"/>
      <c r="E14" s="22" t="s">
        <v>173</v>
      </c>
      <c r="F14" s="78">
        <v>56.989899999999999</v>
      </c>
      <c r="G14" s="78">
        <v>47.821833333333387</v>
      </c>
      <c r="H14">
        <v>120</v>
      </c>
      <c r="I14" s="2">
        <v>6838.7879999999996</v>
      </c>
      <c r="J14" s="2">
        <v>5738.6200000000063</v>
      </c>
      <c r="K14" s="2">
        <v>1100.1679999999933</v>
      </c>
      <c r="L14" s="736">
        <v>0.19171299023109947</v>
      </c>
      <c r="M14" s="2">
        <v>2704.747999999995</v>
      </c>
      <c r="N14" s="29">
        <v>43325</v>
      </c>
      <c r="O14"/>
      <c r="P14" s="736">
        <v>3.0180786420049868E-2</v>
      </c>
      <c r="Q14" s="736">
        <v>2.9399999999999999E-2</v>
      </c>
      <c r="R14" s="2">
        <v>12.608384955752213</v>
      </c>
      <c r="S14" s="736"/>
      <c r="T14" s="48"/>
      <c r="X14"/>
      <c r="Y14"/>
      <c r="Z14"/>
      <c r="AA14" s="2"/>
      <c r="AB14"/>
      <c r="AC14"/>
      <c r="AD14" s="2"/>
      <c r="AE14"/>
      <c r="AF14"/>
      <c r="AG14" s="2"/>
      <c r="AH14"/>
      <c r="AI14" s="2"/>
      <c r="AJ14"/>
      <c r="AK14"/>
      <c r="AL14"/>
      <c r="AM14"/>
      <c r="AN14"/>
      <c r="AO14"/>
    </row>
    <row r="15" spans="1:41" ht="21.95" customHeight="1" x14ac:dyDescent="0.25">
      <c r="A15" s="152"/>
      <c r="B15" s="50"/>
      <c r="C15" s="51"/>
      <c r="D15" s="788"/>
      <c r="E15" s="22" t="s">
        <v>171</v>
      </c>
      <c r="F15" s="2">
        <v>43.959899999999998</v>
      </c>
      <c r="G15" s="78">
        <v>52.35306666666667</v>
      </c>
      <c r="H15">
        <v>150</v>
      </c>
      <c r="I15" s="2">
        <v>6593.9849999999997</v>
      </c>
      <c r="J15" s="2">
        <v>7852.9600000000009</v>
      </c>
      <c r="K15" s="2">
        <v>-1258.9749999999995</v>
      </c>
      <c r="L15" s="736">
        <v>-0.16031852957356219</v>
      </c>
      <c r="M15" s="2">
        <v>-1209.0249999999996</v>
      </c>
      <c r="N15">
        <v>150</v>
      </c>
      <c r="O15"/>
      <c r="P15" s="736">
        <v>4.4586088685370076E-2</v>
      </c>
      <c r="Q15" s="736">
        <v>-2.12E-2</v>
      </c>
      <c r="R15" s="2">
        <v>14.272694805194805</v>
      </c>
      <c r="T15" s="48"/>
    </row>
    <row r="16" spans="1:41" ht="21.95" customHeight="1" x14ac:dyDescent="0.25">
      <c r="A16" s="50"/>
      <c r="B16" s="50"/>
      <c r="C16" s="51"/>
      <c r="D16" s="788"/>
      <c r="E16" s="22" t="s">
        <v>269</v>
      </c>
      <c r="F16" s="2">
        <v>124.69</v>
      </c>
      <c r="G16" s="78">
        <v>118.6816</v>
      </c>
      <c r="H16">
        <v>50</v>
      </c>
      <c r="I16" s="2">
        <v>6234.5</v>
      </c>
      <c r="J16" s="2">
        <v>5934.08</v>
      </c>
      <c r="K16" s="2">
        <v>300.42000000000007</v>
      </c>
      <c r="L16" s="736">
        <v>5.0626213330457241E-2</v>
      </c>
      <c r="M16" s="2">
        <v>455.19999999999982</v>
      </c>
      <c r="N16" s="29">
        <v>43325</v>
      </c>
      <c r="O16" t="s">
        <v>1171</v>
      </c>
      <c r="P16" s="736">
        <v>2.5700000000000001E-2</v>
      </c>
      <c r="Q16" s="736">
        <v>-9.9000000000000008E-3</v>
      </c>
      <c r="R16" s="2">
        <v>15.355911330049262</v>
      </c>
      <c r="S16" s="736"/>
      <c r="T16" s="48"/>
    </row>
    <row r="17" spans="1:41" ht="21.95" customHeight="1" x14ac:dyDescent="0.25">
      <c r="A17" s="50"/>
      <c r="B17" s="50"/>
      <c r="C17" s="51"/>
      <c r="D17" s="788"/>
      <c r="E17" s="22" t="s">
        <v>1147</v>
      </c>
      <c r="F17" s="2">
        <v>52.7699</v>
      </c>
      <c r="G17" s="78">
        <v>51.18</v>
      </c>
      <c r="H17">
        <v>100</v>
      </c>
      <c r="I17" s="2">
        <v>5276.99</v>
      </c>
      <c r="J17" s="2">
        <v>5118</v>
      </c>
      <c r="K17" s="2">
        <v>158.98999999999978</v>
      </c>
      <c r="L17" s="736">
        <v>3.1064869089488082E-2</v>
      </c>
      <c r="M17" s="2">
        <v>158.98999999999978</v>
      </c>
      <c r="N17" s="29">
        <v>43311</v>
      </c>
      <c r="O17"/>
      <c r="P17" s="736">
        <v>3.335234669764392E-2</v>
      </c>
      <c r="Q17" s="736">
        <v>-3.8E-3</v>
      </c>
      <c r="R17" s="2">
        <v>6.1217981438515086</v>
      </c>
      <c r="S17" s="48"/>
      <c r="U17" s="48"/>
    </row>
    <row r="18" spans="1:41" ht="21.95" customHeight="1" x14ac:dyDescent="0.25">
      <c r="A18" s="50"/>
      <c r="B18" s="50"/>
      <c r="C18" s="51"/>
      <c r="D18" s="788"/>
      <c r="E18" s="22" t="s">
        <v>958</v>
      </c>
      <c r="F18" s="2">
        <v>34.97</v>
      </c>
      <c r="G18" s="78">
        <v>31.471133333333345</v>
      </c>
      <c r="H18">
        <v>150</v>
      </c>
      <c r="I18" s="2">
        <v>5245.5</v>
      </c>
      <c r="J18" s="2">
        <v>4720.6700000000019</v>
      </c>
      <c r="K18" s="2">
        <v>524.82999999999811</v>
      </c>
      <c r="L18" s="736">
        <v>0.11117701512708957</v>
      </c>
      <c r="M18" s="2">
        <v>524.82999999999811</v>
      </c>
      <c r="N18" s="29">
        <v>43300</v>
      </c>
      <c r="O18" t="s">
        <v>1136</v>
      </c>
      <c r="P18" s="736">
        <v>1.9900000000000001E-2</v>
      </c>
      <c r="Q18" s="736">
        <v>7.7999999999999996E-3</v>
      </c>
      <c r="R18" s="2">
        <v>13.988</v>
      </c>
      <c r="S18" s="48"/>
    </row>
    <row r="19" spans="1:41" ht="21.95" customHeight="1" x14ac:dyDescent="0.25">
      <c r="A19" s="50"/>
      <c r="B19" s="50"/>
      <c r="C19" s="51"/>
      <c r="D19" s="788"/>
      <c r="E19" s="22" t="s">
        <v>922</v>
      </c>
      <c r="F19" s="2">
        <v>75.19</v>
      </c>
      <c r="G19" s="78">
        <v>65.593999999999994</v>
      </c>
      <c r="H19">
        <v>60</v>
      </c>
      <c r="I19" s="2">
        <v>4511.3999999999996</v>
      </c>
      <c r="J19" s="2">
        <v>3935.6399999999994</v>
      </c>
      <c r="K19" s="2">
        <v>575.75999999999976</v>
      </c>
      <c r="L19" s="736">
        <v>0.14629386834161667</v>
      </c>
      <c r="M19" s="2">
        <v>575.75999999999976</v>
      </c>
      <c r="N19">
        <v>60</v>
      </c>
      <c r="O19" t="s">
        <v>1217</v>
      </c>
      <c r="P19" s="736">
        <v>1.2767655273307621E-2</v>
      </c>
      <c r="Q19" s="736">
        <v>6.6E-3</v>
      </c>
      <c r="R19" s="2">
        <v>21.180281690140845</v>
      </c>
      <c r="S19" s="736"/>
      <c r="T19" s="48"/>
    </row>
    <row r="20" spans="1:41" ht="21.95" customHeight="1" x14ac:dyDescent="0.25">
      <c r="A20" s="50"/>
      <c r="B20" s="50"/>
      <c r="C20" s="51"/>
      <c r="D20" s="788"/>
      <c r="E20" s="22" t="s">
        <v>781</v>
      </c>
      <c r="F20" s="2">
        <v>13.9</v>
      </c>
      <c r="G20" s="78">
        <v>15.418666666666669</v>
      </c>
      <c r="H20">
        <v>300</v>
      </c>
      <c r="I20" s="2">
        <v>4170</v>
      </c>
      <c r="J20" s="2">
        <v>4625.6000000000004</v>
      </c>
      <c r="K20" s="2">
        <v>-455.60000000000036</v>
      </c>
      <c r="L20" s="736">
        <v>-9.8495330335524128E-2</v>
      </c>
      <c r="M20" s="2">
        <v>-455.60000000000036</v>
      </c>
      <c r="N20">
        <v>300</v>
      </c>
      <c r="O20" t="s">
        <v>1218</v>
      </c>
      <c r="P20" s="736">
        <v>3.4532374100719423E-2</v>
      </c>
      <c r="Q20" s="736">
        <v>6.9999999999999999E-4</v>
      </c>
      <c r="R20" s="2">
        <v>14.631578947368421</v>
      </c>
      <c r="S20" s="736"/>
    </row>
    <row r="21" spans="1:41" ht="21.95" customHeight="1" x14ac:dyDescent="0.25">
      <c r="A21" s="50"/>
      <c r="B21" s="50"/>
      <c r="C21" s="51"/>
      <c r="D21" s="788"/>
      <c r="E21" s="22" t="s">
        <v>849</v>
      </c>
      <c r="F21" s="78">
        <v>94.349900000000005</v>
      </c>
      <c r="G21" s="78">
        <v>82.575749999999942</v>
      </c>
      <c r="H21">
        <v>40</v>
      </c>
      <c r="I21" s="2">
        <v>3773.9960000000001</v>
      </c>
      <c r="J21" s="2">
        <v>3303.0299999999979</v>
      </c>
      <c r="K21" s="2">
        <v>470.96600000000126</v>
      </c>
      <c r="L21" s="736">
        <v>0.14258604977853753</v>
      </c>
      <c r="M21" s="2">
        <v>470.96600000000126</v>
      </c>
      <c r="N21">
        <v>40</v>
      </c>
      <c r="O21" t="s">
        <v>1219</v>
      </c>
      <c r="P21" s="736">
        <v>2.4165367424872731E-2</v>
      </c>
      <c r="Q21" s="736">
        <v>-2.2499999999999999E-2</v>
      </c>
      <c r="R21" s="2">
        <v>19.821407563025211</v>
      </c>
      <c r="S21" s="48"/>
      <c r="T21" s="48"/>
    </row>
    <row r="22" spans="1:41" ht="21.95" customHeight="1" x14ac:dyDescent="0.25">
      <c r="A22" s="50"/>
      <c r="B22" s="50"/>
      <c r="C22" s="51"/>
      <c r="D22" s="788"/>
      <c r="E22" s="22" t="s">
        <v>960</v>
      </c>
      <c r="F22" s="2">
        <v>179.18</v>
      </c>
      <c r="G22" s="78">
        <v>112.24000000000039</v>
      </c>
      <c r="H22">
        <v>15</v>
      </c>
      <c r="I22" s="2">
        <v>2687.7000000000003</v>
      </c>
      <c r="J22" s="2">
        <v>1683.6000000000058</v>
      </c>
      <c r="K22" s="2">
        <v>1004.0999999999945</v>
      </c>
      <c r="L22" s="736">
        <v>0.59640057020669446</v>
      </c>
      <c r="M22" s="2">
        <v>1004.0999999999945</v>
      </c>
      <c r="N22" s="29">
        <v>43307</v>
      </c>
      <c r="O22"/>
      <c r="P22" s="736">
        <v>7.1436544257171561E-3</v>
      </c>
      <c r="Q22" s="736">
        <v>-2.3999999999999998E-3</v>
      </c>
      <c r="R22" s="2">
        <v>19.68</v>
      </c>
      <c r="U22" s="48"/>
    </row>
    <row r="23" spans="1:41" ht="21.95" customHeight="1" x14ac:dyDescent="0.25">
      <c r="A23" s="50"/>
      <c r="B23" s="51"/>
      <c r="C23" s="51"/>
      <c r="D23" s="788"/>
      <c r="E23" s="22" t="s">
        <v>62</v>
      </c>
      <c r="F23" s="2">
        <v>344.82</v>
      </c>
      <c r="G23" s="78">
        <v>344.82</v>
      </c>
      <c r="H23">
        <v>0</v>
      </c>
      <c r="I23" s="2">
        <v>0</v>
      </c>
      <c r="J23" s="2">
        <v>0</v>
      </c>
      <c r="K23" s="2">
        <v>0</v>
      </c>
      <c r="L23" s="736">
        <v>0</v>
      </c>
      <c r="M23" s="2">
        <v>1659.3600000000079</v>
      </c>
      <c r="N23">
        <v>0</v>
      </c>
      <c r="O23"/>
      <c r="P23" s="736">
        <v>0</v>
      </c>
      <c r="Q23" s="736">
        <v>-2.5899999999999999E-2</v>
      </c>
      <c r="R23" s="2"/>
      <c r="T23" s="48"/>
      <c r="V23" s="48"/>
    </row>
    <row r="24" spans="1:41" ht="21.95" customHeight="1" x14ac:dyDescent="0.25">
      <c r="A24" s="51"/>
      <c r="B24" s="51"/>
      <c r="C24" s="51"/>
      <c r="D24" s="788"/>
      <c r="E24" s="22" t="s">
        <v>203</v>
      </c>
      <c r="F24" s="2">
        <v>36.67</v>
      </c>
      <c r="G24" s="78">
        <v>36.67</v>
      </c>
      <c r="H24">
        <v>0</v>
      </c>
      <c r="I24" s="2">
        <v>0</v>
      </c>
      <c r="J24" s="2">
        <v>0</v>
      </c>
      <c r="K24" s="2">
        <v>0</v>
      </c>
      <c r="L24" s="736">
        <v>0</v>
      </c>
      <c r="M24" s="2">
        <v>555.54</v>
      </c>
      <c r="N24">
        <v>0</v>
      </c>
      <c r="O24"/>
      <c r="P24" s="736">
        <v>0</v>
      </c>
      <c r="Q24" s="736">
        <v>-1.1900000000000001E-2</v>
      </c>
      <c r="R24" s="2"/>
      <c r="S24" s="736"/>
      <c r="T24" s="48"/>
      <c r="V24" s="48"/>
      <c r="W24" s="48"/>
    </row>
    <row r="25" spans="1:41" ht="21.95" customHeight="1" x14ac:dyDescent="0.25">
      <c r="A25" s="50"/>
      <c r="B25" s="51"/>
      <c r="C25" s="51"/>
      <c r="D25" s="788"/>
      <c r="E25" s="22" t="s">
        <v>213</v>
      </c>
      <c r="F25" s="2">
        <v>59.52</v>
      </c>
      <c r="G25" s="78">
        <v>59.52</v>
      </c>
      <c r="H25">
        <v>0</v>
      </c>
      <c r="I25" s="2">
        <v>0</v>
      </c>
      <c r="J25" s="2">
        <v>0</v>
      </c>
      <c r="K25" s="2">
        <v>973.83000000000175</v>
      </c>
      <c r="L25" s="736">
        <v>0</v>
      </c>
      <c r="M25" s="2">
        <v>2131.6999999999971</v>
      </c>
      <c r="N25">
        <v>0</v>
      </c>
      <c r="O25"/>
      <c r="P25" s="736">
        <v>2.4865591397849461E-2</v>
      </c>
      <c r="Q25" s="736">
        <v>-8.8000000000000005E-3</v>
      </c>
      <c r="R25" s="2">
        <v>14.88</v>
      </c>
      <c r="S25" s="736"/>
    </row>
    <row r="26" spans="1:41" ht="21.95" customHeight="1" x14ac:dyDescent="0.25">
      <c r="A26" s="50"/>
      <c r="B26" s="50"/>
      <c r="C26" s="50"/>
      <c r="D26" s="788"/>
      <c r="E26" s="22" t="s">
        <v>202</v>
      </c>
      <c r="F26" s="2">
        <v>190.35</v>
      </c>
      <c r="G26" s="78">
        <v>190.35</v>
      </c>
      <c r="H26">
        <v>0</v>
      </c>
      <c r="I26" s="2">
        <v>0</v>
      </c>
      <c r="J26" s="2">
        <v>0</v>
      </c>
      <c r="K26" s="2">
        <v>0</v>
      </c>
      <c r="L26" s="736">
        <v>0</v>
      </c>
      <c r="M26" s="2">
        <v>363.09999999999945</v>
      </c>
      <c r="N26">
        <v>0</v>
      </c>
      <c r="O26"/>
      <c r="P26" s="736">
        <v>1.5900000000000001E-2</v>
      </c>
      <c r="Q26" s="736">
        <v>-1.1999999999999999E-3</v>
      </c>
      <c r="R26" s="2"/>
      <c r="S26" s="736"/>
      <c r="U26" s="48"/>
      <c r="V26" s="48"/>
    </row>
    <row r="27" spans="1:41" ht="21.95" customHeight="1" x14ac:dyDescent="0.25">
      <c r="A27" s="50"/>
      <c r="B27" s="51"/>
      <c r="C27" s="51"/>
      <c r="D27" s="788"/>
      <c r="E27" s="22" t="s">
        <v>224</v>
      </c>
      <c r="F27" s="2">
        <v>99.91</v>
      </c>
      <c r="G27" s="78">
        <v>99.91</v>
      </c>
      <c r="H27">
        <v>0</v>
      </c>
      <c r="I27" s="2">
        <v>0</v>
      </c>
      <c r="J27" s="2">
        <v>0</v>
      </c>
      <c r="K27" s="2">
        <v>0</v>
      </c>
      <c r="L27" s="736">
        <v>0</v>
      </c>
      <c r="M27" s="2">
        <v>231.53999999999996</v>
      </c>
      <c r="N27">
        <v>0</v>
      </c>
      <c r="O27"/>
      <c r="P27" s="736">
        <v>1.6199999999999999E-2</v>
      </c>
      <c r="Q27" s="736">
        <v>0</v>
      </c>
      <c r="R27" s="2"/>
      <c r="S27" s="48"/>
    </row>
    <row r="28" spans="1:41" ht="21.95" customHeight="1" x14ac:dyDescent="0.25">
      <c r="A28" s="50"/>
      <c r="B28" s="50"/>
      <c r="C28" s="51"/>
      <c r="D28" s="788"/>
      <c r="E28" s="22" t="s">
        <v>265</v>
      </c>
      <c r="F28" s="2">
        <v>100.01</v>
      </c>
      <c r="G28" s="78">
        <v>100.01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1857.7799999999988</v>
      </c>
      <c r="N28">
        <v>0</v>
      </c>
      <c r="O28"/>
      <c r="P28" s="736">
        <v>1.49E-2</v>
      </c>
      <c r="Q28" s="736">
        <v>1.6500000000000001E-2</v>
      </c>
      <c r="R28" s="2"/>
      <c r="S28" s="48"/>
    </row>
    <row r="29" spans="1:41" ht="21.95" customHeight="1" x14ac:dyDescent="0.25">
      <c r="A29" s="50"/>
      <c r="B29" s="51"/>
      <c r="C29" s="51"/>
      <c r="D29" s="788"/>
      <c r="E29" s="22" t="s">
        <v>23</v>
      </c>
      <c r="F29" s="2">
        <v>37.1</v>
      </c>
      <c r="G29" s="78">
        <v>37.1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171.89999999999964</v>
      </c>
      <c r="N29">
        <v>0</v>
      </c>
      <c r="O29"/>
      <c r="P29" s="736">
        <v>0</v>
      </c>
      <c r="Q29" s="736">
        <v>-1.5699999999999999E-2</v>
      </c>
      <c r="R29" s="2"/>
      <c r="S29" s="48"/>
      <c r="U29" s="48"/>
    </row>
    <row r="30" spans="1:41" ht="21.95" customHeight="1" x14ac:dyDescent="0.25">
      <c r="A30" s="50"/>
      <c r="B30" s="50"/>
      <c r="C30" s="51"/>
      <c r="D30" s="788"/>
      <c r="E30" s="22" t="s">
        <v>266</v>
      </c>
      <c r="F30" s="2">
        <v>49.77</v>
      </c>
      <c r="G30" s="78">
        <v>49.77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98.449999999999818</v>
      </c>
      <c r="N30">
        <v>0</v>
      </c>
      <c r="O30"/>
      <c r="P30" s="736">
        <v>1.11E-2</v>
      </c>
      <c r="Q30" s="736">
        <v>4.1999999999999997E-3</v>
      </c>
      <c r="R30" s="2"/>
      <c r="S30" s="736"/>
      <c r="T30" s="48"/>
      <c r="V30" s="48"/>
    </row>
    <row r="31" spans="1:41" ht="21.95" customHeight="1" x14ac:dyDescent="0.25">
      <c r="A31" s="50"/>
      <c r="B31" s="50"/>
      <c r="C31" s="51"/>
      <c r="D31" s="788"/>
      <c r="E31" s="22" t="s">
        <v>325</v>
      </c>
      <c r="F31" s="2">
        <v>11.51</v>
      </c>
      <c r="G31" s="78">
        <v>11.51</v>
      </c>
      <c r="H31">
        <v>0</v>
      </c>
      <c r="I31" s="2">
        <v>0</v>
      </c>
      <c r="J31" s="2">
        <v>0</v>
      </c>
      <c r="K31" s="2">
        <v>-1184.9399999999987</v>
      </c>
      <c r="L31" s="736">
        <v>0</v>
      </c>
      <c r="M31" s="2">
        <v>98.479999999995925</v>
      </c>
      <c r="N31">
        <v>0</v>
      </c>
      <c r="O31"/>
      <c r="P31" s="736">
        <v>0</v>
      </c>
      <c r="Q31" s="736">
        <v>-1.9599999999999999E-2</v>
      </c>
      <c r="R31" s="2">
        <v>35.96875</v>
      </c>
      <c r="S31" s="736"/>
      <c r="X31"/>
      <c r="Y31"/>
      <c r="Z31"/>
      <c r="AA31" s="2"/>
      <c r="AB31"/>
      <c r="AC31"/>
      <c r="AD31" s="2"/>
      <c r="AE31"/>
      <c r="AF31"/>
      <c r="AG31" s="2"/>
      <c r="AH31"/>
      <c r="AI31" s="2"/>
      <c r="AJ31"/>
      <c r="AK31"/>
      <c r="AL31"/>
      <c r="AM31"/>
      <c r="AN31"/>
      <c r="AO31"/>
    </row>
    <row r="32" spans="1:41" ht="21.95" customHeight="1" x14ac:dyDescent="0.25">
      <c r="A32" s="50"/>
      <c r="B32" s="51"/>
      <c r="C32" s="51"/>
      <c r="D32" s="788"/>
      <c r="E32" s="22" t="s">
        <v>36</v>
      </c>
      <c r="F32" s="2">
        <v>53</v>
      </c>
      <c r="G32" s="78">
        <v>53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117.73999999999978</v>
      </c>
      <c r="N32">
        <v>0</v>
      </c>
      <c r="O32"/>
      <c r="P32" s="736">
        <v>0</v>
      </c>
      <c r="Q32" s="736">
        <v>-4.8999999999999998E-3</v>
      </c>
      <c r="R32" s="2"/>
      <c r="S32" s="736"/>
    </row>
    <row r="33" spans="1:41" ht="21.95" customHeight="1" x14ac:dyDescent="0.25">
      <c r="A33" s="51"/>
      <c r="B33" s="51"/>
      <c r="C33" s="51"/>
      <c r="D33" s="788"/>
      <c r="E33" s="22" t="s">
        <v>313</v>
      </c>
      <c r="F33" s="78">
        <v>41.72</v>
      </c>
      <c r="G33" s="78">
        <v>41.72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264.92000000000007</v>
      </c>
      <c r="N33">
        <v>0</v>
      </c>
      <c r="O33"/>
      <c r="P33" s="736">
        <v>3.4200000000000001E-2</v>
      </c>
      <c r="Q33" s="736">
        <v>2.18E-2</v>
      </c>
      <c r="R33" s="2"/>
      <c r="S33" s="736"/>
      <c r="T33" s="48"/>
    </row>
    <row r="34" spans="1:41" ht="21.95" customHeight="1" x14ac:dyDescent="0.25">
      <c r="A34" s="50"/>
      <c r="B34" s="50"/>
      <c r="C34" s="51"/>
      <c r="D34" s="788"/>
      <c r="E34" s="22" t="s">
        <v>298</v>
      </c>
      <c r="F34" s="2">
        <v>56.18</v>
      </c>
      <c r="G34" s="78">
        <v>56.18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910.79999999999927</v>
      </c>
      <c r="N34">
        <v>0</v>
      </c>
      <c r="O34"/>
      <c r="P34" s="736">
        <v>2.87E-2</v>
      </c>
      <c r="Q34" s="736">
        <v>-4.7999999999999996E-3</v>
      </c>
      <c r="R34" s="2"/>
      <c r="S34" s="48"/>
      <c r="T34" s="345"/>
      <c r="U34" s="345"/>
    </row>
    <row r="35" spans="1:41" ht="21.95" customHeight="1" x14ac:dyDescent="0.25">
      <c r="A35" s="50"/>
      <c r="B35" s="50"/>
      <c r="C35" s="51"/>
      <c r="D35" s="788"/>
      <c r="E35" s="22" t="s">
        <v>693</v>
      </c>
      <c r="F35" s="2">
        <v>31.01</v>
      </c>
      <c r="G35" s="78">
        <v>31.01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557.94000000000005</v>
      </c>
      <c r="N35">
        <v>0</v>
      </c>
      <c r="O35"/>
      <c r="P35" s="736">
        <v>4.0599999999999997E-2</v>
      </c>
      <c r="Q35" s="736">
        <v>1.41E-2</v>
      </c>
      <c r="R35" s="2"/>
      <c r="S35" s="48"/>
      <c r="U35" s="48"/>
    </row>
    <row r="36" spans="1:41" ht="21.95" customHeight="1" x14ac:dyDescent="0.25">
      <c r="A36" s="50"/>
      <c r="B36" s="50"/>
      <c r="C36" s="51"/>
      <c r="D36" s="788"/>
      <c r="E36" s="22" t="s">
        <v>247</v>
      </c>
      <c r="F36" s="2">
        <v>75.83</v>
      </c>
      <c r="G36" s="78">
        <v>75.83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329.74000000000069</v>
      </c>
      <c r="N36">
        <v>0</v>
      </c>
      <c r="O36"/>
      <c r="P36" s="736">
        <v>0</v>
      </c>
      <c r="Q36" s="736">
        <v>-5.1999999999999998E-3</v>
      </c>
      <c r="R36" s="2"/>
      <c r="S36" s="736"/>
    </row>
    <row r="37" spans="1:41" ht="21.95" customHeight="1" x14ac:dyDescent="0.25">
      <c r="A37" s="50"/>
      <c r="B37" s="50"/>
      <c r="C37" s="51"/>
      <c r="D37" s="788"/>
      <c r="E37" s="22" t="s">
        <v>672</v>
      </c>
      <c r="F37" s="2">
        <v>17.739999999999998</v>
      </c>
      <c r="G37" s="78">
        <v>17.739999999999998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309.26000000000022</v>
      </c>
      <c r="N37">
        <v>0</v>
      </c>
      <c r="O37" s="29"/>
      <c r="P37" s="736">
        <v>8.8000000000000005E-3</v>
      </c>
      <c r="Q37" s="736">
        <v>-2.8E-3</v>
      </c>
      <c r="R37" s="2"/>
      <c r="S37" s="736"/>
      <c r="T37" s="48"/>
      <c r="W37" s="48"/>
      <c r="Y37" s="48"/>
    </row>
    <row r="38" spans="1:41" ht="21.95" customHeight="1" x14ac:dyDescent="0.25">
      <c r="A38" s="50"/>
      <c r="B38" s="50"/>
      <c r="C38" s="51"/>
      <c r="D38" s="788"/>
      <c r="E38" s="22" t="s">
        <v>274</v>
      </c>
      <c r="F38" s="2">
        <v>68.239999999999995</v>
      </c>
      <c r="G38" s="78">
        <v>68.239999999999995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197.20999999999549</v>
      </c>
      <c r="N38">
        <v>0</v>
      </c>
      <c r="O38"/>
      <c r="P38" s="736">
        <v>2.5499999999999998E-2</v>
      </c>
      <c r="Q38" s="736">
        <v>8.8999999999999999E-3</v>
      </c>
      <c r="R38" s="2"/>
      <c r="U38" s="48"/>
    </row>
    <row r="39" spans="1:41" ht="21.95" customHeight="1" x14ac:dyDescent="0.25">
      <c r="A39" s="50"/>
      <c r="B39" s="51"/>
      <c r="C39" s="51"/>
      <c r="D39" s="788"/>
      <c r="E39" s="22" t="s">
        <v>736</v>
      </c>
      <c r="F39" s="2">
        <v>248.63</v>
      </c>
      <c r="G39" s="78">
        <v>248.63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843.18000000000029</v>
      </c>
      <c r="N39">
        <v>0</v>
      </c>
      <c r="O39"/>
      <c r="P39" s="736">
        <v>2.8E-3</v>
      </c>
      <c r="Q39" s="736">
        <v>-4.5999999999999999E-3</v>
      </c>
      <c r="R39" s="2"/>
    </row>
    <row r="40" spans="1:41" ht="21.95" customHeight="1" x14ac:dyDescent="0.25">
      <c r="A40" s="50"/>
      <c r="B40" s="50"/>
      <c r="C40" s="51"/>
      <c r="D40" s="788"/>
      <c r="E40" s="22" t="s">
        <v>1044</v>
      </c>
      <c r="F40" s="2">
        <v>52.64</v>
      </c>
      <c r="G40" s="78">
        <v>52.64</v>
      </c>
      <c r="H40">
        <v>0</v>
      </c>
      <c r="I40" s="2">
        <v>0</v>
      </c>
      <c r="J40" s="2">
        <v>0</v>
      </c>
      <c r="K40" s="2">
        <v>458.44000000000051</v>
      </c>
      <c r="L40" s="736">
        <v>0</v>
      </c>
      <c r="M40" s="2">
        <v>458.44000000000051</v>
      </c>
      <c r="N40">
        <v>0</v>
      </c>
      <c r="O40"/>
      <c r="P40" s="736">
        <v>2.8495440729483283E-2</v>
      </c>
      <c r="Q40" s="736">
        <v>1.1900000000000001E-2</v>
      </c>
      <c r="R40" s="2"/>
      <c r="S40" s="48"/>
      <c r="T40" s="48"/>
      <c r="V40" s="48"/>
    </row>
    <row r="41" spans="1:41" ht="21.95" customHeight="1" x14ac:dyDescent="0.25">
      <c r="A41" s="50"/>
      <c r="B41" s="50"/>
      <c r="C41" s="51"/>
      <c r="D41" s="788"/>
      <c r="E41" s="22" t="s">
        <v>196</v>
      </c>
      <c r="F41" s="2">
        <v>11.25</v>
      </c>
      <c r="G41" s="78">
        <v>11.25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495.20999999999913</v>
      </c>
      <c r="N41">
        <v>0</v>
      </c>
      <c r="O41"/>
      <c r="P41" s="736">
        <v>5.1499999999999997E-2</v>
      </c>
      <c r="Q41" s="736">
        <v>4.4999999999999997E-3</v>
      </c>
      <c r="R41" s="2"/>
      <c r="U41" s="48"/>
    </row>
    <row r="42" spans="1:41" ht="21.95" customHeight="1" x14ac:dyDescent="0.25">
      <c r="A42" s="50"/>
      <c r="B42" s="50"/>
      <c r="C42" s="51"/>
      <c r="D42" s="788"/>
      <c r="E42" s="22" t="s">
        <v>828</v>
      </c>
      <c r="F42" s="2">
        <v>99.29</v>
      </c>
      <c r="G42" s="78">
        <v>99.29</v>
      </c>
      <c r="H42">
        <v>0</v>
      </c>
      <c r="I42" s="2">
        <v>0</v>
      </c>
      <c r="J42" s="2">
        <v>0</v>
      </c>
      <c r="K42" s="2">
        <v>604.30000000000109</v>
      </c>
      <c r="L42" s="736">
        <v>0</v>
      </c>
      <c r="M42" s="2">
        <v>604.30000000000109</v>
      </c>
      <c r="N42">
        <v>0</v>
      </c>
      <c r="O42" t="s">
        <v>1123</v>
      </c>
      <c r="P42" s="736">
        <v>6.8486252391983084E-3</v>
      </c>
      <c r="Q42" s="736">
        <v>-2.07E-2</v>
      </c>
      <c r="R42" s="2">
        <v>20.903157894736843</v>
      </c>
      <c r="S42" s="736"/>
      <c r="X42"/>
      <c r="Y42"/>
      <c r="Z42"/>
      <c r="AA42" s="2"/>
      <c r="AB42"/>
      <c r="AC42"/>
      <c r="AD42" s="2"/>
      <c r="AE42"/>
      <c r="AF42"/>
      <c r="AG42" s="2"/>
      <c r="AH42"/>
      <c r="AI42" s="2"/>
      <c r="AJ42"/>
      <c r="AK42"/>
      <c r="AL42"/>
      <c r="AM42"/>
      <c r="AN42"/>
      <c r="AO42"/>
    </row>
    <row r="43" spans="1:41" ht="21.95" customHeight="1" x14ac:dyDescent="0.25">
      <c r="A43" s="50"/>
      <c r="B43" s="50"/>
      <c r="C43" s="51"/>
      <c r="D43" s="788"/>
      <c r="E43" s="22" t="s">
        <v>679</v>
      </c>
      <c r="F43" s="2">
        <v>140.65</v>
      </c>
      <c r="G43" s="78">
        <v>140.65</v>
      </c>
      <c r="H43">
        <v>0</v>
      </c>
      <c r="I43" s="2">
        <v>0</v>
      </c>
      <c r="J43" s="2">
        <v>0</v>
      </c>
      <c r="K43" s="2">
        <v>2714.0600000000013</v>
      </c>
      <c r="L43" s="736">
        <v>0</v>
      </c>
      <c r="M43" s="2">
        <v>2714.0600000000013</v>
      </c>
      <c r="N43">
        <v>0</v>
      </c>
      <c r="O43"/>
      <c r="P43" s="736">
        <v>2.8E-3</v>
      </c>
      <c r="Q43" s="736">
        <v>-2.0999999999999999E-3</v>
      </c>
      <c r="R43" s="2">
        <v>21.02391629297459</v>
      </c>
      <c r="S43" s="736"/>
      <c r="T43" s="48"/>
    </row>
    <row r="44" spans="1:41" ht="21.95" customHeight="1" x14ac:dyDescent="0.25">
      <c r="A44" s="50"/>
      <c r="B44" s="50"/>
      <c r="C44" s="51"/>
      <c r="D44" s="788"/>
      <c r="E44" s="22" t="s">
        <v>959</v>
      </c>
      <c r="F44" s="2">
        <v>102.1</v>
      </c>
      <c r="G44" s="78">
        <v>102.1</v>
      </c>
      <c r="H44">
        <v>0</v>
      </c>
      <c r="I44" s="2">
        <v>0</v>
      </c>
      <c r="J44" s="2">
        <v>0</v>
      </c>
      <c r="K44" s="2">
        <v>500.88000000000011</v>
      </c>
      <c r="L44" s="736">
        <v>0</v>
      </c>
      <c r="M44" s="2">
        <v>500.88000000000011</v>
      </c>
      <c r="N44">
        <v>0</v>
      </c>
      <c r="O44"/>
      <c r="P44" s="736">
        <v>6.2683643486777674E-3</v>
      </c>
      <c r="Q44" s="736">
        <v>8.9999999999999998E-4</v>
      </c>
      <c r="R44" s="2">
        <v>13.834688346883468</v>
      </c>
      <c r="S44" s="48"/>
      <c r="T44" s="48"/>
    </row>
    <row r="45" spans="1:41" ht="21.95" customHeight="1" x14ac:dyDescent="0.25">
      <c r="A45" s="50"/>
      <c r="B45" s="50"/>
      <c r="C45" s="51"/>
      <c r="D45" s="788"/>
      <c r="E45" s="22" t="s">
        <v>681</v>
      </c>
      <c r="F45" s="2">
        <v>210.94990000000001</v>
      </c>
      <c r="G45" s="78">
        <v>210.94990000000001</v>
      </c>
      <c r="H45">
        <v>0</v>
      </c>
      <c r="I45" s="2">
        <v>0</v>
      </c>
      <c r="J45" s="2">
        <v>0</v>
      </c>
      <c r="K45" s="2">
        <v>1411.7400000000016</v>
      </c>
      <c r="L45" s="736">
        <v>0</v>
      </c>
      <c r="M45" s="2">
        <v>1554.7700000000018</v>
      </c>
      <c r="N45">
        <v>0</v>
      </c>
      <c r="O45"/>
      <c r="P45" s="736">
        <v>2.370231035899993E-3</v>
      </c>
      <c r="Q45" s="736">
        <v>3.5999999999999999E-3</v>
      </c>
      <c r="R45" s="2">
        <v>30.750714285714285</v>
      </c>
      <c r="S45" s="48"/>
      <c r="T45" s="48"/>
      <c r="V45" s="48"/>
    </row>
    <row r="46" spans="1:41" ht="21.95" customHeight="1" x14ac:dyDescent="0.25">
      <c r="A46" s="50"/>
      <c r="B46" s="50"/>
      <c r="C46" s="51"/>
      <c r="D46" s="788"/>
      <c r="E46" s="22" t="s">
        <v>17</v>
      </c>
      <c r="F46" s="2">
        <v>0</v>
      </c>
      <c r="G46" s="78">
        <v>0</v>
      </c>
      <c r="H46">
        <v>0</v>
      </c>
      <c r="I46" s="2">
        <v>0</v>
      </c>
      <c r="J46" s="2">
        <v>0</v>
      </c>
      <c r="K46" s="2">
        <v>-20818.210000000079</v>
      </c>
      <c r="L46" s="736"/>
      <c r="M46" s="2">
        <v>-20818.210000000079</v>
      </c>
      <c r="N46">
        <v>0</v>
      </c>
      <c r="O46"/>
      <c r="P46" s="736">
        <v>0</v>
      </c>
      <c r="Q46" s="736">
        <v>0</v>
      </c>
      <c r="R46" s="2"/>
      <c r="S46" s="48"/>
      <c r="U46" s="48"/>
    </row>
    <row r="47" spans="1:41" ht="21.95" customHeight="1" x14ac:dyDescent="0.25">
      <c r="A47" s="50"/>
      <c r="B47" s="51"/>
      <c r="C47" s="51"/>
      <c r="D47" s="788"/>
      <c r="E47" s="22" t="s">
        <v>307</v>
      </c>
      <c r="F47" s="2">
        <v>147.05000000000001</v>
      </c>
      <c r="G47" s="78">
        <v>147.05000000000001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720.56000000000131</v>
      </c>
      <c r="N47">
        <v>0</v>
      </c>
      <c r="O47"/>
      <c r="P47" s="736">
        <v>0</v>
      </c>
      <c r="Q47" s="736">
        <v>4.0000000000000002E-4</v>
      </c>
      <c r="R47" s="2"/>
      <c r="T47" s="48"/>
    </row>
    <row r="48" spans="1:41" ht="21.95" customHeight="1" x14ac:dyDescent="0.25">
      <c r="A48" s="50"/>
      <c r="B48" s="50"/>
      <c r="C48" s="51"/>
      <c r="D48" s="788"/>
      <c r="E48" s="22" t="s">
        <v>691</v>
      </c>
      <c r="F48" s="78">
        <v>95.03</v>
      </c>
      <c r="G48" s="78">
        <v>95.03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329.55999999999949</v>
      </c>
      <c r="N48">
        <v>0</v>
      </c>
      <c r="O48"/>
      <c r="P48" s="736">
        <v>1.78E-2</v>
      </c>
      <c r="Q48" s="736">
        <v>-7.0000000000000001E-3</v>
      </c>
      <c r="R48" s="2"/>
      <c r="S48" s="48"/>
      <c r="T48" s="48"/>
      <c r="U48" s="48"/>
    </row>
    <row r="49" spans="1:41" ht="21.95" customHeight="1" x14ac:dyDescent="0.25">
      <c r="A49" s="50"/>
      <c r="B49" s="50"/>
      <c r="C49" s="51"/>
      <c r="D49" s="788"/>
      <c r="E49" s="22" t="s">
        <v>734</v>
      </c>
      <c r="F49" s="2">
        <v>692.68</v>
      </c>
      <c r="G49" s="78">
        <v>692.68</v>
      </c>
      <c r="H49">
        <v>0</v>
      </c>
      <c r="I49" s="2">
        <v>0</v>
      </c>
      <c r="J49" s="2">
        <v>0</v>
      </c>
      <c r="K49" s="2">
        <v>0</v>
      </c>
      <c r="L49" s="736">
        <v>0</v>
      </c>
      <c r="M49" s="2">
        <v>559.89000000000033</v>
      </c>
      <c r="N49">
        <v>0</v>
      </c>
      <c r="O49"/>
      <c r="P49" s="736">
        <v>0</v>
      </c>
      <c r="Q49" s="736">
        <v>3.0000000000000001E-3</v>
      </c>
      <c r="R49" s="2"/>
      <c r="V49" s="48"/>
    </row>
    <row r="50" spans="1:41" ht="21.95" customHeight="1" x14ac:dyDescent="0.25">
      <c r="A50" s="50"/>
      <c r="B50" s="50"/>
      <c r="C50" s="51"/>
      <c r="D50" s="788"/>
      <c r="E50" s="22" t="s">
        <v>945</v>
      </c>
      <c r="F50" s="2">
        <v>53.02</v>
      </c>
      <c r="G50" s="78">
        <v>53.02</v>
      </c>
      <c r="H50">
        <v>0</v>
      </c>
      <c r="I50" s="2">
        <v>0</v>
      </c>
      <c r="J50" s="2">
        <v>0</v>
      </c>
      <c r="K50" s="2">
        <v>1902.8299999999981</v>
      </c>
      <c r="L50" s="736">
        <v>0</v>
      </c>
      <c r="M50" s="2">
        <v>1902.8299999999981</v>
      </c>
      <c r="N50">
        <v>0</v>
      </c>
      <c r="O50"/>
      <c r="P50" s="736">
        <v>2.602791399471897E-2</v>
      </c>
      <c r="Q50" s="736">
        <v>-8.2000000000000007E-3</v>
      </c>
      <c r="R50" s="2">
        <v>12.049999999999999</v>
      </c>
      <c r="X50"/>
      <c r="Y50"/>
      <c r="Z50"/>
      <c r="AA50" s="2"/>
      <c r="AB50"/>
      <c r="AC50"/>
      <c r="AD50" s="2"/>
      <c r="AE50"/>
      <c r="AF50"/>
      <c r="AG50" s="2"/>
      <c r="AH50"/>
      <c r="AI50" s="2"/>
      <c r="AJ50"/>
      <c r="AK50"/>
      <c r="AL50"/>
      <c r="AM50"/>
      <c r="AN50"/>
      <c r="AO50"/>
    </row>
    <row r="51" spans="1:41" ht="21.95" customHeight="1" x14ac:dyDescent="0.25">
      <c r="A51" s="50"/>
      <c r="B51" s="50"/>
      <c r="C51" s="51"/>
      <c r="D51" s="788"/>
      <c r="E51" s="22" t="s">
        <v>944</v>
      </c>
      <c r="F51" s="2">
        <v>226</v>
      </c>
      <c r="G51" s="78">
        <v>226</v>
      </c>
      <c r="H51">
        <v>0</v>
      </c>
      <c r="I51" s="2">
        <v>0</v>
      </c>
      <c r="J51" s="2">
        <v>0</v>
      </c>
      <c r="K51" s="2">
        <v>137.51000000000022</v>
      </c>
      <c r="L51" s="736">
        <v>0</v>
      </c>
      <c r="M51" s="2">
        <v>137.51000000000022</v>
      </c>
      <c r="N51">
        <v>0</v>
      </c>
      <c r="O51"/>
      <c r="P51" s="736">
        <v>7.7876106194690268E-3</v>
      </c>
      <c r="Q51" s="736">
        <v>-6.1999999999999998E-3</v>
      </c>
      <c r="R51" s="2">
        <v>26.218097447795827</v>
      </c>
      <c r="U51" s="48"/>
    </row>
    <row r="52" spans="1:41" ht="21.95" customHeight="1" x14ac:dyDescent="0.25">
      <c r="A52" s="50"/>
      <c r="B52" s="50"/>
      <c r="C52" s="51"/>
      <c r="D52" s="788"/>
      <c r="E52" s="22" t="s">
        <v>941</v>
      </c>
      <c r="F52" s="2">
        <v>64</v>
      </c>
      <c r="G52" s="78">
        <v>64</v>
      </c>
      <c r="H52">
        <v>0</v>
      </c>
      <c r="I52" s="2">
        <v>0</v>
      </c>
      <c r="J52" s="2">
        <v>0</v>
      </c>
      <c r="K52" s="2">
        <v>77.670000000000073</v>
      </c>
      <c r="L52" s="736">
        <v>0</v>
      </c>
      <c r="M52" s="2">
        <v>77.670000000000073</v>
      </c>
      <c r="N52">
        <v>0</v>
      </c>
      <c r="O52"/>
      <c r="P52" s="736">
        <v>3.90625E-2</v>
      </c>
      <c r="Q52" s="736">
        <v>5.0000000000000001E-4</v>
      </c>
      <c r="R52" s="2">
        <v>16.886543535620053</v>
      </c>
    </row>
    <row r="53" spans="1:41" ht="21.95" customHeight="1" x14ac:dyDescent="0.25">
      <c r="A53" s="51"/>
      <c r="B53" s="51"/>
      <c r="C53" s="51"/>
      <c r="D53" s="788"/>
      <c r="E53" s="22" t="s">
        <v>921</v>
      </c>
      <c r="F53" s="2">
        <v>36.409999999999997</v>
      </c>
      <c r="G53" s="78">
        <v>36.409999999999997</v>
      </c>
      <c r="H53">
        <v>0</v>
      </c>
      <c r="I53" s="2">
        <v>0</v>
      </c>
      <c r="J53" s="2">
        <v>0</v>
      </c>
      <c r="K53" s="2">
        <v>845.78000000000065</v>
      </c>
      <c r="L53" s="736">
        <v>0</v>
      </c>
      <c r="M53" s="2">
        <v>845.78000000000065</v>
      </c>
      <c r="N53">
        <v>0</v>
      </c>
      <c r="O53"/>
      <c r="P53" s="736">
        <v>7.2507552870090641E-2</v>
      </c>
      <c r="Q53" s="736">
        <v>0</v>
      </c>
      <c r="R53" s="2"/>
      <c r="S53" s="736"/>
      <c r="U53" s="48"/>
    </row>
    <row r="54" spans="1:41" ht="21.95" customHeight="1" x14ac:dyDescent="0.25">
      <c r="A54" s="50"/>
      <c r="B54" s="50"/>
      <c r="C54" s="51"/>
      <c r="D54" s="788"/>
      <c r="E54" s="22" t="s">
        <v>917</v>
      </c>
      <c r="F54" s="2">
        <v>249.23</v>
      </c>
      <c r="G54" s="78">
        <v>249.23</v>
      </c>
      <c r="H54">
        <v>0</v>
      </c>
      <c r="I54" s="2">
        <v>0</v>
      </c>
      <c r="J54" s="2">
        <v>0</v>
      </c>
      <c r="K54" s="2">
        <v>423.00000000000364</v>
      </c>
      <c r="L54" s="736">
        <v>0</v>
      </c>
      <c r="M54" s="2">
        <v>423.00000000000364</v>
      </c>
      <c r="N54">
        <v>0</v>
      </c>
      <c r="O54"/>
      <c r="P54" s="736">
        <v>1.9900000000000001E-2</v>
      </c>
      <c r="Q54" s="736">
        <v>5.5999999999999999E-3</v>
      </c>
      <c r="R54" s="2">
        <v>16.34</v>
      </c>
      <c r="S54" s="736"/>
      <c r="T54" s="48"/>
      <c r="U54" s="48"/>
    </row>
    <row r="55" spans="1:41" ht="21.95" customHeight="1" x14ac:dyDescent="0.25">
      <c r="A55" s="50"/>
      <c r="B55" s="50"/>
      <c r="C55" s="51"/>
      <c r="D55" s="788"/>
      <c r="E55" s="22" t="s">
        <v>194</v>
      </c>
      <c r="F55" s="2">
        <v>77.569999999999993</v>
      </c>
      <c r="G55" s="78">
        <v>77.569999999999993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785.90999999999985</v>
      </c>
      <c r="N55">
        <v>0</v>
      </c>
      <c r="O55"/>
      <c r="P55" s="736">
        <v>1.29E-2</v>
      </c>
      <c r="Q55" s="736">
        <v>3.8E-3</v>
      </c>
      <c r="R55" s="2"/>
      <c r="T55" s="48"/>
      <c r="X55"/>
      <c r="Y55"/>
      <c r="Z55"/>
      <c r="AA55" s="2"/>
      <c r="AB55"/>
      <c r="AC55"/>
      <c r="AD55" s="2"/>
      <c r="AE55"/>
      <c r="AF55"/>
      <c r="AG55" s="2"/>
      <c r="AH55"/>
      <c r="AI55" s="2"/>
      <c r="AJ55"/>
      <c r="AK55"/>
      <c r="AL55"/>
      <c r="AM55" s="2"/>
      <c r="AN55"/>
      <c r="AO55"/>
    </row>
    <row r="56" spans="1:41" ht="21.95" customHeight="1" x14ac:dyDescent="0.25">
      <c r="A56" s="50"/>
      <c r="B56" s="50"/>
      <c r="C56" s="51"/>
      <c r="D56" s="788"/>
      <c r="E56" s="22" t="s">
        <v>223</v>
      </c>
      <c r="F56" s="2">
        <v>57.52</v>
      </c>
      <c r="G56" s="78">
        <v>57.52</v>
      </c>
      <c r="H56">
        <v>0</v>
      </c>
      <c r="I56" s="2">
        <v>0</v>
      </c>
      <c r="J56" s="2">
        <v>0</v>
      </c>
      <c r="K56" s="2">
        <v>0</v>
      </c>
      <c r="L56" s="736">
        <v>0</v>
      </c>
      <c r="M56" s="2">
        <v>257.64999999999964</v>
      </c>
      <c r="N56">
        <v>0</v>
      </c>
      <c r="O56"/>
      <c r="P56" s="736">
        <v>0</v>
      </c>
      <c r="Q56" s="736">
        <v>2.8E-3</v>
      </c>
      <c r="R56" s="2"/>
      <c r="S56" s="48"/>
      <c r="T56" s="48"/>
    </row>
    <row r="57" spans="1:41" ht="21.95" customHeight="1" x14ac:dyDescent="0.25">
      <c r="A57" s="50"/>
      <c r="B57" s="51"/>
      <c r="C57" s="51"/>
      <c r="D57" s="788"/>
      <c r="E57" s="22" t="s">
        <v>823</v>
      </c>
      <c r="F57" s="78">
        <v>454.21</v>
      </c>
      <c r="G57" s="78">
        <v>454.21</v>
      </c>
      <c r="H57">
        <v>0</v>
      </c>
      <c r="I57" s="2">
        <v>0</v>
      </c>
      <c r="J57" s="2">
        <v>0</v>
      </c>
      <c r="K57" s="2">
        <v>0</v>
      </c>
      <c r="L57" s="736">
        <v>0</v>
      </c>
      <c r="M57" s="2">
        <v>1264.8599999999997</v>
      </c>
      <c r="N57">
        <v>0</v>
      </c>
      <c r="O57"/>
      <c r="P57" s="736">
        <v>0</v>
      </c>
      <c r="Q57" s="736">
        <v>-2.0899999999999998E-2</v>
      </c>
      <c r="R57" s="2"/>
      <c r="S57" s="48"/>
      <c r="T57" s="48"/>
      <c r="U57" s="48"/>
      <c r="V57" s="48"/>
    </row>
    <row r="58" spans="1:41" ht="21.95" customHeight="1" x14ac:dyDescent="0.25">
      <c r="A58" s="50"/>
      <c r="B58" s="50"/>
      <c r="C58" s="51"/>
      <c r="D58" s="788"/>
      <c r="E58" s="22" t="s">
        <v>733</v>
      </c>
      <c r="F58" s="2">
        <v>75.86</v>
      </c>
      <c r="G58" s="78">
        <v>75.86</v>
      </c>
      <c r="H58">
        <v>0</v>
      </c>
      <c r="I58" s="2">
        <v>0</v>
      </c>
      <c r="J58" s="2">
        <v>0</v>
      </c>
      <c r="K58" s="2">
        <v>581.39999999999964</v>
      </c>
      <c r="L58" s="736">
        <v>0</v>
      </c>
      <c r="M58" s="2">
        <v>1040.7199999999993</v>
      </c>
      <c r="N58">
        <v>0</v>
      </c>
      <c r="O58"/>
      <c r="P58" s="736">
        <v>0</v>
      </c>
      <c r="Q58" s="736">
        <v>-5.8999999999999999E-3</v>
      </c>
      <c r="R58" s="2">
        <v>18.570379436964505</v>
      </c>
      <c r="S58" s="736"/>
      <c r="U58" s="48"/>
      <c r="V58" s="48"/>
    </row>
    <row r="59" spans="1:41" ht="21.95" customHeight="1" x14ac:dyDescent="0.25">
      <c r="A59" s="50"/>
      <c r="B59" s="51"/>
      <c r="C59" s="51"/>
      <c r="D59" s="788"/>
      <c r="E59" s="22" t="s">
        <v>34</v>
      </c>
      <c r="F59" s="2">
        <v>55.74</v>
      </c>
      <c r="G59" s="78">
        <v>55.74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21137.586999999941</v>
      </c>
      <c r="N59">
        <v>0</v>
      </c>
      <c r="O59"/>
      <c r="P59" s="736">
        <v>0</v>
      </c>
      <c r="Q59" s="736">
        <v>2.63E-2</v>
      </c>
      <c r="R59" s="2"/>
      <c r="S59" s="736"/>
      <c r="T59" s="48"/>
    </row>
    <row r="60" spans="1:41" ht="21.95" customHeight="1" x14ac:dyDescent="0.25">
      <c r="A60" s="51"/>
      <c r="B60" s="51"/>
      <c r="C60" s="51"/>
      <c r="D60" s="788"/>
      <c r="E60" s="22" t="s">
        <v>172</v>
      </c>
      <c r="F60" s="2">
        <v>53.47</v>
      </c>
      <c r="G60" s="78">
        <v>53.47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119.92000000000053</v>
      </c>
      <c r="N60">
        <v>0</v>
      </c>
      <c r="O60"/>
      <c r="P60" s="736">
        <v>3.6400000000000002E-2</v>
      </c>
      <c r="Q60" s="736">
        <v>7.9000000000000008E-3</v>
      </c>
      <c r="R60" s="2"/>
      <c r="S60" s="736"/>
      <c r="T60" s="48"/>
      <c r="U60" s="48"/>
    </row>
    <row r="61" spans="1:41" ht="21.95" customHeight="1" x14ac:dyDescent="0.25">
      <c r="A61" s="50"/>
      <c r="B61" s="50"/>
      <c r="C61" s="51"/>
      <c r="D61" s="788"/>
      <c r="E61" s="22" t="s">
        <v>27</v>
      </c>
      <c r="F61" s="2">
        <v>52.16</v>
      </c>
      <c r="G61" s="78">
        <v>52.16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1407.5400000000009</v>
      </c>
      <c r="N61">
        <v>0</v>
      </c>
      <c r="O61"/>
      <c r="P61" s="736">
        <v>3.0200000000000001E-2</v>
      </c>
      <c r="Q61" s="736">
        <v>5.7999999999999996E-3</v>
      </c>
      <c r="R61" s="2"/>
      <c r="U61" s="48"/>
    </row>
    <row r="62" spans="1:41" ht="21.95" customHeight="1" x14ac:dyDescent="0.25">
      <c r="A62" s="50"/>
      <c r="B62" s="50"/>
      <c r="C62" s="51"/>
      <c r="D62" s="788"/>
      <c r="E62" s="22" t="s">
        <v>22</v>
      </c>
      <c r="F62" s="78">
        <v>69.599999999999994</v>
      </c>
      <c r="G62" s="78">
        <v>69.599999999999994</v>
      </c>
      <c r="H62">
        <v>0</v>
      </c>
      <c r="I62" s="2">
        <v>0</v>
      </c>
      <c r="J62" s="2">
        <v>0</v>
      </c>
      <c r="K62" s="2">
        <v>0</v>
      </c>
      <c r="L62" s="736">
        <v>0</v>
      </c>
      <c r="M62" s="2">
        <v>3178.8000000000466</v>
      </c>
      <c r="N62">
        <v>0</v>
      </c>
      <c r="O62"/>
      <c r="P62" s="736">
        <v>2.07E-2</v>
      </c>
      <c r="Q62" s="736">
        <v>5.5999999999999999E-3</v>
      </c>
      <c r="R62" s="2"/>
      <c r="S62" s="736"/>
      <c r="T62" s="48"/>
    </row>
    <row r="63" spans="1:41" ht="21.95" customHeight="1" x14ac:dyDescent="0.25">
      <c r="A63" s="50"/>
      <c r="B63" s="50"/>
      <c r="C63" s="50"/>
      <c r="D63" s="788"/>
      <c r="E63" s="22" t="s">
        <v>42</v>
      </c>
      <c r="F63" s="2">
        <v>144.11000000000001</v>
      </c>
      <c r="G63" s="78">
        <v>144.11000000000001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128.08999999999833</v>
      </c>
      <c r="N63">
        <v>0</v>
      </c>
      <c r="O63"/>
      <c r="P63" s="736">
        <v>2.18E-2</v>
      </c>
      <c r="Q63" s="736">
        <v>-6.4999999999999997E-3</v>
      </c>
      <c r="R63" s="2"/>
      <c r="S63" s="48"/>
      <c r="U63" s="48"/>
    </row>
    <row r="64" spans="1:41" ht="21.95" customHeight="1" x14ac:dyDescent="0.25">
      <c r="A64" s="51"/>
      <c r="B64" s="51"/>
      <c r="C64" s="51"/>
      <c r="D64" s="788"/>
      <c r="E64" s="22" t="s">
        <v>267</v>
      </c>
      <c r="F64" s="2">
        <v>47.6</v>
      </c>
      <c r="G64" s="78">
        <v>47.6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427.92000000000007</v>
      </c>
      <c r="N64">
        <v>0</v>
      </c>
      <c r="O64"/>
      <c r="P64" s="736">
        <v>0</v>
      </c>
      <c r="Q64" s="736">
        <v>-3.5999999999999999E-3</v>
      </c>
      <c r="R64" s="2"/>
      <c r="S64" s="48"/>
    </row>
    <row r="65" spans="1:41" ht="21.95" customHeight="1" x14ac:dyDescent="0.25">
      <c r="A65" s="50"/>
      <c r="B65" s="50"/>
      <c r="C65" s="50"/>
      <c r="D65" s="788"/>
      <c r="E65" s="22" t="s">
        <v>175</v>
      </c>
      <c r="F65" s="2">
        <v>278.89999999999998</v>
      </c>
      <c r="G65" s="78">
        <v>278.89999999999998</v>
      </c>
      <c r="H65">
        <v>0</v>
      </c>
      <c r="I65" s="2">
        <v>0</v>
      </c>
      <c r="J65" s="2">
        <v>0</v>
      </c>
      <c r="K65" s="2">
        <v>873.70999999999913</v>
      </c>
      <c r="L65" s="736">
        <v>0</v>
      </c>
      <c r="M65" s="2">
        <v>1034.5399999999991</v>
      </c>
      <c r="N65">
        <v>0</v>
      </c>
      <c r="O65"/>
      <c r="P65" s="736">
        <v>1.84E-2</v>
      </c>
      <c r="Q65" s="736">
        <v>3.5999999999999999E-3</v>
      </c>
      <c r="R65" s="2">
        <v>21.45384615384615</v>
      </c>
      <c r="S65" s="736"/>
      <c r="X65"/>
      <c r="Y65"/>
      <c r="Z65"/>
      <c r="AA65" s="2"/>
      <c r="AB65"/>
      <c r="AC65"/>
      <c r="AD65" s="2"/>
      <c r="AE65"/>
      <c r="AF65"/>
      <c r="AG65" s="2"/>
      <c r="AH65"/>
      <c r="AI65" s="2"/>
      <c r="AJ65"/>
      <c r="AK65"/>
      <c r="AL65"/>
      <c r="AM65"/>
      <c r="AN65"/>
      <c r="AO65"/>
    </row>
    <row r="66" spans="1:41" ht="21.95" customHeight="1" x14ac:dyDescent="0.25">
      <c r="A66" s="50"/>
      <c r="B66" s="50"/>
      <c r="C66" s="51"/>
      <c r="D66" s="788"/>
      <c r="E66" s="22" t="s">
        <v>170</v>
      </c>
      <c r="F66" s="2">
        <v>101.64</v>
      </c>
      <c r="G66" s="78">
        <v>101.64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1368.9000000000015</v>
      </c>
      <c r="N66">
        <v>0</v>
      </c>
      <c r="O66"/>
      <c r="P66" s="736">
        <v>1.14E-2</v>
      </c>
      <c r="Q66" s="736">
        <v>1.2E-2</v>
      </c>
      <c r="R66" s="2"/>
      <c r="S66" s="48"/>
      <c r="T66" s="48"/>
      <c r="V66" s="48"/>
      <c r="X66"/>
      <c r="Y66"/>
      <c r="Z66"/>
      <c r="AA66" s="2"/>
      <c r="AB66"/>
      <c r="AC66"/>
      <c r="AD66" s="2"/>
      <c r="AE66"/>
      <c r="AF66"/>
      <c r="AG66" s="2"/>
      <c r="AH66"/>
      <c r="AI66" s="2"/>
      <c r="AJ66"/>
      <c r="AK66"/>
      <c r="AL66"/>
      <c r="AM66"/>
      <c r="AN66"/>
      <c r="AO66"/>
    </row>
    <row r="67" spans="1:41" ht="21.95" customHeight="1" x14ac:dyDescent="0.25">
      <c r="A67" s="51"/>
      <c r="B67" s="51"/>
      <c r="C67" s="51"/>
      <c r="D67" s="788"/>
      <c r="E67" s="22" t="s">
        <v>8</v>
      </c>
      <c r="F67" s="2">
        <v>0</v>
      </c>
      <c r="G67" s="78">
        <v>0</v>
      </c>
      <c r="H67">
        <v>0</v>
      </c>
      <c r="I67" s="2">
        <v>0</v>
      </c>
      <c r="J67" s="2">
        <v>0</v>
      </c>
      <c r="K67" s="2">
        <v>0</v>
      </c>
      <c r="L67" s="736"/>
      <c r="M67" s="2">
        <v>121.94999999999982</v>
      </c>
      <c r="N67">
        <v>0</v>
      </c>
      <c r="O67"/>
      <c r="P67" s="736">
        <v>1.67E-2</v>
      </c>
      <c r="Q67" s="736">
        <v>0</v>
      </c>
      <c r="R67" s="2"/>
      <c r="S67" s="736"/>
      <c r="T67" s="48"/>
      <c r="U67" s="48"/>
    </row>
    <row r="68" spans="1:41" ht="21.95" customHeight="1" x14ac:dyDescent="0.25">
      <c r="A68" s="51"/>
      <c r="B68" s="51"/>
      <c r="C68" s="51"/>
      <c r="D68" s="788"/>
      <c r="E68" s="22" t="s">
        <v>10</v>
      </c>
      <c r="F68" s="2">
        <v>47.89</v>
      </c>
      <c r="G68" s="78">
        <v>47.89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1128.3800000000047</v>
      </c>
      <c r="N68">
        <v>0</v>
      </c>
      <c r="O68"/>
      <c r="P68" s="736">
        <v>1.2500000000000001E-2</v>
      </c>
      <c r="Q68" s="736">
        <v>-8.3000000000000001E-3</v>
      </c>
      <c r="R68" s="2"/>
      <c r="S68" s="736"/>
    </row>
    <row r="69" spans="1:41" ht="21.95" customHeight="1" x14ac:dyDescent="0.25">
      <c r="A69" s="60"/>
      <c r="B69" s="61"/>
      <c r="C69" s="60"/>
      <c r="D69" s="788"/>
      <c r="E69" s="22" t="s">
        <v>222</v>
      </c>
      <c r="F69" s="2">
        <v>43.64</v>
      </c>
      <c r="G69" s="78">
        <v>43.64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4376.9599999999991</v>
      </c>
      <c r="N69">
        <v>0</v>
      </c>
      <c r="O69" t="s">
        <v>1209</v>
      </c>
      <c r="P69" s="736">
        <v>4.0899999999999999E-2</v>
      </c>
      <c r="Q69" s="736">
        <v>8.9999999999999998E-4</v>
      </c>
      <c r="R69" s="2"/>
      <c r="S69" s="736"/>
      <c r="U69" s="48"/>
    </row>
    <row r="70" spans="1:41" ht="21.95" customHeight="1" x14ac:dyDescent="0.25">
      <c r="A70" s="51"/>
      <c r="B70" s="51"/>
      <c r="C70" s="51"/>
      <c r="D70" s="788"/>
      <c r="E70" s="22" t="s">
        <v>340</v>
      </c>
      <c r="F70" s="78">
        <v>78.3</v>
      </c>
      <c r="G70" s="78">
        <v>78.3</v>
      </c>
      <c r="H70">
        <v>0</v>
      </c>
      <c r="I70" s="2">
        <v>0</v>
      </c>
      <c r="J70" s="2">
        <v>0</v>
      </c>
      <c r="K70" s="2">
        <v>129.92000000000007</v>
      </c>
      <c r="L70" s="736">
        <v>0</v>
      </c>
      <c r="M70" s="2">
        <v>2190.3500000000004</v>
      </c>
      <c r="N70">
        <v>0</v>
      </c>
      <c r="O70"/>
      <c r="P70" s="736">
        <v>4.3499999999999997E-2</v>
      </c>
      <c r="Q70" s="736">
        <v>6.8999999999999999E-3</v>
      </c>
      <c r="R70" s="2">
        <v>14.914285714285715</v>
      </c>
      <c r="S70" s="48"/>
      <c r="X70"/>
      <c r="Y70"/>
      <c r="Z70"/>
      <c r="AA70" s="2"/>
      <c r="AB70"/>
      <c r="AC70"/>
      <c r="AD70" s="2"/>
      <c r="AE70"/>
      <c r="AF70"/>
      <c r="AG70" s="2"/>
      <c r="AH70"/>
      <c r="AI70" s="2"/>
      <c r="AJ70"/>
      <c r="AK70"/>
      <c r="AL70"/>
      <c r="AM70"/>
      <c r="AN70"/>
      <c r="AO70"/>
    </row>
    <row r="71" spans="1:41" ht="21.95" customHeight="1" x14ac:dyDescent="0.25">
      <c r="A71" s="50"/>
      <c r="B71" s="50"/>
      <c r="C71" s="51"/>
      <c r="D71" s="788"/>
      <c r="E71" s="22" t="s">
        <v>24</v>
      </c>
      <c r="F71" s="2">
        <v>67.31</v>
      </c>
      <c r="G71" s="78">
        <v>67.31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937.36999999999534</v>
      </c>
      <c r="N71">
        <v>0</v>
      </c>
      <c r="O71"/>
      <c r="P71" s="736">
        <v>0</v>
      </c>
      <c r="Q71" s="736">
        <v>-1.1999999999999999E-3</v>
      </c>
      <c r="R71" s="2"/>
      <c r="S71" s="48"/>
    </row>
    <row r="72" spans="1:41" ht="21.95" customHeight="1" x14ac:dyDescent="0.25">
      <c r="A72" s="51"/>
      <c r="B72" s="51"/>
      <c r="C72" s="51"/>
      <c r="D72" s="788"/>
      <c r="E72" s="22" t="s">
        <v>45</v>
      </c>
      <c r="F72" s="2">
        <v>93.36</v>
      </c>
      <c r="G72" s="78">
        <v>93.36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523.61999999999898</v>
      </c>
      <c r="N72">
        <v>0</v>
      </c>
      <c r="O72"/>
      <c r="P72" s="736">
        <v>1.67E-2</v>
      </c>
      <c r="Q72" s="736">
        <v>-2.5999999999999999E-3</v>
      </c>
      <c r="R72" s="2"/>
      <c r="S72" s="48"/>
      <c r="T72" s="48"/>
      <c r="V72" s="48"/>
      <c r="W72" s="48"/>
      <c r="X72"/>
      <c r="Y72"/>
      <c r="Z72"/>
      <c r="AA72" s="2"/>
      <c r="AB72"/>
      <c r="AC72"/>
      <c r="AD72" s="2"/>
      <c r="AE72"/>
      <c r="AF72"/>
      <c r="AG72" s="2"/>
      <c r="AH72"/>
      <c r="AI72" s="2"/>
      <c r="AJ72"/>
      <c r="AK72"/>
      <c r="AL72"/>
      <c r="AM72"/>
      <c r="AN72"/>
      <c r="AO72"/>
    </row>
    <row r="73" spans="1:41" ht="21.95" customHeight="1" x14ac:dyDescent="0.25">
      <c r="A73" s="50"/>
      <c r="B73" s="50"/>
      <c r="C73" s="51"/>
      <c r="D73" s="788"/>
      <c r="E73" s="22" t="s">
        <v>47</v>
      </c>
      <c r="F73" s="2">
        <v>158.71</v>
      </c>
      <c r="G73" s="78">
        <v>158.71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-168.6200000000008</v>
      </c>
      <c r="N73">
        <v>0</v>
      </c>
      <c r="O73"/>
      <c r="P73" s="736">
        <v>0</v>
      </c>
      <c r="Q73" s="736">
        <v>0.01</v>
      </c>
      <c r="R73" s="2"/>
      <c r="T73" s="48"/>
      <c r="U73" s="48"/>
      <c r="X73"/>
      <c r="Y73"/>
      <c r="Z73"/>
      <c r="AA73" s="2"/>
      <c r="AB73"/>
      <c r="AC73"/>
      <c r="AD73" s="2"/>
      <c r="AE73"/>
      <c r="AF73"/>
      <c r="AG73" s="2"/>
      <c r="AH73"/>
      <c r="AI73" s="2"/>
      <c r="AJ73"/>
      <c r="AK73"/>
      <c r="AL73"/>
      <c r="AM73"/>
      <c r="AN73"/>
      <c r="AO73"/>
    </row>
    <row r="74" spans="1:41" ht="21.95" customHeight="1" x14ac:dyDescent="0.25">
      <c r="A74" s="50"/>
      <c r="B74" s="50"/>
      <c r="C74" s="51"/>
      <c r="D74" s="788"/>
      <c r="E74" s="22" t="s">
        <v>33</v>
      </c>
      <c r="F74" s="2">
        <v>250.56</v>
      </c>
      <c r="G74" s="78">
        <v>250.56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780.73999999999796</v>
      </c>
      <c r="N74">
        <v>0</v>
      </c>
      <c r="O74"/>
      <c r="P74" s="736">
        <v>1.8599999999999998E-2</v>
      </c>
      <c r="Q74" s="736">
        <v>1.2699999999999999E-2</v>
      </c>
      <c r="R74" s="2"/>
      <c r="S74" s="48"/>
      <c r="T74" s="48"/>
      <c r="U74" s="48"/>
    </row>
    <row r="75" spans="1:41" ht="21.95" customHeight="1" x14ac:dyDescent="0.25">
      <c r="A75" s="51"/>
      <c r="B75" s="152"/>
      <c r="C75" s="325"/>
      <c r="D75" s="788"/>
      <c r="E75" s="22" t="s">
        <v>13</v>
      </c>
      <c r="F75" s="2">
        <v>71.3</v>
      </c>
      <c r="G75" s="78">
        <v>71.3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1461.5600000000013</v>
      </c>
      <c r="N75">
        <v>0</v>
      </c>
      <c r="O75"/>
      <c r="P75" s="736">
        <v>0</v>
      </c>
      <c r="Q75" s="736">
        <v>-6.7999999999999996E-3</v>
      </c>
      <c r="R75" s="2"/>
      <c r="T75" s="48"/>
      <c r="X75" s="736"/>
      <c r="Y75"/>
      <c r="Z75"/>
      <c r="AA75" s="2"/>
      <c r="AB75"/>
      <c r="AC75"/>
      <c r="AD75" s="2"/>
      <c r="AE75"/>
      <c r="AF75"/>
      <c r="AG75" s="2"/>
      <c r="AH75"/>
      <c r="AI75" s="2"/>
      <c r="AJ75"/>
      <c r="AK75"/>
      <c r="AL75"/>
      <c r="AM75" s="2"/>
      <c r="AN75"/>
      <c r="AO75"/>
    </row>
    <row r="76" spans="1:41" ht="21.95" customHeight="1" x14ac:dyDescent="0.25">
      <c r="A76" s="50"/>
      <c r="B76" s="50"/>
      <c r="C76" s="50"/>
      <c r="D76" s="788"/>
      <c r="E76" s="22" t="s">
        <v>52</v>
      </c>
      <c r="F76" s="2">
        <v>50.17</v>
      </c>
      <c r="G76" s="78">
        <v>50.17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1056.739999999998</v>
      </c>
      <c r="N76">
        <v>0</v>
      </c>
      <c r="O76"/>
      <c r="P76" s="736">
        <v>2.1999999999999999E-2</v>
      </c>
      <c r="Q76" s="736">
        <v>-1.8E-3</v>
      </c>
      <c r="R76" s="2"/>
      <c r="S76" s="736"/>
    </row>
    <row r="77" spans="1:41" ht="21.95" customHeight="1" x14ac:dyDescent="0.25">
      <c r="A77" s="51"/>
      <c r="B77" s="50"/>
      <c r="C77" s="51"/>
      <c r="D77" s="788"/>
      <c r="E77" s="22" t="s">
        <v>329</v>
      </c>
      <c r="F77" s="2">
        <v>24.14</v>
      </c>
      <c r="G77" s="78">
        <v>24.14</v>
      </c>
      <c r="H77">
        <v>0</v>
      </c>
      <c r="I77" s="2">
        <v>0</v>
      </c>
      <c r="J77" s="2">
        <v>0</v>
      </c>
      <c r="K77" s="2">
        <v>926.77000000000044</v>
      </c>
      <c r="L77" s="736">
        <v>0</v>
      </c>
      <c r="M77" s="2">
        <v>1211.7400000000052</v>
      </c>
      <c r="N77">
        <v>0</v>
      </c>
      <c r="O77"/>
      <c r="P77" s="736">
        <v>0</v>
      </c>
      <c r="Q77" s="736">
        <v>-4.4999999999999997E-3</v>
      </c>
      <c r="R77" s="2">
        <v>9.8530612244897959</v>
      </c>
      <c r="S77" s="48"/>
      <c r="T77" s="48"/>
    </row>
    <row r="78" spans="1:41" ht="21.95" customHeight="1" x14ac:dyDescent="0.25">
      <c r="A78" s="51"/>
      <c r="B78" s="51"/>
      <c r="C78" s="51"/>
      <c r="D78" s="788"/>
      <c r="E78" s="22" t="s">
        <v>63</v>
      </c>
      <c r="F78" s="2">
        <v>106.03</v>
      </c>
      <c r="G78" s="78">
        <v>106.03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257.30999999999949</v>
      </c>
      <c r="N78">
        <v>0</v>
      </c>
      <c r="O78"/>
      <c r="P78" s="736">
        <v>1.38E-2</v>
      </c>
      <c r="Q78" s="736">
        <v>1E-4</v>
      </c>
      <c r="R78" s="2"/>
      <c r="S78" s="48"/>
      <c r="T78" s="48"/>
      <c r="U78" s="48"/>
      <c r="V78" s="48"/>
    </row>
    <row r="79" spans="1:41" ht="21.95" customHeight="1" x14ac:dyDescent="0.25">
      <c r="A79" s="50"/>
      <c r="B79" s="50"/>
      <c r="C79" s="51"/>
      <c r="D79" s="788"/>
      <c r="E79" s="22" t="s">
        <v>9</v>
      </c>
      <c r="F79" s="2">
        <v>5.38</v>
      </c>
      <c r="G79" s="78">
        <v>5.38</v>
      </c>
      <c r="H79">
        <v>0</v>
      </c>
      <c r="I79" s="2">
        <v>0</v>
      </c>
      <c r="J79" s="2">
        <v>0</v>
      </c>
      <c r="K79" s="2">
        <v>-8332.1133333333346</v>
      </c>
      <c r="L79" s="736">
        <v>0</v>
      </c>
      <c r="M79" s="2">
        <v>-7897.1833333333343</v>
      </c>
      <c r="N79">
        <v>0</v>
      </c>
      <c r="O79"/>
      <c r="P79" s="736">
        <v>0.04</v>
      </c>
      <c r="Q79" s="736">
        <v>-7.4000000000000003E-3</v>
      </c>
      <c r="R79" s="2"/>
      <c r="S79" s="736"/>
      <c r="T79" s="48"/>
      <c r="X79"/>
      <c r="Y79"/>
      <c r="Z79"/>
      <c r="AA79" s="2"/>
      <c r="AB79"/>
      <c r="AC79"/>
      <c r="AD79" s="2"/>
      <c r="AE79"/>
      <c r="AF79"/>
      <c r="AG79" s="2"/>
      <c r="AH79"/>
      <c r="AI79" s="2"/>
      <c r="AJ79"/>
      <c r="AK79"/>
      <c r="AL79"/>
      <c r="AM79"/>
      <c r="AN79"/>
      <c r="AO79"/>
    </row>
    <row r="80" spans="1:41" ht="21.95" customHeight="1" x14ac:dyDescent="0.25">
      <c r="A80" s="51"/>
      <c r="B80" s="50"/>
      <c r="C80" s="51"/>
      <c r="D80" s="788"/>
      <c r="E80" s="22" t="s">
        <v>55</v>
      </c>
      <c r="F80" s="2">
        <v>76.75</v>
      </c>
      <c r="G80" s="78">
        <v>76.75</v>
      </c>
      <c r="H80">
        <v>0</v>
      </c>
      <c r="I80" s="2">
        <v>0</v>
      </c>
      <c r="J80" s="2">
        <v>0</v>
      </c>
      <c r="K80" s="2">
        <v>113.94999999999982</v>
      </c>
      <c r="L80" s="736">
        <v>0</v>
      </c>
      <c r="M80" s="2">
        <v>924.07999999998992</v>
      </c>
      <c r="N80">
        <v>0</v>
      </c>
      <c r="O80" t="s">
        <v>1208</v>
      </c>
      <c r="P80" s="736">
        <v>2.7100977198697071E-2</v>
      </c>
      <c r="Q80" s="736">
        <v>1.4E-3</v>
      </c>
      <c r="R80" s="2">
        <v>11.880804953560371</v>
      </c>
      <c r="S80" s="736"/>
      <c r="T80" s="48"/>
    </row>
    <row r="81" spans="1:21" ht="21.95" customHeight="1" x14ac:dyDescent="0.25">
      <c r="A81" s="50"/>
      <c r="B81" s="50"/>
      <c r="C81" s="51"/>
      <c r="D81" s="788"/>
      <c r="E81" s="22" t="s">
        <v>53</v>
      </c>
      <c r="F81" s="2">
        <v>78.900000000000006</v>
      </c>
      <c r="G81" s="78">
        <v>78.900000000000006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33.940000000000055</v>
      </c>
      <c r="N81">
        <v>0</v>
      </c>
      <c r="O81"/>
      <c r="P81" s="736">
        <v>7.4000000000000003E-3</v>
      </c>
      <c r="Q81" s="736">
        <v>-1.9E-3</v>
      </c>
      <c r="R81" s="2"/>
      <c r="S81" s="736"/>
      <c r="T81" s="48"/>
      <c r="U81" s="48"/>
    </row>
    <row r="82" spans="1:21" ht="21.95" customHeight="1" x14ac:dyDescent="0.25">
      <c r="A82" s="50"/>
      <c r="B82" s="51"/>
      <c r="C82" s="51"/>
      <c r="D82" s="788"/>
      <c r="E82" s="22" t="s">
        <v>56</v>
      </c>
      <c r="F82" s="2">
        <v>40.090000000000003</v>
      </c>
      <c r="G82" s="78">
        <v>40.090000000000003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36.819999999999709</v>
      </c>
      <c r="N82">
        <v>0</v>
      </c>
      <c r="O82"/>
      <c r="P82" s="736">
        <v>4.2999999999999997E-2</v>
      </c>
      <c r="Q82" s="736">
        <v>8.6E-3</v>
      </c>
      <c r="R82" s="2"/>
      <c r="T82" s="48"/>
    </row>
    <row r="83" spans="1:21" ht="21.95" customHeight="1" x14ac:dyDescent="0.25">
      <c r="A83" s="51"/>
      <c r="B83" s="51"/>
      <c r="C83" s="51"/>
      <c r="D83" s="788"/>
      <c r="E83" s="22" t="s">
        <v>0</v>
      </c>
      <c r="F83" s="2">
        <v>214.16</v>
      </c>
      <c r="G83" s="78">
        <v>214.16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465.57999999999993</v>
      </c>
      <c r="N83">
        <v>0</v>
      </c>
      <c r="O83"/>
      <c r="P83" s="736">
        <v>3.8999999999999998E-3</v>
      </c>
      <c r="Q83" s="736">
        <v>1.0999999999999999E-2</v>
      </c>
      <c r="R83" s="2"/>
      <c r="S83" s="48"/>
      <c r="T83" s="48"/>
    </row>
    <row r="84" spans="1:21" ht="21.95" customHeight="1" x14ac:dyDescent="0.25">
      <c r="A84" s="50"/>
      <c r="B84" s="50"/>
      <c r="C84" s="51"/>
      <c r="D84" s="788"/>
      <c r="E84" s="22" t="s">
        <v>39</v>
      </c>
      <c r="F84" s="2">
        <v>44.5</v>
      </c>
      <c r="G84" s="78">
        <v>44.5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529.88000000000284</v>
      </c>
      <c r="N84">
        <v>0</v>
      </c>
      <c r="O84"/>
      <c r="P84" s="736">
        <v>2.3E-2</v>
      </c>
      <c r="Q84" s="736">
        <v>-3.3999999999999998E-3</v>
      </c>
      <c r="R84" s="2"/>
    </row>
    <row r="85" spans="1:21" ht="21.95" customHeight="1" x14ac:dyDescent="0.25">
      <c r="A85" s="50"/>
      <c r="B85" s="51"/>
      <c r="C85" s="51"/>
      <c r="D85" s="788"/>
      <c r="E85" s="22" t="s">
        <v>54</v>
      </c>
      <c r="F85" s="2">
        <v>127.06</v>
      </c>
      <c r="G85" s="78">
        <v>127.06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114.84999999999991</v>
      </c>
      <c r="N85">
        <v>0</v>
      </c>
      <c r="O85"/>
      <c r="P85" s="736">
        <v>2.35E-2</v>
      </c>
      <c r="Q85" s="736">
        <v>3.0000000000000001E-3</v>
      </c>
      <c r="R85" s="2"/>
      <c r="S85" s="736"/>
      <c r="T85" s="48"/>
    </row>
    <row r="86" spans="1:21" ht="21.95" customHeight="1" x14ac:dyDescent="0.25">
      <c r="A86" s="50"/>
      <c r="B86" s="50"/>
      <c r="C86" s="51"/>
      <c r="D86" s="788"/>
      <c r="E86" s="22" t="s">
        <v>51</v>
      </c>
      <c r="F86" s="2">
        <v>255.54</v>
      </c>
      <c r="G86" s="78">
        <v>255.54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176.70000000000073</v>
      </c>
      <c r="N86">
        <v>0</v>
      </c>
      <c r="O86"/>
      <c r="P86" s="736">
        <v>1.52E-2</v>
      </c>
      <c r="Q86" s="736">
        <v>7.4000000000000003E-3</v>
      </c>
      <c r="R86" s="2"/>
    </row>
    <row r="87" spans="1:21" ht="21.95" customHeight="1" x14ac:dyDescent="0.25">
      <c r="A87" s="50"/>
      <c r="B87" s="51"/>
      <c r="C87" s="51"/>
      <c r="F87" s="78"/>
      <c r="G87" s="78"/>
      <c r="H87"/>
      <c r="I87" s="2"/>
      <c r="J87" s="2"/>
      <c r="K87" s="2"/>
      <c r="L87" s="736"/>
      <c r="M87" s="2"/>
      <c r="N87"/>
      <c r="O87"/>
      <c r="P87" s="736"/>
      <c r="Q87" s="736"/>
      <c r="R87" s="2"/>
    </row>
    <row r="88" spans="1:21" ht="21.95" customHeight="1" x14ac:dyDescent="0.25">
      <c r="A88" s="50"/>
      <c r="B88" s="50"/>
      <c r="C88" s="51"/>
      <c r="F88" s="78"/>
      <c r="G88" s="78"/>
      <c r="H88"/>
      <c r="I88" s="2"/>
      <c r="J88" s="2"/>
      <c r="K88" s="2"/>
      <c r="L88" s="736"/>
      <c r="M88" s="2"/>
      <c r="N88"/>
      <c r="O88"/>
      <c r="P88" s="736"/>
      <c r="Q88" s="736"/>
      <c r="R88" s="2"/>
    </row>
    <row r="89" spans="1:21" ht="21.95" customHeight="1" x14ac:dyDescent="0.25">
      <c r="F89" s="78"/>
      <c r="G89" s="78"/>
      <c r="H89"/>
      <c r="I89" s="2"/>
      <c r="J89" s="2"/>
      <c r="K89" s="2"/>
      <c r="L89" s="736"/>
      <c r="M89" s="2"/>
      <c r="N89"/>
      <c r="O89"/>
      <c r="P89" s="736"/>
      <c r="Q89" s="736"/>
      <c r="R89" s="2"/>
    </row>
    <row r="90" spans="1:21" ht="21.95" customHeight="1" x14ac:dyDescent="0.25"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1" ht="21.95" customHeight="1" x14ac:dyDescent="0.25"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751" priority="602">
      <formula>$O1=0</formula>
    </cfRule>
    <cfRule type="dataBar" priority="9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750" priority="558">
      <formula>$H2=0</formula>
    </cfRule>
  </conditionalFormatting>
  <conditionalFormatting sqref="K105:K200">
    <cfRule type="expression" dxfId="2749" priority="559">
      <formula>$J105=0</formula>
    </cfRule>
  </conditionalFormatting>
  <conditionalFormatting sqref="K105:K458">
    <cfRule type="expression" dxfId="2748" priority="600">
      <formula>$J105&lt;0</formula>
    </cfRule>
  </conditionalFormatting>
  <conditionalFormatting sqref="E59">
    <cfRule type="expression" dxfId="2747" priority="529">
      <formula>$H59=0</formula>
    </cfRule>
  </conditionalFormatting>
  <conditionalFormatting sqref="E5">
    <cfRule type="expression" dxfId="2746" priority="507">
      <formula>$H5=0</formula>
    </cfRule>
  </conditionalFormatting>
  <conditionalFormatting sqref="E60">
    <cfRule type="expression" dxfId="2745" priority="485">
      <formula>$H60=0</formula>
    </cfRule>
  </conditionalFormatting>
  <conditionalFormatting sqref="E62">
    <cfRule type="expression" dxfId="2744" priority="474">
      <formula>$H62=0</formula>
    </cfRule>
  </conditionalFormatting>
  <conditionalFormatting sqref="E61">
    <cfRule type="expression" dxfId="2743" priority="463">
      <formula>$H61=0</formula>
    </cfRule>
  </conditionalFormatting>
  <conditionalFormatting sqref="E8">
    <cfRule type="expression" dxfId="2742" priority="448">
      <formula>$H8=0</formula>
    </cfRule>
  </conditionalFormatting>
  <conditionalFormatting sqref="E63">
    <cfRule type="expression" dxfId="2741" priority="438">
      <formula>$H63=0</formula>
    </cfRule>
  </conditionalFormatting>
  <conditionalFormatting sqref="E20">
    <cfRule type="expression" dxfId="2740" priority="428">
      <formula>$H20=0</formula>
    </cfRule>
  </conditionalFormatting>
  <conditionalFormatting sqref="E64">
    <cfRule type="expression" dxfId="2739" priority="419">
      <formula>$H64=0</formula>
    </cfRule>
  </conditionalFormatting>
  <conditionalFormatting sqref="E65">
    <cfRule type="expression" dxfId="2738" priority="412">
      <formula>$H65=0</formula>
    </cfRule>
  </conditionalFormatting>
  <conditionalFormatting sqref="E11">
    <cfRule type="expression" dxfId="2737" priority="403">
      <formula>$H11=0</formula>
    </cfRule>
  </conditionalFormatting>
  <conditionalFormatting sqref="E9">
    <cfRule type="expression" dxfId="2736" priority="396">
      <formula>$H9=0</formula>
    </cfRule>
  </conditionalFormatting>
  <conditionalFormatting sqref="E66">
    <cfRule type="expression" dxfId="2735" priority="387">
      <formula>$H66=0</formula>
    </cfRule>
  </conditionalFormatting>
  <conditionalFormatting sqref="E10">
    <cfRule type="expression" dxfId="2734" priority="378">
      <formula>$H10=0</formula>
    </cfRule>
  </conditionalFormatting>
  <conditionalFormatting sqref="E26:E28 E30 E45:E49 E36:E43">
    <cfRule type="expression" dxfId="2733" priority="374">
      <formula>$H26=0</formula>
    </cfRule>
  </conditionalFormatting>
  <conditionalFormatting sqref="E29">
    <cfRule type="expression" dxfId="2732" priority="373">
      <formula>$H29=0</formula>
    </cfRule>
  </conditionalFormatting>
  <conditionalFormatting sqref="E31">
    <cfRule type="expression" dxfId="2731" priority="372">
      <formula>$H31=0</formula>
    </cfRule>
  </conditionalFormatting>
  <conditionalFormatting sqref="E32">
    <cfRule type="expression" dxfId="2730" priority="371">
      <formula>$H32=0</formula>
    </cfRule>
  </conditionalFormatting>
  <conditionalFormatting sqref="E44">
    <cfRule type="expression" dxfId="2729" priority="370">
      <formula>$H44=0</formula>
    </cfRule>
  </conditionalFormatting>
  <conditionalFormatting sqref="E35">
    <cfRule type="expression" dxfId="2728" priority="369">
      <formula>$H35=0</formula>
    </cfRule>
  </conditionalFormatting>
  <conditionalFormatting sqref="E33">
    <cfRule type="expression" dxfId="2727" priority="368">
      <formula>$H33=0</formula>
    </cfRule>
  </conditionalFormatting>
  <conditionalFormatting sqref="E34">
    <cfRule type="expression" dxfId="2726" priority="367">
      <formula>$H34=0</formula>
    </cfRule>
  </conditionalFormatting>
  <conditionalFormatting sqref="E67">
    <cfRule type="expression" dxfId="2725" priority="363">
      <formula>$H67=0</formula>
    </cfRule>
  </conditionalFormatting>
  <conditionalFormatting sqref="E69:E70">
    <cfRule type="expression" dxfId="2724" priority="356">
      <formula>$H69=0</formula>
    </cfRule>
  </conditionalFormatting>
  <conditionalFormatting sqref="E68">
    <cfRule type="expression" dxfId="2723" priority="349">
      <formula>$H68=0</formula>
    </cfRule>
  </conditionalFormatting>
  <conditionalFormatting sqref="E69:E70">
    <cfRule type="expression" dxfId="2722" priority="341">
      <formula>$H69=0</formula>
    </cfRule>
  </conditionalFormatting>
  <conditionalFormatting sqref="E71">
    <cfRule type="expression" dxfId="2721" priority="334">
      <formula>$H71=0</formula>
    </cfRule>
  </conditionalFormatting>
  <conditionalFormatting sqref="E72">
    <cfRule type="expression" dxfId="2720" priority="311">
      <formula>$H72=0</formula>
    </cfRule>
  </conditionalFormatting>
  <conditionalFormatting sqref="E72">
    <cfRule type="expression" dxfId="2719" priority="303">
      <formula>$H72=0</formula>
    </cfRule>
  </conditionalFormatting>
  <conditionalFormatting sqref="E74">
    <cfRule type="expression" dxfId="2718" priority="296">
      <formula>$H74=0</formula>
    </cfRule>
  </conditionalFormatting>
  <conditionalFormatting sqref="E73">
    <cfRule type="expression" dxfId="2717" priority="289">
      <formula>$H73=0</formula>
    </cfRule>
  </conditionalFormatting>
  <conditionalFormatting sqref="E75">
    <cfRule type="expression" dxfId="2716" priority="272">
      <formula>$H75=0</formula>
    </cfRule>
  </conditionalFormatting>
  <conditionalFormatting sqref="E7">
    <cfRule type="expression" dxfId="2715" priority="264">
      <formula>$H7=0</formula>
    </cfRule>
  </conditionalFormatting>
  <conditionalFormatting sqref="P105:P1048576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714" priority="248">
      <formula>$H76=0</formula>
    </cfRule>
  </conditionalFormatting>
  <conditionalFormatting sqref="E77">
    <cfRule type="expression" dxfId="2713" priority="235">
      <formula>$H77=0</formula>
    </cfRule>
  </conditionalFormatting>
  <conditionalFormatting sqref="E78">
    <cfRule type="expression" dxfId="2712" priority="221">
      <formula>$H78=0</formula>
    </cfRule>
  </conditionalFormatting>
  <conditionalFormatting sqref="P105:P1048576 P1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711" priority="209">
      <formula>$H79=0</formula>
    </cfRule>
  </conditionalFormatting>
  <conditionalFormatting sqref="E80">
    <cfRule type="expression" dxfId="2710" priority="199">
      <formula>$H80=0</formula>
    </cfRule>
  </conditionalFormatting>
  <conditionalFormatting sqref="E81">
    <cfRule type="expression" dxfId="2709" priority="189">
      <formula>$H81=0</formula>
    </cfRule>
  </conditionalFormatting>
  <conditionalFormatting sqref="E82">
    <cfRule type="expression" dxfId="2708" priority="179">
      <formula>$H82=0</formula>
    </cfRule>
  </conditionalFormatting>
  <conditionalFormatting sqref="E83">
    <cfRule type="expression" dxfId="2707" priority="169">
      <formula>$H83=0</formula>
    </cfRule>
  </conditionalFormatting>
  <conditionalFormatting sqref="E84">
    <cfRule type="expression" dxfId="2706" priority="159">
      <formula>$H84=0</formula>
    </cfRule>
  </conditionalFormatting>
  <conditionalFormatting sqref="Q1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705" priority="148">
      <formula>$H85=0</formula>
    </cfRule>
  </conditionalFormatting>
  <conditionalFormatting sqref="R105:R1048576">
    <cfRule type="expression" dxfId="2704" priority="980">
      <formula>$O105=0</formula>
    </cfRule>
    <cfRule type="dataBar" priority="9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703" priority="122">
      <formula>$O1=0</formula>
    </cfRule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702" priority="120">
      <formula>$L2=0</formula>
    </cfRule>
  </conditionalFormatting>
  <conditionalFormatting sqref="Q1">
    <cfRule type="dataBar" priority="1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701" priority="113">
      <formula>K3&gt;0</formula>
    </cfRule>
    <cfRule type="expression" dxfId="2700" priority="114">
      <formula>K3&lt;0</formula>
    </cfRule>
  </conditionalFormatting>
  <conditionalFormatting sqref="K2 K4 K6 K8 K10 K12 K14 K16 K18 K20 K22 K24 K26 K28 K30">
    <cfRule type="expression" dxfId="2699" priority="111">
      <formula>K2&gt;0</formula>
    </cfRule>
    <cfRule type="expression" dxfId="2698" priority="112">
      <formula>K2&lt;0</formula>
    </cfRule>
  </conditionalFormatting>
  <conditionalFormatting sqref="K23 K25 K27 K29">
    <cfRule type="expression" dxfId="2697" priority="109">
      <formula>K23&gt;0</formula>
    </cfRule>
    <cfRule type="expression" dxfId="2696" priority="110">
      <formula>K23&lt;0</formula>
    </cfRule>
  </conditionalFormatting>
  <conditionalFormatting sqref="K31 K33 K40 K35 K42 K37:K38">
    <cfRule type="expression" dxfId="2695" priority="107">
      <formula>K31&gt;0</formula>
    </cfRule>
    <cfRule type="expression" dxfId="2694" priority="108">
      <formula>K31&lt;0</formula>
    </cfRule>
  </conditionalFormatting>
  <conditionalFormatting sqref="K32 K39 K34 K41 K36 K43">
    <cfRule type="expression" dxfId="2693" priority="105">
      <formula>K32&gt;0</formula>
    </cfRule>
    <cfRule type="expression" dxfId="2692" priority="106">
      <formula>K32&lt;0</formula>
    </cfRule>
  </conditionalFormatting>
  <conditionalFormatting sqref="K45 K47 K49 K51 K53">
    <cfRule type="expression" dxfId="2691" priority="103">
      <formula>K45&gt;0</formula>
    </cfRule>
    <cfRule type="expression" dxfId="2690" priority="104">
      <formula>K45&lt;0</formula>
    </cfRule>
  </conditionalFormatting>
  <conditionalFormatting sqref="K46 K48 K50 K52">
    <cfRule type="expression" dxfId="2689" priority="101">
      <formula>K46&gt;0</formula>
    </cfRule>
    <cfRule type="expression" dxfId="2688" priority="102">
      <formula>K46&lt;0</formula>
    </cfRule>
  </conditionalFormatting>
  <conditionalFormatting sqref="K54 K56 K58 K60">
    <cfRule type="expression" dxfId="2687" priority="99">
      <formula>K54&gt;0</formula>
    </cfRule>
    <cfRule type="expression" dxfId="2686" priority="100">
      <formula>K54&lt;0</formula>
    </cfRule>
  </conditionalFormatting>
  <conditionalFormatting sqref="K55 K57 K59">
    <cfRule type="expression" dxfId="2685" priority="97">
      <formula>K55&gt;0</formula>
    </cfRule>
    <cfRule type="expression" dxfId="2684" priority="98">
      <formula>K55&lt;0</formula>
    </cfRule>
  </conditionalFormatting>
  <conditionalFormatting sqref="K68 K70 K72 K74">
    <cfRule type="expression" dxfId="2683" priority="95">
      <formula>K68&gt;0</formula>
    </cfRule>
    <cfRule type="expression" dxfId="2682" priority="96">
      <formula>K68&lt;0</formula>
    </cfRule>
  </conditionalFormatting>
  <conditionalFormatting sqref="K69 K71 K73">
    <cfRule type="expression" dxfId="2681" priority="93">
      <formula>K69&gt;0</formula>
    </cfRule>
    <cfRule type="expression" dxfId="2680" priority="94">
      <formula>K69&lt;0</formula>
    </cfRule>
  </conditionalFormatting>
  <conditionalFormatting sqref="K75 K77 K79 K81 K83">
    <cfRule type="expression" dxfId="2679" priority="91">
      <formula>K75&gt;0</formula>
    </cfRule>
    <cfRule type="expression" dxfId="2678" priority="92">
      <formula>K75&lt;0</formula>
    </cfRule>
  </conditionalFormatting>
  <conditionalFormatting sqref="K76 K78 K80 K82">
    <cfRule type="expression" dxfId="2677" priority="89">
      <formula>K76&gt;0</formula>
    </cfRule>
    <cfRule type="expression" dxfId="2676" priority="90">
      <formula>K76&lt;0</formula>
    </cfRule>
  </conditionalFormatting>
  <conditionalFormatting sqref="K82 K84 K88 K90">
    <cfRule type="expression" dxfId="2675" priority="87">
      <formula>K82&gt;0</formula>
    </cfRule>
    <cfRule type="expression" dxfId="2674" priority="88">
      <formula>K82&lt;0</formula>
    </cfRule>
  </conditionalFormatting>
  <conditionalFormatting sqref="K83 K85 K87 K89">
    <cfRule type="expression" dxfId="2673" priority="85">
      <formula>K83&gt;0</formula>
    </cfRule>
    <cfRule type="expression" dxfId="2672" priority="86">
      <formula>K83&lt;0</formula>
    </cfRule>
  </conditionalFormatting>
  <conditionalFormatting sqref="M105:M200">
    <cfRule type="expression" dxfId="2671" priority="83">
      <formula>$J105=0</formula>
    </cfRule>
  </conditionalFormatting>
  <conditionalFormatting sqref="M105:M458">
    <cfRule type="expression" dxfId="2670" priority="84">
      <formula>$J105&lt;0</formula>
    </cfRule>
  </conditionalFormatting>
  <conditionalFormatting sqref="M3 M5 M7 M9 M11 M13 M15 M17 M19 M21">
    <cfRule type="expression" dxfId="2669" priority="81">
      <formula>M3&gt;0</formula>
    </cfRule>
    <cfRule type="expression" dxfId="2668" priority="82">
      <formula>M3&lt;0</formula>
    </cfRule>
  </conditionalFormatting>
  <conditionalFormatting sqref="M2 M4 M6 M8 M10 M12 M14 M16 M18 M20 M22 M24 M26 M28 M30">
    <cfRule type="expression" dxfId="2667" priority="79">
      <formula>M2&gt;0</formula>
    </cfRule>
    <cfRule type="expression" dxfId="2666" priority="80">
      <formula>M2&lt;0</formula>
    </cfRule>
  </conditionalFormatting>
  <conditionalFormatting sqref="M23 M25 M27 M29">
    <cfRule type="expression" dxfId="2665" priority="77">
      <formula>M23&gt;0</formula>
    </cfRule>
    <cfRule type="expression" dxfId="2664" priority="78">
      <formula>M23&lt;0</formula>
    </cfRule>
  </conditionalFormatting>
  <conditionalFormatting sqref="M31 M33 M40 M35 M42 M37:M38">
    <cfRule type="expression" dxfId="2663" priority="75">
      <formula>M31&gt;0</formula>
    </cfRule>
    <cfRule type="expression" dxfId="2662" priority="76">
      <formula>M31&lt;0</formula>
    </cfRule>
  </conditionalFormatting>
  <conditionalFormatting sqref="M32 M39 M34 M41 M36 M43">
    <cfRule type="expression" dxfId="2661" priority="73">
      <formula>M32&gt;0</formula>
    </cfRule>
    <cfRule type="expression" dxfId="2660" priority="74">
      <formula>M32&lt;0</formula>
    </cfRule>
  </conditionalFormatting>
  <conditionalFormatting sqref="M45 M47 M49 M51 M53">
    <cfRule type="expression" dxfId="2659" priority="71">
      <formula>M45&gt;0</formula>
    </cfRule>
    <cfRule type="expression" dxfId="2658" priority="72">
      <formula>M45&lt;0</formula>
    </cfRule>
  </conditionalFormatting>
  <conditionalFormatting sqref="M46 M48 M50 M52">
    <cfRule type="expression" dxfId="2657" priority="69">
      <formula>M46&gt;0</formula>
    </cfRule>
    <cfRule type="expression" dxfId="2656" priority="70">
      <formula>M46&lt;0</formula>
    </cfRule>
  </conditionalFormatting>
  <conditionalFormatting sqref="M54 M56 M58 M60">
    <cfRule type="expression" dxfId="2655" priority="67">
      <formula>M54&gt;0</formula>
    </cfRule>
    <cfRule type="expression" dxfId="2654" priority="68">
      <formula>M54&lt;0</formula>
    </cfRule>
  </conditionalFormatting>
  <conditionalFormatting sqref="M55 M57 M59 M61">
    <cfRule type="expression" dxfId="2653" priority="65">
      <formula>M55&gt;0</formula>
    </cfRule>
    <cfRule type="expression" dxfId="2652" priority="66">
      <formula>M55&lt;0</formula>
    </cfRule>
  </conditionalFormatting>
  <conditionalFormatting sqref="M68 M70 M72 M74">
    <cfRule type="expression" dxfId="2651" priority="63">
      <formula>M68&gt;0</formula>
    </cfRule>
    <cfRule type="expression" dxfId="2650" priority="64">
      <formula>M68&lt;0</formula>
    </cfRule>
  </conditionalFormatting>
  <conditionalFormatting sqref="M67 M69 M71 M73">
    <cfRule type="expression" dxfId="2649" priority="61">
      <formula>M67&gt;0</formula>
    </cfRule>
    <cfRule type="expression" dxfId="2648" priority="62">
      <formula>M67&lt;0</formula>
    </cfRule>
  </conditionalFormatting>
  <conditionalFormatting sqref="M75 M77 M79 M81 M83">
    <cfRule type="expression" dxfId="2647" priority="59">
      <formula>M75&gt;0</formula>
    </cfRule>
    <cfRule type="expression" dxfId="2646" priority="60">
      <formula>M75&lt;0</formula>
    </cfRule>
  </conditionalFormatting>
  <conditionalFormatting sqref="M76 M78 M80 M82">
    <cfRule type="expression" dxfId="2645" priority="57">
      <formula>M76&gt;0</formula>
    </cfRule>
    <cfRule type="expression" dxfId="2644" priority="58">
      <formula>M76&lt;0</formula>
    </cfRule>
  </conditionalFormatting>
  <conditionalFormatting sqref="M82 M84 M88 M90">
    <cfRule type="expression" dxfId="2643" priority="55">
      <formula>M82&gt;0</formula>
    </cfRule>
    <cfRule type="expression" dxfId="2642" priority="56">
      <formula>M82&lt;0</formula>
    </cfRule>
  </conditionalFormatting>
  <conditionalFormatting sqref="M83 M85 M87 M89">
    <cfRule type="expression" dxfId="2641" priority="53">
      <formula>M83&gt;0</formula>
    </cfRule>
    <cfRule type="expression" dxfId="2640" priority="54">
      <formula>M83&lt;0</formula>
    </cfRule>
  </conditionalFormatting>
  <conditionalFormatting sqref="L105:L200">
    <cfRule type="expression" dxfId="2639" priority="51">
      <formula>$J105=0</formula>
    </cfRule>
  </conditionalFormatting>
  <conditionalFormatting sqref="L105:L458">
    <cfRule type="expression" dxfId="2638" priority="52">
      <formula>$J105&lt;0</formula>
    </cfRule>
  </conditionalFormatting>
  <conditionalFormatting sqref="L3 L5 L7 L9 L11 L13 L15 L17 L19 L21">
    <cfRule type="expression" dxfId="2637" priority="49">
      <formula>L3&gt;0</formula>
    </cfRule>
    <cfRule type="expression" dxfId="2636" priority="50">
      <formula>L3&lt;0</formula>
    </cfRule>
  </conditionalFormatting>
  <conditionalFormatting sqref="L2 L4 L6 L8 L10 L12 L14 L16 L18 L20 L22 L24 L26 L28 L30">
    <cfRule type="expression" dxfId="2635" priority="47">
      <formula>L2&gt;0</formula>
    </cfRule>
    <cfRule type="expression" dxfId="2634" priority="48">
      <formula>L2&lt;0</formula>
    </cfRule>
  </conditionalFormatting>
  <conditionalFormatting sqref="L23 L25 L27 L29">
    <cfRule type="expression" dxfId="2633" priority="45">
      <formula>L23&gt;0</formula>
    </cfRule>
    <cfRule type="expression" dxfId="2632" priority="46">
      <formula>L23&lt;0</formula>
    </cfRule>
  </conditionalFormatting>
  <conditionalFormatting sqref="L31 L33 L40 L35 L42 L37:L38">
    <cfRule type="expression" dxfId="2631" priority="43">
      <formula>L31&gt;0</formula>
    </cfRule>
    <cfRule type="expression" dxfId="2630" priority="44">
      <formula>L31&lt;0</formula>
    </cfRule>
  </conditionalFormatting>
  <conditionalFormatting sqref="L32 L39 L34 L41 L36 L43">
    <cfRule type="expression" dxfId="2629" priority="41">
      <formula>L32&gt;0</formula>
    </cfRule>
    <cfRule type="expression" dxfId="2628" priority="42">
      <formula>L32&lt;0</formula>
    </cfRule>
  </conditionalFormatting>
  <conditionalFormatting sqref="L45 L47 L49 L51 L53">
    <cfRule type="expression" dxfId="2627" priority="39">
      <formula>L45&gt;0</formula>
    </cfRule>
    <cfRule type="expression" dxfId="2626" priority="40">
      <formula>L45&lt;0</formula>
    </cfRule>
  </conditionalFormatting>
  <conditionalFormatting sqref="L46 L48 L50 L52">
    <cfRule type="expression" dxfId="2625" priority="37">
      <formula>L46&gt;0</formula>
    </cfRule>
    <cfRule type="expression" dxfId="2624" priority="38">
      <formula>L46&lt;0</formula>
    </cfRule>
  </conditionalFormatting>
  <conditionalFormatting sqref="L54 L56 L58 L60 L62">
    <cfRule type="expression" dxfId="2623" priority="35">
      <formula>L54&gt;0</formula>
    </cfRule>
    <cfRule type="expression" dxfId="2622" priority="36">
      <formula>L54&lt;0</formula>
    </cfRule>
  </conditionalFormatting>
  <conditionalFormatting sqref="L55 L57 L59 L61">
    <cfRule type="expression" dxfId="2621" priority="33">
      <formula>L55&gt;0</formula>
    </cfRule>
    <cfRule type="expression" dxfId="2620" priority="34">
      <formula>L55&lt;0</formula>
    </cfRule>
  </conditionalFormatting>
  <conditionalFormatting sqref="L66 L68 L70 L72 L74">
    <cfRule type="expression" dxfId="2619" priority="31">
      <formula>L66&gt;0</formula>
    </cfRule>
    <cfRule type="expression" dxfId="2618" priority="32">
      <formula>L66&lt;0</formula>
    </cfRule>
  </conditionalFormatting>
  <conditionalFormatting sqref="L58:L79">
    <cfRule type="expression" dxfId="2617" priority="29">
      <formula>L58&gt;0</formula>
    </cfRule>
    <cfRule type="expression" dxfId="2616" priority="30">
      <formula>L58&lt;0</formula>
    </cfRule>
  </conditionalFormatting>
  <conditionalFormatting sqref="L75 L77 L79 L81 L83">
    <cfRule type="expression" dxfId="2615" priority="27">
      <formula>L75&gt;0</formula>
    </cfRule>
    <cfRule type="expression" dxfId="2614" priority="28">
      <formula>L75&lt;0</formula>
    </cfRule>
  </conditionalFormatting>
  <conditionalFormatting sqref="L76 L78 L80 L82">
    <cfRule type="expression" dxfId="2613" priority="25">
      <formula>L76&gt;0</formula>
    </cfRule>
    <cfRule type="expression" dxfId="2612" priority="26">
      <formula>L76&lt;0</formula>
    </cfRule>
  </conditionalFormatting>
  <conditionalFormatting sqref="L82 L84 L88 L90">
    <cfRule type="expression" dxfId="2611" priority="23">
      <formula>L82&gt;0</formula>
    </cfRule>
    <cfRule type="expression" dxfId="2610" priority="24">
      <formula>L82&lt;0</formula>
    </cfRule>
  </conditionalFormatting>
  <conditionalFormatting sqref="L83 L85 L87 L89">
    <cfRule type="expression" dxfId="2609" priority="21">
      <formula>L83&gt;0</formula>
    </cfRule>
    <cfRule type="expression" dxfId="2608" priority="22">
      <formula>L83&lt;0</formula>
    </cfRule>
  </conditionalFormatting>
  <conditionalFormatting sqref="I1:I85 I87:I1048576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607" priority="18">
      <formula>M44&gt;0</formula>
    </cfRule>
    <cfRule type="expression" dxfId="2606" priority="19">
      <formula>M44&lt;0</formula>
    </cfRule>
  </conditionalFormatting>
  <conditionalFormatting sqref="M62:M66">
    <cfRule type="expression" dxfId="2605" priority="16">
      <formula>M62&gt;0</formula>
    </cfRule>
    <cfRule type="expression" dxfId="2604" priority="17">
      <formula>M62&lt;0</formula>
    </cfRule>
  </conditionalFormatting>
  <conditionalFormatting sqref="E86">
    <cfRule type="expression" dxfId="2603" priority="15">
      <formula>$H86=0</formula>
    </cfRule>
  </conditionalFormatting>
  <conditionalFormatting sqref="K86">
    <cfRule type="expression" dxfId="2602" priority="13">
      <formula>K86&gt;0</formula>
    </cfRule>
    <cfRule type="expression" dxfId="2601" priority="14">
      <formula>K86&lt;0</formula>
    </cfRule>
  </conditionalFormatting>
  <conditionalFormatting sqref="M86">
    <cfRule type="expression" dxfId="2600" priority="11">
      <formula>M86&gt;0</formula>
    </cfRule>
    <cfRule type="expression" dxfId="2599" priority="12">
      <formula>M86&lt;0</formula>
    </cfRule>
  </conditionalFormatting>
  <conditionalFormatting sqref="L86">
    <cfRule type="expression" dxfId="2598" priority="9">
      <formula>L86&gt;0</formula>
    </cfRule>
    <cfRule type="expression" dxfId="2597" priority="10">
      <formula>L86&lt;0</formula>
    </cfRule>
  </conditionalFormatting>
  <conditionalFormatting sqref="I86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{4DB59BBA-234E-415C-A476-C5F753F748D3}</x14:id>
        </ext>
      </extLst>
    </cfRule>
  </conditionalFormatting>
  <conditionalFormatting sqref="J1:J85 J87:J1048576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8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{3FE2880F-939E-47E8-938F-7673014E587C}</x14:id>
        </ext>
      </extLst>
    </cfRule>
  </conditionalFormatting>
  <conditionalFormatting sqref="J1:J1048576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596" priority="3">
      <formula>K61&gt;0</formula>
    </cfRule>
    <cfRule type="expression" dxfId="2595" priority="4">
      <formula>K61&lt;0</formula>
    </cfRule>
  </conditionalFormatting>
  <conditionalFormatting sqref="K44">
    <cfRule type="expression" dxfId="2594" priority="1">
      <formula>K44&gt;0</formula>
    </cfRule>
    <cfRule type="expression" dxfId="2593" priority="2">
      <formula>K44&lt;0</formula>
    </cfRule>
  </conditionalFormatting>
  <hyperlinks>
    <hyperlink ref="E23" location="BIIB!A1" display="BIIB"/>
    <hyperlink ref="E24" location="MYL!A1" display="MYL"/>
    <hyperlink ref="E25" location="SIG!A1" display="SIG"/>
    <hyperlink ref="E26" location="AAPL!A1" display="AAPL"/>
    <hyperlink ref="E27" location="AXP!A1" display="AXP"/>
    <hyperlink ref="E28" location="DG!A1" display="DG"/>
    <hyperlink ref="E29" location="PINC!A1" display="PINC"/>
    <hyperlink ref="E30" location="FOXA!A1" display="FOXA"/>
    <hyperlink ref="E31" location="AOBC!A1" display="AOBC"/>
    <hyperlink ref="E32" location="LUV!A1" display="LUV"/>
    <hyperlink ref="E33" location="CCE!A1" display="CCE"/>
    <hyperlink ref="E34" location="BMY!A1" display="BMY"/>
    <hyperlink ref="E35" location="GPS!A1" display="GPS"/>
    <hyperlink ref="E36" location="AKAM!A1" display="AKAM"/>
    <hyperlink ref="E37" location="ARNC!A1" display="ARNC"/>
    <hyperlink ref="E17" location="IEMG!A1" display="IEMG"/>
    <hyperlink ref="E38" location="CVS!A1" display="CVS"/>
    <hyperlink ref="E39" location="ADBE!A1" display="ADBE"/>
    <hyperlink ref="E2" location="MRO!A1" display="MRO"/>
    <hyperlink ref="E20" location="GE!A1" display="GE"/>
    <hyperlink ref="E11" location="XRAY!A1" display="XRAY"/>
    <hyperlink ref="E40" location="XLP!A1" display="XLP"/>
    <hyperlink ref="E3" location="KR!A1" display="KR"/>
    <hyperlink ref="E41" location="F!A1" display="F"/>
    <hyperlink ref="E16" location="JNJ!A1" display="JNJ"/>
    <hyperlink ref="E13" location="ULTA!A1" display="ULTA"/>
    <hyperlink ref="E42" location="FRC!A1" display="FRC"/>
    <hyperlink ref="E43" location="AAP!A1" display="AAP"/>
    <hyperlink ref="E18" location="CMCSA!A1" display="CMCSA"/>
    <hyperlink ref="E44" location="XEC!A1" display="XEC"/>
    <hyperlink ref="E6" location="MO!A1" display="MO"/>
    <hyperlink ref="E8" location="T!A1" display="T"/>
    <hyperlink ref="E45" location="COST!A1" display="COST"/>
    <hyperlink ref="E46" location="CPN!A1" display="CPN"/>
    <hyperlink ref="E47" location="EW!A1" display="EW"/>
    <hyperlink ref="E48" location="TJX!A1" display="TJX"/>
    <hyperlink ref="E22" location="QQQ!A1" display="QQQ"/>
    <hyperlink ref="E5" location="WBA!A1" display="WBA"/>
    <hyperlink ref="E49" location="AZO!A1" display="AZO"/>
    <hyperlink ref="E50" location="FL!A1" display="FL"/>
    <hyperlink ref="E51" location="MLM!A1" display="MLM"/>
    <hyperlink ref="E52" location="KHC!A1" display="KHC"/>
    <hyperlink ref="E53" location="KBWY!A1" display="KBWY"/>
    <hyperlink ref="E9" location="AYI!A1" display="AYI"/>
    <hyperlink ref="E54" location="DIA!A1" display="DIA"/>
    <hyperlink ref="E19" location="ICE!A1" display="ICE"/>
    <hyperlink ref="E55" location="NKE!A1" display="NKE"/>
    <hyperlink ref="E4" location="MOS!A1" display="MOS"/>
    <hyperlink ref="E56" location="VGK!A1" display="VGK"/>
    <hyperlink ref="E57" location="CMG!A1" display="CMG"/>
    <hyperlink ref="E21" location="HAS!A1" display="HAS"/>
    <hyperlink ref="E58" location="HSIC!A1" display="HSIC"/>
    <hyperlink ref="E10" location="PDCO!A1" display="PDCO"/>
    <hyperlink ref="E59" location="MU!A1" display="MU"/>
    <hyperlink ref="E60" location="IP!A1" display="IP"/>
    <hyperlink ref="E61" location="INTC!A1" display="INTC"/>
    <hyperlink ref="E62" location="HES!A1" display="HES"/>
    <hyperlink ref="E63" location="UNP!A1" display="UNP"/>
    <hyperlink ref="E64" location="NCLH!A1" display="NCLH"/>
    <hyperlink ref="E65" location="SPY!A1" display="SPY"/>
    <hyperlink ref="E66" location="SWKS!A1" display="SWKS"/>
    <hyperlink ref="E67" location="CNI!A1" display="CNI"/>
    <hyperlink ref="E14" location="WFC!A1" display="WFC"/>
    <hyperlink ref="E68" location="AA!A1" display="AA"/>
    <hyperlink ref="E69" location="CF!A1" display="CF"/>
    <hyperlink ref="E70" location="TGT!A1" display="TGT"/>
    <hyperlink ref="E12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7" location="DAL!A1" display="DAL"/>
    <hyperlink ref="E77" location="TEVA!A1" display="TEVA"/>
    <hyperlink ref="E78" location="DIS!A1" display="DIS"/>
    <hyperlink ref="E79" location="FTR!A1" display="FTR"/>
    <hyperlink ref="E80" location="GILD!A1" display="GILD"/>
    <hyperlink ref="E81" location="WWD!A1" display="WWD"/>
    <hyperlink ref="E15" location="GIS!A1" display="GIS"/>
    <hyperlink ref="E82" location="GM!A1" display="GM"/>
    <hyperlink ref="E83" location="TMO!A1" display="TMO"/>
    <hyperlink ref="E84" location="TKR!A1" display="TKR"/>
    <hyperlink ref="E85" location="UTX!A1" display="UTX"/>
    <hyperlink ref="E8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I87:I1048576</xm:sqref>
        </x14:conditionalFormatting>
        <x14:conditionalFormatting xmlns:xm="http://schemas.microsoft.com/office/excel/2006/main">
          <x14:cfRule type="dataBar" id="{4DB59BBA-234E-415C-A476-C5F753F74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J87:J1048576</xm:sqref>
        </x14:conditionalFormatting>
        <x14:conditionalFormatting xmlns:xm="http://schemas.microsoft.com/office/excel/2006/main">
          <x14:cfRule type="dataBar" id="{3FE2880F-939E-47E8-938F-7673014E5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E1" workbookViewId="0">
      <pane ySplit="1" topLeftCell="A250" activePane="bottomLeft" state="frozen"/>
      <selection activeCell="E5" sqref="E5"/>
      <selection pane="bottomLeft" activeCell="S297" sqref="S297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50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50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50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50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381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50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50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221</v>
      </c>
      <c r="R251" s="429"/>
      <c r="S251" s="410" t="s">
        <v>216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253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1125.9400000000005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93504.246666668216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92316.506666668283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92316.489999999991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1.6666668292600662E-2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1125.9400000000005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592" priority="7">
      <formula>#REF!&gt;0</formula>
    </cfRule>
    <cfRule type="expression" dxfId="2591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89"/>
  <sheetViews>
    <sheetView topLeftCell="F1" zoomScaleNormal="100" workbookViewId="0">
      <pane ySplit="1" topLeftCell="A664" activePane="bottomLeft" state="frozen"/>
      <selection pane="bottomLeft" activeCell="U693" sqref="U693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280</v>
      </c>
      <c r="H1" s="335" t="s">
        <v>279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775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214</v>
      </c>
      <c r="U1" s="337" t="s">
        <v>215</v>
      </c>
      <c r="V1" s="336" t="s">
        <v>219</v>
      </c>
      <c r="W1" s="336" t="s">
        <v>220</v>
      </c>
      <c r="X1" s="336" t="s">
        <v>952</v>
      </c>
      <c r="Y1" s="336" t="s">
        <v>951</v>
      </c>
      <c r="Z1" s="336" t="s">
        <v>928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92316.489999999991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 t="shared" si="334"/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685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" si="339">B686-$B$2</f>
        <v>1059</v>
      </c>
      <c r="B686" s="169">
        <v>43292</v>
      </c>
      <c r="C686" s="211">
        <v>2774.02</v>
      </c>
      <c r="D686" s="168">
        <f t="shared" ref="D686" si="340">(C686-C685)/C685</f>
        <v>-7.094178621538872E-3</v>
      </c>
      <c r="E686" s="205">
        <f t="shared" ref="E686" si="341">(C686-$C$2)/$C$2</f>
        <v>0.3194288540933391</v>
      </c>
      <c r="F686" s="215">
        <v>7716.61</v>
      </c>
      <c r="G686" s="168">
        <f t="shared" ref="G686" si="342">(F686-F685)/F685</f>
        <v>-5.4876862146693052E-3</v>
      </c>
      <c r="H686" s="199">
        <f t="shared" ref="H686" si="343">(F686-F$2)/F$2</f>
        <v>0.51552723059096173</v>
      </c>
      <c r="I686" s="822">
        <v>394153.65</v>
      </c>
      <c r="J686" s="170">
        <v>300000</v>
      </c>
      <c r="K686" s="170">
        <f t="shared" ref="K686" si="344">I686-I685-J686+J685</f>
        <v>-3032.6399999999558</v>
      </c>
      <c r="L686" s="168">
        <f t="shared" ref="L686" si="345">K686/I685</f>
        <v>-7.6353088622468715E-3</v>
      </c>
      <c r="M686" s="178">
        <f t="shared" ref="M686" si="346">I686-J686</f>
        <v>94153.650000000023</v>
      </c>
      <c r="N686" s="180">
        <f t="shared" ref="N686" si="347">M686/J686</f>
        <v>0.31384550000000005</v>
      </c>
      <c r="O686" s="179">
        <f t="shared" ref="O686" si="348">N686/(A686/365.25)</f>
        <v>0.10824557967422098</v>
      </c>
      <c r="P686" s="178" t="b">
        <f t="shared" ref="P686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ref="S686" si="350">I686-R686</f>
        <v>175331.71000000002</v>
      </c>
      <c r="T686" s="170">
        <v>-31948</v>
      </c>
      <c r="U686" s="170">
        <f t="shared" ref="U686" si="351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" si="352">E686/(A686/365.25)/V686</f>
        <v>0.78511048914244463</v>
      </c>
      <c r="Y686" s="171">
        <f t="shared" ref="Y686" si="353">O686/W686</f>
        <v>0.40263520301958056</v>
      </c>
      <c r="Z686" s="784">
        <f t="shared" ref="Z686" si="354">-(E686-N686)</f>
        <v>-5.5833540933390435E-3</v>
      </c>
    </row>
    <row r="687" spans="1:26" ht="20.100000000000001" customHeight="1" x14ac:dyDescent="0.25">
      <c r="A687" s="160">
        <f t="shared" ref="A687" si="355">B687-$B$2</f>
        <v>1060</v>
      </c>
      <c r="B687" s="169">
        <v>43293</v>
      </c>
      <c r="C687" s="211">
        <v>2798.29</v>
      </c>
      <c r="D687" s="168">
        <f t="shared" ref="D687" si="356">(C687-C686)/C686</f>
        <v>8.749035695488851E-3</v>
      </c>
      <c r="E687" s="205">
        <f t="shared" ref="E687" si="357">(C687-$C$2)/$C$2</f>
        <v>0.33097258423545972</v>
      </c>
      <c r="F687" s="215">
        <v>7823.91</v>
      </c>
      <c r="G687" s="168">
        <f t="shared" ref="G687" si="358">(F687-F686)/F686</f>
        <v>1.3905069713254939E-2</v>
      </c>
      <c r="H687" s="199">
        <f t="shared" ref="H687" si="359">(F687-F$2)/F$2</f>
        <v>0.53660074238466526</v>
      </c>
      <c r="I687" s="822">
        <v>395295.9</v>
      </c>
      <c r="J687" s="170">
        <v>300000</v>
      </c>
      <c r="K687" s="170">
        <f t="shared" ref="K687" si="360">I687-I686-J687+J686</f>
        <v>1142.25</v>
      </c>
      <c r="L687" s="168">
        <f t="shared" ref="L687" si="361">K687/I686</f>
        <v>2.8979815358807408E-3</v>
      </c>
      <c r="M687" s="178">
        <f t="shared" ref="M687" si="362">I687-J687</f>
        <v>95295.900000000023</v>
      </c>
      <c r="N687" s="180">
        <f t="shared" ref="N687" si="363">M687/J687</f>
        <v>0.31765300000000007</v>
      </c>
      <c r="O687" s="179">
        <f t="shared" ref="O687" si="364">N687/(A687/365.25)</f>
        <v>0.10945543231132078</v>
      </c>
      <c r="P687" s="178" t="b">
        <f t="shared" ref="P687" si="365">L687&gt;D687</f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ref="S687" si="366">I687-R687</f>
        <v>179603.25000000003</v>
      </c>
      <c r="T687" s="170">
        <v>-31904</v>
      </c>
      <c r="U687" s="170">
        <f t="shared" ref="U687" si="367">M687-T687</f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ref="X687" si="368">E687/(A687/365.25)/V687</f>
        <v>0.81278640550593428</v>
      </c>
      <c r="Y687" s="171">
        <f t="shared" ref="Y687" si="369">O687/W687</f>
        <v>0.40742811486240538</v>
      </c>
      <c r="Z687" s="784">
        <f t="shared" ref="Z687" si="370">-(E687-N687)</f>
        <v>-1.3319584235459647E-2</v>
      </c>
    </row>
    <row r="688" spans="1:26" ht="20.100000000000001" customHeight="1" x14ac:dyDescent="0.25">
      <c r="A688" s="160">
        <f t="shared" ref="A688" si="371">B688-$B$2</f>
        <v>1061</v>
      </c>
      <c r="B688" s="169">
        <v>43294</v>
      </c>
      <c r="C688" s="211">
        <v>2801.31</v>
      </c>
      <c r="D688" s="168">
        <f t="shared" ref="D688" si="372">(C688-C687)/C687</f>
        <v>1.0792305300737172E-3</v>
      </c>
      <c r="E688" s="205">
        <f t="shared" ref="E688" si="373">(C688-$C$2)/$C$2</f>
        <v>0.33240901048305771</v>
      </c>
      <c r="F688" s="215">
        <v>7825.97</v>
      </c>
      <c r="G688" s="168">
        <f t="shared" ref="G688" si="374">(F688-F687)/F687</f>
        <v>2.6329546224335403E-4</v>
      </c>
      <c r="H688" s="199">
        <f t="shared" ref="H688" si="375">(F688-F$2)/F$2</f>
        <v>0.53700532238741494</v>
      </c>
      <c r="I688" s="822">
        <v>396222.85</v>
      </c>
      <c r="J688" s="170">
        <v>300000</v>
      </c>
      <c r="K688" s="170">
        <f t="shared" ref="K688" si="376">I688-I687-J688+J687</f>
        <v>926.94999999995343</v>
      </c>
      <c r="L688" s="168">
        <f t="shared" ref="L688" si="377">K688/I687</f>
        <v>2.3449522243968466E-3</v>
      </c>
      <c r="M688" s="178">
        <f t="shared" ref="M688" si="378">I688-J688</f>
        <v>96222.849999999977</v>
      </c>
      <c r="N688" s="180">
        <f t="shared" ref="N688" si="379">M688/J688</f>
        <v>0.32074283333333325</v>
      </c>
      <c r="O688" s="179">
        <f t="shared" ref="O688" si="380">N688/(A688/365.25)</f>
        <v>0.11041594710179073</v>
      </c>
      <c r="P688" s="178" t="b">
        <f t="shared" ref="P688" si="381">L688&gt;D688</f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ref="S688" si="382">I688-R688</f>
        <v>169961.8</v>
      </c>
      <c r="T688" s="170">
        <v>-32319</v>
      </c>
      <c r="U688" s="170">
        <f t="shared" ref="U688" si="383">M688-T688</f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ref="X688" si="384">E688/(A688/365.25)/V688</f>
        <v>0.81613751325179795</v>
      </c>
      <c r="Y688" s="171">
        <f t="shared" ref="Y688" si="385">O688/W688</f>
        <v>0.41130078642886903</v>
      </c>
      <c r="Z688" s="784">
        <f t="shared" ref="Z688" si="386">-(E688-N688)</f>
        <v>-1.1666177149724455E-2</v>
      </c>
    </row>
    <row r="689" spans="1:26" ht="20.100000000000001" customHeight="1" x14ac:dyDescent="0.25">
      <c r="A689" s="160">
        <f t="shared" ref="A689" si="387">B689-$B$2</f>
        <v>1064</v>
      </c>
      <c r="B689" s="169">
        <v>43297</v>
      </c>
      <c r="C689" s="211">
        <v>2798.43</v>
      </c>
      <c r="D689" s="168">
        <f t="shared" ref="D689" si="388">(C689-C688)/C688</f>
        <v>-1.0280904291207003E-3</v>
      </c>
      <c r="E689" s="205">
        <f t="shared" ref="E689" si="389">(C689-$C$2)/$C$2</f>
        <v>0.33103917353170592</v>
      </c>
      <c r="F689" s="215">
        <v>7805.71</v>
      </c>
      <c r="G689" s="168">
        <f t="shared" ref="G689" si="390">(F689-F688)/F688</f>
        <v>-2.5888164662016618E-3</v>
      </c>
      <c r="H689" s="199">
        <f t="shared" ref="H689" si="391">(F689-F$2)/F$2</f>
        <v>0.53302629770017873</v>
      </c>
      <c r="I689" s="822">
        <v>392316.49</v>
      </c>
      <c r="J689" s="170">
        <v>300000</v>
      </c>
      <c r="K689" s="170">
        <f t="shared" ref="K689" si="392">I689-I688-J689+J688</f>
        <v>-3906.359999999986</v>
      </c>
      <c r="L689" s="168">
        <f t="shared" ref="L689" si="393">K689/I688</f>
        <v>-9.8589972789302448E-3</v>
      </c>
      <c r="M689" s="178">
        <f t="shared" ref="M689" si="394">I689-J689</f>
        <v>92316.489999999991</v>
      </c>
      <c r="N689" s="180">
        <f t="shared" ref="N689" si="395">M689/J689</f>
        <v>0.3077216333333333</v>
      </c>
      <c r="O689" s="179">
        <f t="shared" ref="O689" si="396">N689/(A689/365.25)</f>
        <v>0.10563470542763156</v>
      </c>
      <c r="P689" s="178" t="b">
        <f t="shared" ref="P689" si="397">L689&gt;D689</f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ref="S689" si="398">I689-R689</f>
        <v>144065.04999999999</v>
      </c>
      <c r="T689" s="170">
        <v>-32475</v>
      </c>
      <c r="U689" s="170">
        <f t="shared" ref="U689" si="399">M689-T689</f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ref="X689" si="400">E689/(A689/365.25)/V689</f>
        <v>0.81105726058911287</v>
      </c>
      <c r="Y689" s="171">
        <f t="shared" ref="Y689" si="401">O689/W689</f>
        <v>0.39366682530934449</v>
      </c>
      <c r="Z689" s="784">
        <f t="shared" ref="Z689" si="402">-(E689-N689)</f>
        <v>-2.3317540198372622E-2</v>
      </c>
    </row>
  </sheetData>
  <conditionalFormatting sqref="L690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89">
    <cfRule type="colorScale" priority="97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89">
    <cfRule type="colorScale" priority="9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89">
    <cfRule type="colorScale" priority="98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344.82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344.82</v>
      </c>
      <c r="R4" s="490">
        <v>-2.5899999999999999E-2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208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207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51" t="s">
        <v>78</v>
      </c>
      <c r="P42" s="851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379.30200000000002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375.85380000000004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372.40559999999999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368.95740000000001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365.50920000000002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362.06100000000004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358.61279999999999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355.16460000000001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351.71640000000002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348.26819999999998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344.82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341.37180000000001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337.92359999999996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334.47539999999998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331.02719999999999</v>
      </c>
      <c r="U57" s="470"/>
    </row>
    <row r="58" spans="1:21" x14ac:dyDescent="0.25">
      <c r="O58" s="81">
        <v>0.95</v>
      </c>
      <c r="P58" s="81">
        <f t="shared" si="3"/>
        <v>327.57899999999995</v>
      </c>
      <c r="U58" s="470"/>
    </row>
    <row r="59" spans="1:21" x14ac:dyDescent="0.25">
      <c r="O59" s="81">
        <v>0.94</v>
      </c>
      <c r="P59" s="81">
        <f t="shared" si="3"/>
        <v>324.13079999999997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320.68260000000004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317.23439999999999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313.78620000000001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310.33800000000002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590" priority="58">
      <formula>F19&gt;0</formula>
    </cfRule>
    <cfRule type="expression" dxfId="2589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588" priority="47">
      <formula>H25&gt;0</formula>
    </cfRule>
    <cfRule type="expression" dxfId="2587" priority="48">
      <formula>H25&lt;0</formula>
    </cfRule>
  </conditionalFormatting>
  <conditionalFormatting sqref="M39">
    <cfRule type="expression" dxfId="2586" priority="45">
      <formula>M39&gt;0</formula>
    </cfRule>
    <cfRule type="expression" dxfId="2585" priority="46">
      <formula>M39&lt;0</formula>
    </cfRule>
  </conditionalFormatting>
  <conditionalFormatting sqref="F61:F67">
    <cfRule type="expression" dxfId="2584" priority="43">
      <formula>F61&gt;0</formula>
    </cfRule>
    <cfRule type="expression" dxfId="2583" priority="44">
      <formula>F61&lt;0</formula>
    </cfRule>
  </conditionalFormatting>
  <conditionalFormatting sqref="H61:H67">
    <cfRule type="expression" dxfId="2582" priority="41">
      <formula>H61&gt;0</formula>
    </cfRule>
    <cfRule type="expression" dxfId="2581" priority="42">
      <formula>H61&lt;0</formula>
    </cfRule>
  </conditionalFormatting>
  <conditionalFormatting sqref="F21:F24">
    <cfRule type="expression" dxfId="2580" priority="39">
      <formula>F21&gt;0</formula>
    </cfRule>
    <cfRule type="expression" dxfId="2579" priority="40">
      <formula>F21&lt;0</formula>
    </cfRule>
  </conditionalFormatting>
  <conditionalFormatting sqref="H21:H24">
    <cfRule type="expression" dxfId="2578" priority="37">
      <formula>H21&gt;0</formula>
    </cfRule>
    <cfRule type="expression" dxfId="2577" priority="38">
      <formula>H21&lt;0</formula>
    </cfRule>
  </conditionalFormatting>
  <conditionalFormatting sqref="I25:I28">
    <cfRule type="expression" dxfId="2576" priority="31">
      <formula>I25&gt;0</formula>
    </cfRule>
    <cfRule type="expression" dxfId="2575" priority="32">
      <formula>I25&lt;0</formula>
    </cfRule>
  </conditionalFormatting>
  <conditionalFormatting sqref="I21:I24">
    <cfRule type="expression" dxfId="2574" priority="29">
      <formula>I21&gt;0</formula>
    </cfRule>
    <cfRule type="expression" dxfId="2573" priority="30">
      <formula>I21&lt;0</formula>
    </cfRule>
  </conditionalFormatting>
  <conditionalFormatting sqref="H29">
    <cfRule type="expression" dxfId="2572" priority="27">
      <formula>H29&gt;0</formula>
    </cfRule>
    <cfRule type="expression" dxfId="2571" priority="28">
      <formula>H29&lt;0</formula>
    </cfRule>
  </conditionalFormatting>
  <conditionalFormatting sqref="H30">
    <cfRule type="expression" dxfId="2570" priority="25">
      <formula>H30&gt;0</formula>
    </cfRule>
    <cfRule type="expression" dxfId="2569" priority="26">
      <formula>H30&lt;0</formula>
    </cfRule>
  </conditionalFormatting>
  <conditionalFormatting sqref="H31">
    <cfRule type="expression" dxfId="2568" priority="23">
      <formula>H31&gt;0</formula>
    </cfRule>
    <cfRule type="expression" dxfId="2567" priority="24">
      <formula>H31&lt;0</formula>
    </cfRule>
  </conditionalFormatting>
  <conditionalFormatting sqref="Q7">
    <cfRule type="expression" dxfId="2566" priority="21">
      <formula>Q7&gt;0</formula>
    </cfRule>
    <cfRule type="expression" dxfId="2565" priority="22">
      <formula>Q7&lt;0</formula>
    </cfRule>
  </conditionalFormatting>
  <conditionalFormatting sqref="Q8">
    <cfRule type="expression" dxfId="2564" priority="19">
      <formula>Q8&gt;0</formula>
    </cfRule>
    <cfRule type="expression" dxfId="2563" priority="20">
      <formula>Q8&lt;0</formula>
    </cfRule>
  </conditionalFormatting>
  <conditionalFormatting sqref="F73:F82">
    <cfRule type="expression" dxfId="2562" priority="17">
      <formula>F73&gt;0</formula>
    </cfRule>
    <cfRule type="expression" dxfId="2561" priority="18">
      <formula>F73&lt;0</formula>
    </cfRule>
  </conditionalFormatting>
  <conditionalFormatting sqref="H73:H76">
    <cfRule type="expression" dxfId="2560" priority="15">
      <formula>H73&gt;0</formula>
    </cfRule>
    <cfRule type="expression" dxfId="2559" priority="16">
      <formula>H73&lt;0</formula>
    </cfRule>
  </conditionalFormatting>
  <conditionalFormatting sqref="F69:F72">
    <cfRule type="expression" dxfId="2558" priority="13">
      <formula>F69&gt;0</formula>
    </cfRule>
    <cfRule type="expression" dxfId="2557" priority="14">
      <formula>F69&lt;0</formula>
    </cfRule>
  </conditionalFormatting>
  <conditionalFormatting sqref="H69:H72">
    <cfRule type="expression" dxfId="2556" priority="11">
      <formula>H69&gt;0</formula>
    </cfRule>
    <cfRule type="expression" dxfId="2555" priority="12">
      <formula>H69&lt;0</formula>
    </cfRule>
  </conditionalFormatting>
  <conditionalFormatting sqref="I73:I76">
    <cfRule type="expression" dxfId="2554" priority="9">
      <formula>I73&gt;0</formula>
    </cfRule>
    <cfRule type="expression" dxfId="2553" priority="10">
      <formula>I73&lt;0</formula>
    </cfRule>
  </conditionalFormatting>
  <conditionalFormatting sqref="I69:I72">
    <cfRule type="expression" dxfId="2552" priority="7">
      <formula>I69&gt;0</formula>
    </cfRule>
    <cfRule type="expression" dxfId="2551" priority="8">
      <formula>I69&lt;0</formula>
    </cfRule>
  </conditionalFormatting>
  <conditionalFormatting sqref="H77">
    <cfRule type="expression" dxfId="2550" priority="5">
      <formula>H77&gt;0</formula>
    </cfRule>
    <cfRule type="expression" dxfId="2549" priority="6">
      <formula>H77&lt;0</formula>
    </cfRule>
  </conditionalFormatting>
  <conditionalFormatting sqref="H78">
    <cfRule type="expression" dxfId="2548" priority="3">
      <formula>H78&gt;0</formula>
    </cfRule>
    <cfRule type="expression" dxfId="2547" priority="4">
      <formula>H78&lt;0</formula>
    </cfRule>
  </conditionalFormatting>
  <conditionalFormatting sqref="H79">
    <cfRule type="expression" dxfId="2546" priority="1">
      <formula>H79&gt;0</formula>
    </cfRule>
    <cfRule type="expression" dxfId="2545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36.67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36.67</v>
      </c>
      <c r="R4" s="490">
        <v>-1.1900000000000001E-2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208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207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207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51" t="s">
        <v>78</v>
      </c>
      <c r="P42" s="851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40.337000000000003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39.970300000000002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39.603600000000007</v>
      </c>
      <c r="Q45" s="2"/>
      <c r="T45" s="106" t="s">
        <v>99</v>
      </c>
      <c r="U45" s="352" t="s">
        <v>558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39.236900000000006</v>
      </c>
      <c r="Q46" s="2"/>
      <c r="T46" s="106" t="s">
        <v>100</v>
      </c>
      <c r="U46" s="352" t="s">
        <v>559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38.870200000000004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38.503500000000003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38.136800000000001</v>
      </c>
      <c r="Q49" s="2"/>
      <c r="T49" s="106" t="s">
        <v>121</v>
      </c>
      <c r="U49" s="352" t="s">
        <v>421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37.770099999999999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37.403400000000005</v>
      </c>
      <c r="Q51" s="2"/>
      <c r="T51" s="106" t="s">
        <v>104</v>
      </c>
      <c r="U51" s="352" t="s">
        <v>560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37.036700000000003</v>
      </c>
      <c r="Q52" s="2"/>
      <c r="T52" s="106" t="s">
        <v>105</v>
      </c>
      <c r="U52" s="352" t="s">
        <v>411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36.67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36.3033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35.936599999999999</v>
      </c>
      <c r="Q55" s="2"/>
      <c r="T55" s="106" t="s">
        <v>107</v>
      </c>
      <c r="U55" s="352" t="s">
        <v>561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35.569900000000004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35.203200000000002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34.836500000000001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34.469799999999999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34.103100000000005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33.736400000000003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33.369700000000002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33.003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544" priority="29">
      <formula>N19&gt;0</formula>
    </cfRule>
    <cfRule type="expression" dxfId="2543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542" priority="23">
      <formula>F22&gt;0</formula>
    </cfRule>
    <cfRule type="expression" dxfId="2541" priority="24">
      <formula>F22&lt;0</formula>
    </cfRule>
  </conditionalFormatting>
  <conditionalFormatting sqref="H22:H31">
    <cfRule type="expression" dxfId="2540" priority="21">
      <formula>H22&gt;0</formula>
    </cfRule>
    <cfRule type="expression" dxfId="2539" priority="22">
      <formula>H22&lt;0</formula>
    </cfRule>
  </conditionalFormatting>
  <conditionalFormatting sqref="I21:J31">
    <cfRule type="expression" dxfId="2538" priority="19">
      <formula>I21&gt;0</formula>
    </cfRule>
    <cfRule type="expression" dxfId="2537" priority="20">
      <formula>I21&lt;0</formula>
    </cfRule>
  </conditionalFormatting>
  <conditionalFormatting sqref="Q8">
    <cfRule type="expression" dxfId="2536" priority="11">
      <formula>Q8&gt;0</formula>
    </cfRule>
    <cfRule type="expression" dxfId="2535" priority="12">
      <formula>Q8&lt;0</formula>
    </cfRule>
  </conditionalFormatting>
  <conditionalFormatting sqref="Q7">
    <cfRule type="expression" dxfId="2534" priority="13">
      <formula>Q7&gt;0</formula>
    </cfRule>
    <cfRule type="expression" dxfId="2533" priority="14">
      <formula>Q7&lt;0</formula>
    </cfRule>
  </conditionalFormatting>
  <conditionalFormatting sqref="F56:F66">
    <cfRule type="expression" dxfId="2532" priority="9">
      <formula>F56&gt;0</formula>
    </cfRule>
    <cfRule type="expression" dxfId="2531" priority="10">
      <formula>F56&lt;0</formula>
    </cfRule>
  </conditionalFormatting>
  <conditionalFormatting sqref="H56:H66">
    <cfRule type="expression" dxfId="2530" priority="7">
      <formula>H56&gt;0</formula>
    </cfRule>
    <cfRule type="expression" dxfId="2529" priority="8">
      <formula>H56&lt;0</formula>
    </cfRule>
  </conditionalFormatting>
  <conditionalFormatting sqref="I56:I66">
    <cfRule type="expression" dxfId="2528" priority="5">
      <formula>I56&gt;0</formula>
    </cfRule>
    <cfRule type="expression" dxfId="2527" priority="6">
      <formula>I56&lt;0</formula>
    </cfRule>
  </conditionalFormatting>
  <conditionalFormatting sqref="F21">
    <cfRule type="expression" dxfId="2526" priority="3">
      <formula>F21&gt;0</formula>
    </cfRule>
    <cfRule type="expression" dxfId="2525" priority="4">
      <formula>F21&lt;0</formula>
    </cfRule>
  </conditionalFormatting>
  <conditionalFormatting sqref="H21">
    <cfRule type="expression" dxfId="2524" priority="1">
      <formula>H21&gt;0</formula>
    </cfRule>
    <cfRule type="expression" dxfId="2523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5" activePane="bottomLeft" state="frozen"/>
      <selection activeCell="A2" sqref="A2"/>
      <selection pane="bottomLeft" activeCell="C14" sqref="C14:F14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213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239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59.52</v>
      </c>
      <c r="T3" s="1">
        <v>43112</v>
      </c>
      <c r="U3" t="s">
        <v>882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59.52</v>
      </c>
      <c r="R4" s="222">
        <v>-8.8000000000000005E-3</v>
      </c>
      <c r="T4" s="1">
        <v>43114</v>
      </c>
      <c r="U4" t="s">
        <v>881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892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782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956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208</v>
      </c>
      <c r="Q9" s="222">
        <f>IF(Q2=0, 0, Q8/Q6)</f>
        <v>0</v>
      </c>
      <c r="T9" s="151"/>
      <c r="U9" t="s">
        <v>981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207</v>
      </c>
      <c r="P10" s="33"/>
      <c r="Q10" s="2">
        <f>M177</f>
        <v>1157.8699999999953</v>
      </c>
      <c r="U10" t="s">
        <v>979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2.4865591397849461E-2</v>
      </c>
      <c r="R11" s="33">
        <f>1.48/4</f>
        <v>0.37</v>
      </c>
      <c r="U11" t="s">
        <v>980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946</v>
      </c>
      <c r="Q12" s="1"/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973</v>
      </c>
      <c r="Q13">
        <f>Q4/4</f>
        <v>14.88</v>
      </c>
      <c r="T13" s="1">
        <v>43212</v>
      </c>
      <c r="U13" t="s">
        <v>1024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1098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1120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1124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973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753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755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767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65.472000000000008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64.876800000000003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64.281600000000012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63.686400000000006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63.091200000000008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62.496000000000009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61.900800000000004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61.305600000000005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60.710400000000007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60.115200000000002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59.52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58.924800000000005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58.329599999999999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57.734400000000001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57.139200000000002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56.543999999999997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55.948799999999999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55.353600000000007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54.758400000000002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54.163200000000003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53.568000000000005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342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342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379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338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402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443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464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464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213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522" priority="64">
      <formula>N23&gt;0</formula>
    </cfRule>
    <cfRule type="expression" dxfId="2521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520" priority="58">
      <formula>F79&gt;0</formula>
    </cfRule>
    <cfRule type="expression" dxfId="2519" priority="59">
      <formula>F79&lt;0</formula>
    </cfRule>
  </conditionalFormatting>
  <conditionalFormatting sqref="H79:H97 H101:H118">
    <cfRule type="expression" dxfId="2518" priority="56">
      <formula>H79&gt;0</formula>
    </cfRule>
    <cfRule type="expression" dxfId="2517" priority="57">
      <formula>H79&lt;0</formula>
    </cfRule>
  </conditionalFormatting>
  <conditionalFormatting sqref="I75:I97 I100:I118">
    <cfRule type="expression" dxfId="2516" priority="54">
      <formula>I75&gt;0</formula>
    </cfRule>
    <cfRule type="expression" dxfId="2515" priority="55">
      <formula>I75&lt;0</formula>
    </cfRule>
  </conditionalFormatting>
  <conditionalFormatting sqref="Q7">
    <cfRule type="expression" dxfId="2514" priority="52">
      <formula>Q7&gt;0</formula>
    </cfRule>
    <cfRule type="expression" dxfId="2513" priority="53">
      <formula>Q7&lt;0</formula>
    </cfRule>
  </conditionalFormatting>
  <conditionalFormatting sqref="Q8">
    <cfRule type="expression" dxfId="2512" priority="50">
      <formula>Q8&gt;0</formula>
    </cfRule>
    <cfRule type="expression" dxfId="2511" priority="51">
      <formula>Q8&lt;0</formula>
    </cfRule>
  </conditionalFormatting>
  <conditionalFormatting sqref="F75:F78">
    <cfRule type="expression" dxfId="2510" priority="48">
      <formula>F75&gt;0</formula>
    </cfRule>
    <cfRule type="expression" dxfId="2509" priority="49">
      <formula>F75&lt;0</formula>
    </cfRule>
  </conditionalFormatting>
  <conditionalFormatting sqref="H75:H78">
    <cfRule type="expression" dxfId="2508" priority="46">
      <formula>H75&gt;0</formula>
    </cfRule>
    <cfRule type="expression" dxfId="2507" priority="47">
      <formula>H75&lt;0</formula>
    </cfRule>
  </conditionalFormatting>
  <conditionalFormatting sqref="F100:F114">
    <cfRule type="expression" dxfId="2506" priority="40">
      <formula>F100&gt;0</formula>
    </cfRule>
    <cfRule type="expression" dxfId="2505" priority="41">
      <formula>F100&lt;0</formula>
    </cfRule>
  </conditionalFormatting>
  <conditionalFormatting sqref="H100:H114">
    <cfRule type="expression" dxfId="2504" priority="38">
      <formula>H100&gt;0</formula>
    </cfRule>
    <cfRule type="expression" dxfId="2503" priority="39">
      <formula>H100&lt;0</formula>
    </cfRule>
  </conditionalFormatting>
  <conditionalFormatting sqref="F29:F67">
    <cfRule type="expression" dxfId="2502" priority="36">
      <formula>F29&gt;0</formula>
    </cfRule>
    <cfRule type="expression" dxfId="2501" priority="37">
      <formula>F29&lt;0</formula>
    </cfRule>
  </conditionalFormatting>
  <conditionalFormatting sqref="H29:H63">
    <cfRule type="expression" dxfId="2500" priority="34">
      <formula>H29&gt;0</formula>
    </cfRule>
    <cfRule type="expression" dxfId="2499" priority="35">
      <formula>H29&lt;0</formula>
    </cfRule>
  </conditionalFormatting>
  <conditionalFormatting sqref="J38:J68">
    <cfRule type="expression" dxfId="2498" priority="32">
      <formula>J38&gt;0</formula>
    </cfRule>
    <cfRule type="expression" dxfId="2497" priority="33">
      <formula>J38&lt;0</formula>
    </cfRule>
  </conditionalFormatting>
  <conditionalFormatting sqref="J43">
    <cfRule type="expression" dxfId="2496" priority="30">
      <formula>J43&gt;0</formula>
    </cfRule>
    <cfRule type="expression" dxfId="2495" priority="31">
      <formula>J43&lt;0</formula>
    </cfRule>
  </conditionalFormatting>
  <conditionalFormatting sqref="Q9">
    <cfRule type="expression" dxfId="2494" priority="24">
      <formula>Q9&gt;0</formula>
    </cfRule>
    <cfRule type="expression" dxfId="2493" priority="25">
      <formula>Q9&lt;0</formula>
    </cfRule>
  </conditionalFormatting>
  <conditionalFormatting sqref="R4">
    <cfRule type="expression" dxfId="2492" priority="26">
      <formula>R4&gt;0</formula>
    </cfRule>
    <cfRule type="expression" dxfId="2491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490" priority="21">
      <formula>F120&gt;0</formula>
    </cfRule>
    <cfRule type="expression" dxfId="2489" priority="22">
      <formula>F120&lt;0</formula>
    </cfRule>
  </conditionalFormatting>
  <conditionalFormatting sqref="H120:H160">
    <cfRule type="expression" dxfId="2488" priority="19">
      <formula>H120&gt;0</formula>
    </cfRule>
    <cfRule type="expression" dxfId="2487" priority="20">
      <formula>H120&lt;0</formula>
    </cfRule>
  </conditionalFormatting>
  <conditionalFormatting sqref="J129:J160">
    <cfRule type="expression" dxfId="2486" priority="17">
      <formula>J129&gt;0</formula>
    </cfRule>
    <cfRule type="expression" dxfId="2485" priority="18">
      <formula>J129&lt;0</formula>
    </cfRule>
  </conditionalFormatting>
  <conditionalFormatting sqref="J134">
    <cfRule type="expression" dxfId="2484" priority="15">
      <formula>J134&gt;0</formula>
    </cfRule>
    <cfRule type="expression" dxfId="2483" priority="16">
      <formula>J134&lt;0</formula>
    </cfRule>
  </conditionalFormatting>
  <conditionalFormatting sqref="J31:J40">
    <cfRule type="expression" dxfId="2482" priority="13">
      <formula>J31&gt;0</formula>
    </cfRule>
    <cfRule type="expression" dxfId="2481" priority="14">
      <formula>J31&lt;0</formula>
    </cfRule>
  </conditionalFormatting>
  <conditionalFormatting sqref="J36:J37">
    <cfRule type="expression" dxfId="2480" priority="11">
      <formula>J36&gt;0</formula>
    </cfRule>
    <cfRule type="expression" dxfId="2479" priority="12">
      <formula>J36&lt;0</formula>
    </cfRule>
  </conditionalFormatting>
  <conditionalFormatting sqref="Q10">
    <cfRule type="expression" dxfId="2478" priority="9">
      <formula>Q10&gt;0</formula>
    </cfRule>
    <cfRule type="expression" dxfId="2477" priority="10">
      <formula>Q10&lt;0</formula>
    </cfRule>
  </conditionalFormatting>
  <conditionalFormatting sqref="K38:K55 K57:K68">
    <cfRule type="expression" dxfId="2476" priority="7">
      <formula>K38&gt;0</formula>
    </cfRule>
    <cfRule type="expression" dxfId="2475" priority="8">
      <formula>K38&lt;0</formula>
    </cfRule>
  </conditionalFormatting>
  <conditionalFormatting sqref="K43">
    <cfRule type="expression" dxfId="2474" priority="5">
      <formula>K43&gt;0</formula>
    </cfRule>
    <cfRule type="expression" dxfId="2473" priority="6">
      <formula>K43&lt;0</formula>
    </cfRule>
  </conditionalFormatting>
  <conditionalFormatting sqref="K31:K40">
    <cfRule type="expression" dxfId="2472" priority="3">
      <formula>K31&gt;0</formula>
    </cfRule>
    <cfRule type="expression" dxfId="2471" priority="4">
      <formula>K31&lt;0</formula>
    </cfRule>
  </conditionalFormatting>
  <conditionalFormatting sqref="K36:K37">
    <cfRule type="expression" dxfId="2470" priority="1">
      <formula>K36&gt;0</formula>
    </cfRule>
    <cfRule type="expression" dxfId="2469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190.35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190.35</v>
      </c>
      <c r="R4" s="490">
        <v>-1.1999999999999999E-3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207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212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249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51" t="s">
        <v>78</v>
      </c>
      <c r="P42" s="851"/>
      <c r="T42" s="106" t="s">
        <v>99</v>
      </c>
      <c r="U42" s="352" t="s">
        <v>562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209.38500000000002</v>
      </c>
      <c r="Q43" s="2"/>
      <c r="T43" s="106" t="s">
        <v>100</v>
      </c>
      <c r="U43" s="352" t="s">
        <v>563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207.48150000000001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205.578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203.67449999999999</v>
      </c>
      <c r="Q46" s="2"/>
      <c r="T46" s="106" t="s">
        <v>121</v>
      </c>
      <c r="U46" s="352" t="s">
        <v>386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201.77100000000002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199.86750000000001</v>
      </c>
      <c r="Q48" s="2"/>
      <c r="T48" s="106" t="s">
        <v>104</v>
      </c>
      <c r="U48" s="352" t="s">
        <v>564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197.964</v>
      </c>
      <c r="Q49" s="2"/>
      <c r="T49" s="106" t="s">
        <v>105</v>
      </c>
      <c r="U49" s="352" t="s">
        <v>565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196.06049999999999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194.15700000000001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192.2535</v>
      </c>
      <c r="Q52" s="2"/>
      <c r="T52" s="106" t="s">
        <v>107</v>
      </c>
      <c r="U52" s="352" t="s">
        <v>566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190.35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188.44649999999999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186.54299999999998</v>
      </c>
      <c r="Q55" s="2"/>
      <c r="T55" s="106" t="s">
        <v>108</v>
      </c>
      <c r="U55" s="352" t="s">
        <v>528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184.6395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182.73599999999999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180.83249999999998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178.92899999999997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177.02549999999999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175.12200000000001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173.21850000000001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171.315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468" priority="35">
      <formula>N19&gt;0</formula>
    </cfRule>
    <cfRule type="expression" dxfId="246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466" priority="21">
      <formula>F25&gt;0</formula>
    </cfRule>
    <cfRule type="expression" dxfId="2465" priority="22">
      <formula>F25&lt;0</formula>
    </cfRule>
  </conditionalFormatting>
  <conditionalFormatting sqref="H25:H47">
    <cfRule type="expression" dxfId="2464" priority="19">
      <formula>H25&gt;0</formula>
    </cfRule>
    <cfRule type="expression" dxfId="2463" priority="20">
      <formula>H25&lt;0</formula>
    </cfRule>
  </conditionalFormatting>
  <conditionalFormatting sqref="I25:I27">
    <cfRule type="expression" dxfId="2462" priority="15">
      <formula>I25&gt;0</formula>
    </cfRule>
    <cfRule type="expression" dxfId="2461" priority="16">
      <formula>I25&lt;0</formula>
    </cfRule>
  </conditionalFormatting>
  <conditionalFormatting sqref="Q7">
    <cfRule type="expression" dxfId="2460" priority="5">
      <formula>Q7&gt;0</formula>
    </cfRule>
    <cfRule type="expression" dxfId="2459" priority="6">
      <formula>Q7&lt;0</formula>
    </cfRule>
  </conditionalFormatting>
  <conditionalFormatting sqref="Q8">
    <cfRule type="expression" dxfId="2458" priority="3">
      <formula>Q8&gt;0</formula>
    </cfRule>
    <cfRule type="expression" dxfId="245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244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99.91</v>
      </c>
      <c r="T3" s="1">
        <v>42572</v>
      </c>
      <c r="U3" t="s">
        <v>235</v>
      </c>
      <c r="W3" s="130">
        <v>42830</v>
      </c>
      <c r="X3" s="10" t="s">
        <v>291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99.91</v>
      </c>
      <c r="R4" s="475">
        <v>0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208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207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243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109.90100000000001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108.9019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107.9028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106.9037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105.9046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104.9055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103.9064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102.90729999999999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101.90819999999999</v>
      </c>
      <c r="Q49" s="2"/>
      <c r="T49" s="91" t="s">
        <v>103</v>
      </c>
      <c r="U49" s="127" t="s">
        <v>511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224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100.9091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99.91</v>
      </c>
      <c r="Q51" s="2"/>
      <c r="T51" s="91" t="s">
        <v>104</v>
      </c>
      <c r="U51" s="127" t="s">
        <v>567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98.910899999999998</v>
      </c>
      <c r="Q52" s="2"/>
      <c r="T52" s="91" t="s">
        <v>105</v>
      </c>
      <c r="U52" s="127" t="s">
        <v>469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97.911799999999999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96.912700000000001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95.913599999999988</v>
      </c>
      <c r="T55" s="91" t="s">
        <v>107</v>
      </c>
      <c r="U55" s="127" t="s">
        <v>568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94.91449999999999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93.915399999999991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92.916300000000007</v>
      </c>
      <c r="T58" s="91" t="s">
        <v>108</v>
      </c>
      <c r="U58" s="127" t="s">
        <v>535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91.917199999999994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90.918099999999995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89.918999999999997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291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456" priority="9">
      <formula>F36&gt;0</formula>
    </cfRule>
    <cfRule type="expression" dxfId="2455" priority="10">
      <formula>F36&lt;0</formula>
    </cfRule>
  </conditionalFormatting>
  <conditionalFormatting sqref="F25:F35">
    <cfRule type="expression" dxfId="2454" priority="7">
      <formula>F25&gt;0</formula>
    </cfRule>
    <cfRule type="expression" dxfId="2453" priority="8">
      <formula>F25&lt;0</formula>
    </cfRule>
  </conditionalFormatting>
  <conditionalFormatting sqref="H25:H35">
    <cfRule type="expression" dxfId="2452" priority="5">
      <formula>H25&gt;0</formula>
    </cfRule>
    <cfRule type="expression" dxfId="2451" priority="6">
      <formula>H25&lt;0</formula>
    </cfRule>
  </conditionalFormatting>
  <conditionalFormatting sqref="Q7">
    <cfRule type="expression" dxfId="2450" priority="3">
      <formula>Q7&gt;0</formula>
    </cfRule>
    <cfRule type="expression" dxfId="2449" priority="4">
      <formula>Q7&lt;0</formula>
    </cfRule>
  </conditionalFormatting>
  <conditionalFormatting sqref="Q8">
    <cfRule type="expression" dxfId="2448" priority="1">
      <formula>Q8&gt;0</formula>
    </cfRule>
    <cfRule type="expression" dxfId="244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100.01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100.01</v>
      </c>
      <c r="R4" s="495">
        <v>1.6500000000000001E-2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V9" s="134"/>
    </row>
    <row r="10" spans="1:22" x14ac:dyDescent="0.25">
      <c r="H10" s="70"/>
      <c r="O10" s="11" t="s">
        <v>207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696</v>
      </c>
      <c r="P20" s="7" t="s">
        <v>697</v>
      </c>
      <c r="Q20" s="7" t="s">
        <v>698</v>
      </c>
      <c r="R20" s="7"/>
      <c r="V20" s="134"/>
    </row>
    <row r="21" spans="1:22" x14ac:dyDescent="0.25">
      <c r="O21" s="7" t="s">
        <v>699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700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701</v>
      </c>
      <c r="P23" s="7" t="s">
        <v>702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675</v>
      </c>
      <c r="O24" s="7" t="s">
        <v>684</v>
      </c>
      <c r="P24" s="7" t="s">
        <v>703</v>
      </c>
      <c r="Q24" s="7" t="s">
        <v>703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701</v>
      </c>
      <c r="P25" s="7" t="s">
        <v>704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705</v>
      </c>
      <c r="P26" s="7" t="s">
        <v>697</v>
      </c>
      <c r="Q26" s="7" t="s">
        <v>698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700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684</v>
      </c>
      <c r="P29" s="7" t="s">
        <v>703</v>
      </c>
      <c r="Q29" s="7" t="s">
        <v>703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706</v>
      </c>
      <c r="P30" s="7" t="s">
        <v>697</v>
      </c>
      <c r="Q30" s="7" t="s">
        <v>698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699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51" t="s">
        <v>78</v>
      </c>
      <c r="P40" s="851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110.01100000000001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109.01090000000001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108.01080000000002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107.01070000000001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106.01060000000001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105.01050000000001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104.0104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103.0103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102.01020000000001</v>
      </c>
      <c r="Q49" s="2"/>
      <c r="T49" s="91" t="s">
        <v>121</v>
      </c>
      <c r="U49" s="127" t="s">
        <v>504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101.01010000000001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100.01</v>
      </c>
      <c r="Q51" s="2"/>
      <c r="T51" s="91" t="s">
        <v>104</v>
      </c>
      <c r="U51" s="127" t="s">
        <v>569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99.009900000000002</v>
      </c>
      <c r="Q52" s="2"/>
      <c r="T52" s="91" t="s">
        <v>105</v>
      </c>
      <c r="U52" s="127" t="s">
        <v>309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98.009799999999998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97.009700000000009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96.009600000000006</v>
      </c>
      <c r="T55" s="91" t="s">
        <v>107</v>
      </c>
      <c r="U55" s="127" t="s">
        <v>570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95.009500000000003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94.009399999999999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93.00930000000001</v>
      </c>
      <c r="T58" s="91" t="s">
        <v>108</v>
      </c>
      <c r="U58" s="127" t="s">
        <v>536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92.009200000000007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91.009100000000004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90.009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265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446" priority="37">
      <formula>F25&gt;0</formula>
    </cfRule>
    <cfRule type="expression" dxfId="2445" priority="38">
      <formula>F25&lt;0</formula>
    </cfRule>
  </conditionalFormatting>
  <conditionalFormatting sqref="Q7">
    <cfRule type="expression" dxfId="2444" priority="35">
      <formula>Q7&gt;0</formula>
    </cfRule>
    <cfRule type="expression" dxfId="2443" priority="36">
      <formula>Q7&lt;0</formula>
    </cfRule>
  </conditionalFormatting>
  <conditionalFormatting sqref="Q8">
    <cfRule type="expression" dxfId="2442" priority="33">
      <formula>Q8&gt;0</formula>
    </cfRule>
    <cfRule type="expression" dxfId="2441" priority="34">
      <formula>Q8&lt;0</formula>
    </cfRule>
  </conditionalFormatting>
  <conditionalFormatting sqref="F44:F46">
    <cfRule type="expression" dxfId="2440" priority="31">
      <formula>F44&gt;0</formula>
    </cfRule>
    <cfRule type="expression" dxfId="2439" priority="32">
      <formula>F44&lt;0</formula>
    </cfRule>
  </conditionalFormatting>
  <conditionalFormatting sqref="H44:H46">
    <cfRule type="expression" dxfId="2438" priority="29">
      <formula>H44&gt;0</formula>
    </cfRule>
    <cfRule type="expression" dxfId="2437" priority="30">
      <formula>H44&lt;0</formula>
    </cfRule>
  </conditionalFormatting>
  <conditionalFormatting sqref="F89:F110">
    <cfRule type="expression" dxfId="2436" priority="27">
      <formula>F89&gt;0</formula>
    </cfRule>
    <cfRule type="expression" dxfId="2435" priority="28">
      <formula>F89&lt;0</formula>
    </cfRule>
  </conditionalFormatting>
  <conditionalFormatting sqref="H89:H110">
    <cfRule type="expression" dxfId="2434" priority="25">
      <formula>H89&gt;0</formula>
    </cfRule>
    <cfRule type="expression" dxfId="2433" priority="26">
      <formula>H89&lt;0</formula>
    </cfRule>
  </conditionalFormatting>
  <conditionalFormatting sqref="Q10">
    <cfRule type="expression" dxfId="2432" priority="23">
      <formula>Q10&gt;0</formula>
    </cfRule>
    <cfRule type="expression" dxfId="2431" priority="24">
      <formula>Q10&lt;0</formula>
    </cfRule>
  </conditionalFormatting>
  <conditionalFormatting sqref="J25:J38">
    <cfRule type="expression" dxfId="2430" priority="21">
      <formula>J25&gt;0</formula>
    </cfRule>
    <cfRule type="expression" dxfId="2429" priority="22">
      <formula>J25&lt;0</formula>
    </cfRule>
  </conditionalFormatting>
  <conditionalFormatting sqref="K25:K38">
    <cfRule type="expression" dxfId="2428" priority="19">
      <formula>K25&gt;0</formula>
    </cfRule>
    <cfRule type="expression" dxfId="2427" priority="20">
      <formula>K25&lt;0</formula>
    </cfRule>
  </conditionalFormatting>
  <conditionalFormatting sqref="L25:L38">
    <cfRule type="expression" dxfId="2426" priority="17">
      <formula>L25&gt;0</formula>
    </cfRule>
    <cfRule type="expression" dxfId="2425" priority="18">
      <formula>L25&lt;0</formula>
    </cfRule>
  </conditionalFormatting>
  <conditionalFormatting sqref="J40">
    <cfRule type="expression" dxfId="2424" priority="15">
      <formula>J40&gt;0</formula>
    </cfRule>
    <cfRule type="expression" dxfId="2423" priority="16">
      <formula>J40&lt;0</formula>
    </cfRule>
  </conditionalFormatting>
  <conditionalFormatting sqref="L39">
    <cfRule type="expression" dxfId="2422" priority="11">
      <formula>L39&gt;0</formula>
    </cfRule>
    <cfRule type="expression" dxfId="2421" priority="12">
      <formula>L39&lt;0</formula>
    </cfRule>
  </conditionalFormatting>
  <conditionalFormatting sqref="F39">
    <cfRule type="expression" dxfId="2420" priority="9">
      <formula>F39&gt;0</formula>
    </cfRule>
    <cfRule type="expression" dxfId="2419" priority="10">
      <formula>F39&lt;0</formula>
    </cfRule>
  </conditionalFormatting>
  <conditionalFormatting sqref="H39">
    <cfRule type="expression" dxfId="2418" priority="7">
      <formula>H39&gt;0</formula>
    </cfRule>
    <cfRule type="expression" dxfId="2417" priority="8">
      <formula>H39&lt;0</formula>
    </cfRule>
  </conditionalFormatting>
  <conditionalFormatting sqref="J41">
    <cfRule type="expression" dxfId="2416" priority="5">
      <formula>J41&gt;0</formula>
    </cfRule>
    <cfRule type="expression" dxfId="2415" priority="6">
      <formula>J41&lt;0</formula>
    </cfRule>
  </conditionalFormatting>
  <conditionalFormatting sqref="J43">
    <cfRule type="expression" dxfId="2414" priority="3">
      <formula>J43&gt;0</formula>
    </cfRule>
    <cfRule type="expression" dxfId="2413" priority="4">
      <formula>J43&lt;0</formula>
    </cfRule>
  </conditionalFormatting>
  <conditionalFormatting sqref="J44">
    <cfRule type="expression" dxfId="2412" priority="1">
      <formula>J44&gt;0</formula>
    </cfRule>
    <cfRule type="expression" dxfId="2411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37.1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37.1</v>
      </c>
      <c r="R4" s="475">
        <v>-1.5699999999999999E-2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208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207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207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51" t="s">
        <v>78</v>
      </c>
      <c r="Q39" s="851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40.81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40.439000000000007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40.068000000000005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39.697000000000003</v>
      </c>
      <c r="R43" s="81"/>
      <c r="T43" s="85" t="s">
        <v>100</v>
      </c>
      <c r="U43" s="127" t="s">
        <v>524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39.326000000000001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38.955000000000005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38.584000000000003</v>
      </c>
      <c r="R46" s="81"/>
      <c r="T46" s="85" t="s">
        <v>121</v>
      </c>
      <c r="U46" s="223" t="s">
        <v>420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38.213000000000001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37.841999999999999</v>
      </c>
      <c r="R48" s="81"/>
      <c r="T48" s="85" t="s">
        <v>104</v>
      </c>
      <c r="U48" s="127" t="s">
        <v>571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37.471000000000004</v>
      </c>
      <c r="R49" s="81"/>
      <c r="T49" s="85" t="s">
        <v>105</v>
      </c>
      <c r="U49" s="127" t="s">
        <v>328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37.1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36.728999999999999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36.358000000000004</v>
      </c>
      <c r="R52" s="81"/>
      <c r="T52" s="85" t="s">
        <v>107</v>
      </c>
      <c r="U52" s="127" t="s">
        <v>572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35.987000000000002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35.616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35.244999999999997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34.874000000000002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34.503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34.132000000000005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33.761000000000003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33.39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410" priority="31">
      <formula>F29&gt;0</formula>
    </cfRule>
    <cfRule type="expression" dxfId="2409" priority="32">
      <formula>F29&lt;0</formula>
    </cfRule>
  </conditionalFormatting>
  <conditionalFormatting sqref="F29 F31:F35">
    <cfRule type="expression" dxfId="2408" priority="33">
      <formula>F29&gt;0</formula>
    </cfRule>
    <cfRule type="expression" dxfId="2407" priority="34">
      <formula>F29&lt;0</formula>
    </cfRule>
  </conditionalFormatting>
  <conditionalFormatting sqref="H29 H31:H35">
    <cfRule type="expression" dxfId="2406" priority="29">
      <formula>H29&gt;0</formula>
    </cfRule>
    <cfRule type="expression" dxfId="2405" priority="30">
      <formula>H29&lt;0</formula>
    </cfRule>
  </conditionalFormatting>
  <conditionalFormatting sqref="F21:F28">
    <cfRule type="expression" dxfId="2404" priority="27">
      <formula>F21&gt;0</formula>
    </cfRule>
    <cfRule type="expression" dxfId="2403" priority="28">
      <formula>F21&lt;0</formula>
    </cfRule>
  </conditionalFormatting>
  <conditionalFormatting sqref="H21:H28">
    <cfRule type="expression" dxfId="2402" priority="25">
      <formula>H21&gt;0</formula>
    </cfRule>
    <cfRule type="expression" dxfId="2401" priority="26">
      <formula>H21&lt;0</formula>
    </cfRule>
  </conditionalFormatting>
  <conditionalFormatting sqref="Q8">
    <cfRule type="expression" dxfId="2400" priority="21">
      <formula>Q8&gt;0</formula>
    </cfRule>
    <cfRule type="expression" dxfId="2399" priority="22">
      <formula>Q8&lt;0</formula>
    </cfRule>
  </conditionalFormatting>
  <conditionalFormatting sqref="Q7">
    <cfRule type="expression" dxfId="2398" priority="23">
      <formula>Q7&gt;0</formula>
    </cfRule>
    <cfRule type="expression" dxfId="2397" priority="24">
      <formula>Q7&lt;0</formula>
    </cfRule>
  </conditionalFormatting>
  <conditionalFormatting sqref="F30">
    <cfRule type="expression" dxfId="2396" priority="19">
      <formula>F30&gt;0</formula>
    </cfRule>
    <cfRule type="expression" dxfId="2395" priority="20">
      <formula>F30&lt;0</formula>
    </cfRule>
  </conditionalFormatting>
  <conditionalFormatting sqref="H30">
    <cfRule type="expression" dxfId="2394" priority="17">
      <formula>H30&gt;0</formula>
    </cfRule>
    <cfRule type="expression" dxfId="2393" priority="18">
      <formula>H30&lt;0</formula>
    </cfRule>
  </conditionalFormatting>
  <conditionalFormatting sqref="F68 F70:F74">
    <cfRule type="expression" dxfId="2392" priority="13">
      <formula>F68&gt;0</formula>
    </cfRule>
    <cfRule type="expression" dxfId="2391" priority="14">
      <formula>F68&lt;0</formula>
    </cfRule>
  </conditionalFormatting>
  <conditionalFormatting sqref="F68 F70:F74">
    <cfRule type="expression" dxfId="2390" priority="15">
      <formula>F68&gt;0</formula>
    </cfRule>
    <cfRule type="expression" dxfId="2389" priority="16">
      <formula>F68&lt;0</formula>
    </cfRule>
  </conditionalFormatting>
  <conditionalFormatting sqref="H68 H70:H74">
    <cfRule type="expression" dxfId="2388" priority="11">
      <formula>H68&gt;0</formula>
    </cfRule>
    <cfRule type="expression" dxfId="2387" priority="12">
      <formula>H68&lt;0</formula>
    </cfRule>
  </conditionalFormatting>
  <conditionalFormatting sqref="F60:F67">
    <cfRule type="expression" dxfId="2386" priority="9">
      <formula>F60&gt;0</formula>
    </cfRule>
    <cfRule type="expression" dxfId="2385" priority="10">
      <formula>F60&lt;0</formula>
    </cfRule>
  </conditionalFormatting>
  <conditionalFormatting sqref="H60:H67">
    <cfRule type="expression" dxfId="2384" priority="7">
      <formula>H60&gt;0</formula>
    </cfRule>
    <cfRule type="expression" dxfId="2383" priority="8">
      <formula>H60&lt;0</formula>
    </cfRule>
  </conditionalFormatting>
  <conditionalFormatting sqref="F69">
    <cfRule type="expression" dxfId="2382" priority="5">
      <formula>F69&gt;0</formula>
    </cfRule>
    <cfRule type="expression" dxfId="2381" priority="6">
      <formula>F69&lt;0</formula>
    </cfRule>
  </conditionalFormatting>
  <conditionalFormatting sqref="H69">
    <cfRule type="expression" dxfId="2380" priority="3">
      <formula>H69&gt;0</formula>
    </cfRule>
    <cfRule type="expression" dxfId="2379" priority="4">
      <formula>H69&lt;0</formula>
    </cfRule>
  </conditionalFormatting>
  <conditionalFormatting sqref="Q10">
    <cfRule type="expression" dxfId="2378" priority="1">
      <formula>Q10&gt;0</formula>
    </cfRule>
    <cfRule type="expression" dxfId="237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49.77</v>
      </c>
      <c r="R4" s="475">
        <v>4.1999999999999997E-3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207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271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284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51" t="s">
        <v>78</v>
      </c>
      <c r="P40" s="851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54.747000000000007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54.249300000000005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53.751600000000003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53.253900000000009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52.756200000000007</v>
      </c>
      <c r="Q45" s="2"/>
      <c r="T45" s="91" t="s">
        <v>99</v>
      </c>
      <c r="U45" s="127" t="s">
        <v>573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266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52.258500000000005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51.760800000000003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51.263100000000001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50.765400000000007</v>
      </c>
      <c r="Q49" s="2"/>
      <c r="T49" s="91" t="s">
        <v>121</v>
      </c>
      <c r="U49" s="127" t="s">
        <v>421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50.267700000000005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49.77</v>
      </c>
      <c r="Q51" s="2"/>
      <c r="T51" s="91" t="s">
        <v>104</v>
      </c>
      <c r="U51" s="127" t="s">
        <v>574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49.272300000000001</v>
      </c>
      <c r="Q52" s="2"/>
      <c r="T52" s="91" t="s">
        <v>105</v>
      </c>
      <c r="U52" s="127" t="s">
        <v>529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48.7746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48.276900000000005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47.779200000000003</v>
      </c>
      <c r="T55" s="91" t="s">
        <v>107</v>
      </c>
      <c r="U55" s="127" t="s">
        <v>575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47.281500000000001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46.783799999999999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46.286100000000005</v>
      </c>
      <c r="T58" s="91" t="s">
        <v>108</v>
      </c>
      <c r="U58" s="127" t="s">
        <v>530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45.788400000000003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45.290700000000001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44.793000000000006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376" priority="11">
      <formula>F33&gt;0</formula>
    </cfRule>
    <cfRule type="expression" dxfId="2375" priority="12">
      <formula>F33&lt;0</formula>
    </cfRule>
  </conditionalFormatting>
  <conditionalFormatting sqref="Q7">
    <cfRule type="expression" dxfId="2374" priority="9">
      <formula>Q7&gt;0</formula>
    </cfRule>
    <cfRule type="expression" dxfId="2373" priority="10">
      <formula>Q7&lt;0</formula>
    </cfRule>
  </conditionalFormatting>
  <conditionalFormatting sqref="Q8">
    <cfRule type="expression" dxfId="2372" priority="7">
      <formula>Q8&gt;0</formula>
    </cfRule>
    <cfRule type="expression" dxfId="2371" priority="8">
      <formula>Q8&lt;0</formula>
    </cfRule>
  </conditionalFormatting>
  <conditionalFormatting sqref="F25:F32">
    <cfRule type="expression" dxfId="2370" priority="5">
      <formula>F25&gt;0</formula>
    </cfRule>
    <cfRule type="expression" dxfId="2369" priority="6">
      <formula>F25&lt;0</formula>
    </cfRule>
  </conditionalFormatting>
  <conditionalFormatting sqref="H25:H32">
    <cfRule type="expression" dxfId="2368" priority="3">
      <formula>H25&gt;0</formula>
    </cfRule>
    <cfRule type="expression" dxfId="2367" priority="4">
      <formula>H25&lt;0</formula>
    </cfRule>
  </conditionalFormatting>
  <conditionalFormatting sqref="Q10">
    <cfRule type="expression" dxfId="2366" priority="1">
      <formula>Q10&gt;0</formula>
    </cfRule>
    <cfRule type="expression" dxfId="236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C15" sqref="C15:F16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325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451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11.51</v>
      </c>
      <c r="T3" s="567" t="s">
        <v>474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11.51</v>
      </c>
      <c r="R4" s="475">
        <v>-1.9599999999999999E-2</v>
      </c>
      <c r="T4" s="156" t="s">
        <v>475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476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838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208</v>
      </c>
      <c r="Q9" s="222">
        <f>IF(Q2=0, 0, Q8/Q6)</f>
        <v>0</v>
      </c>
      <c r="T9" s="29">
        <v>43103</v>
      </c>
      <c r="U9" t="s">
        <v>830</v>
      </c>
      <c r="AA9" s="2"/>
      <c r="AD9" s="2"/>
      <c r="AG9" s="2"/>
      <c r="AI9" s="2"/>
    </row>
    <row r="10" spans="1:39" x14ac:dyDescent="0.25">
      <c r="A10" t="s">
        <v>782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207</v>
      </c>
      <c r="P10" s="33"/>
      <c r="Q10" s="2">
        <f>M58</f>
        <v>1283.4199999999946</v>
      </c>
      <c r="U10" t="s">
        <v>831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832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995</v>
      </c>
      <c r="Q12" s="1"/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973</v>
      </c>
      <c r="Q13">
        <f>Q4/0.32</f>
        <v>35.96875</v>
      </c>
      <c r="U13" t="s">
        <v>839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51" t="s">
        <v>78</v>
      </c>
      <c r="P15" s="851"/>
      <c r="T15" s="1">
        <v>43114</v>
      </c>
      <c r="U15" t="s">
        <v>870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13.236499999999999</v>
      </c>
      <c r="U16" s="475" t="s">
        <v>871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13.1214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13.006299999999998</v>
      </c>
      <c r="T18" s="1">
        <v>43140</v>
      </c>
      <c r="U18" t="s">
        <v>925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12.891200000000001</v>
      </c>
      <c r="X19" s="134"/>
    </row>
    <row r="20" spans="1:39" x14ac:dyDescent="0.25">
      <c r="O20" s="81">
        <v>1.1100000000000001</v>
      </c>
      <c r="P20" s="81">
        <f t="shared" si="3"/>
        <v>12.776100000000001</v>
      </c>
      <c r="T20" s="1">
        <v>43152</v>
      </c>
      <c r="U20" t="s">
        <v>929</v>
      </c>
      <c r="X20" s="134"/>
    </row>
    <row r="21" spans="1:39" x14ac:dyDescent="0.25">
      <c r="O21" s="81">
        <v>1.1000000000000001</v>
      </c>
      <c r="P21" s="81">
        <f t="shared" si="3"/>
        <v>12.661000000000001</v>
      </c>
      <c r="X21" s="134"/>
    </row>
    <row r="22" spans="1:39" x14ac:dyDescent="0.25">
      <c r="O22" s="81">
        <v>1.0900000000000001</v>
      </c>
      <c r="P22" s="81">
        <f t="shared" si="3"/>
        <v>12.545900000000001</v>
      </c>
      <c r="T22" s="1">
        <v>43160</v>
      </c>
      <c r="U22" t="s">
        <v>877</v>
      </c>
      <c r="X22" s="134"/>
    </row>
    <row r="23" spans="1:39" x14ac:dyDescent="0.25">
      <c r="O23" s="81">
        <v>1.08</v>
      </c>
      <c r="P23" s="81">
        <f t="shared" si="3"/>
        <v>12.430800000000001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497</v>
      </c>
      <c r="O24" s="81">
        <v>1.07</v>
      </c>
      <c r="P24" s="81">
        <f t="shared" si="3"/>
        <v>12.3157</v>
      </c>
      <c r="T24" s="1">
        <v>43191</v>
      </c>
      <c r="U24" t="s">
        <v>993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12.2006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12.0855</v>
      </c>
      <c r="T26" s="1">
        <v>43237</v>
      </c>
      <c r="U26" t="s">
        <v>1090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11.9704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11.8553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11.7402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11.6251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11.51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11.3949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11.2798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11.1647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11.0496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10.9345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10.8194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908</v>
      </c>
      <c r="J38" s="39">
        <v>880</v>
      </c>
      <c r="K38" s="39"/>
      <c r="L38" s="4"/>
      <c r="O38" s="81">
        <v>0.93</v>
      </c>
      <c r="P38" s="81">
        <f t="shared" si="7"/>
        <v>10.7043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10.5892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10.4741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10.359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909</v>
      </c>
      <c r="J42" s="39">
        <v>736</v>
      </c>
      <c r="K42" s="39"/>
      <c r="L42" s="4"/>
      <c r="O42" s="81">
        <v>0.89</v>
      </c>
      <c r="P42" s="81">
        <f>O42*$Q$4</f>
        <v>10.2439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10.1288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10.0137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481</v>
      </c>
      <c r="T47" s="567" t="s">
        <v>474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485</v>
      </c>
      <c r="T48" s="22" t="s">
        <v>484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486</v>
      </c>
      <c r="T49" s="22" t="s">
        <v>487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488</v>
      </c>
      <c r="T50" s="22" t="s">
        <v>489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492</v>
      </c>
      <c r="T53" s="22" t="s">
        <v>482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491</v>
      </c>
      <c r="T54" s="22" t="s">
        <v>483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490</v>
      </c>
      <c r="T55" s="22" t="s">
        <v>493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281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669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337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331</v>
      </c>
      <c r="J103" s="39"/>
      <c r="K103" s="39"/>
    </row>
    <row r="104" spans="1:11" x14ac:dyDescent="0.25">
      <c r="A104" t="s">
        <v>337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367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377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385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405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337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337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433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364" priority="75">
      <formula>F32&gt;0</formula>
    </cfRule>
    <cfRule type="expression" dxfId="2363" priority="76">
      <formula>F32&lt;0</formula>
    </cfRule>
  </conditionalFormatting>
  <conditionalFormatting sqref="Q7">
    <cfRule type="expression" dxfId="2362" priority="73">
      <formula>Q7&gt;0</formula>
    </cfRule>
    <cfRule type="expression" dxfId="2361" priority="74">
      <formula>Q7&lt;0</formula>
    </cfRule>
  </conditionalFormatting>
  <conditionalFormatting sqref="Q8">
    <cfRule type="expression" dxfId="2360" priority="71">
      <formula>Q8&gt;0</formula>
    </cfRule>
    <cfRule type="expression" dxfId="2359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358" priority="63">
      <formula>M58&gt;0</formula>
    </cfRule>
    <cfRule type="expression" dxfId="2357" priority="64">
      <formula>M58&lt;0</formula>
    </cfRule>
  </conditionalFormatting>
  <conditionalFormatting sqref="Q10">
    <cfRule type="expression" dxfId="2356" priority="61">
      <formula>Q10&gt;0</formula>
    </cfRule>
    <cfRule type="expression" dxfId="2355" priority="62">
      <formula>Q10&lt;0</formula>
    </cfRule>
  </conditionalFormatting>
  <conditionalFormatting sqref="F29:F31">
    <cfRule type="expression" dxfId="2354" priority="59">
      <formula>F29&gt;0</formula>
    </cfRule>
    <cfRule type="expression" dxfId="2353" priority="60">
      <formula>F29&lt;0</formula>
    </cfRule>
  </conditionalFormatting>
  <conditionalFormatting sqref="H29:H31">
    <cfRule type="expression" dxfId="2352" priority="57">
      <formula>H29&gt;0</formula>
    </cfRule>
    <cfRule type="expression" dxfId="2351" priority="58">
      <formula>H29&lt;0</formula>
    </cfRule>
  </conditionalFormatting>
  <conditionalFormatting sqref="F83:F94">
    <cfRule type="expression" dxfId="2350" priority="55">
      <formula>F83&gt;0</formula>
    </cfRule>
    <cfRule type="expression" dxfId="2349" priority="56">
      <formula>F83&lt;0</formula>
    </cfRule>
  </conditionalFormatting>
  <conditionalFormatting sqref="H83:H94">
    <cfRule type="expression" dxfId="2348" priority="53">
      <formula>H83&gt;0</formula>
    </cfRule>
    <cfRule type="expression" dxfId="2347" priority="54">
      <formula>H83&lt;0</formula>
    </cfRule>
  </conditionalFormatting>
  <conditionalFormatting sqref="J41">
    <cfRule type="expression" dxfId="2346" priority="51">
      <formula>J41&gt;0</formula>
    </cfRule>
    <cfRule type="expression" dxfId="2345" priority="52">
      <formula>J41&lt;0</formula>
    </cfRule>
  </conditionalFormatting>
  <conditionalFormatting sqref="J39:J47">
    <cfRule type="expression" dxfId="2344" priority="49">
      <formula>J39&gt;0</formula>
    </cfRule>
    <cfRule type="expression" dxfId="2343" priority="50">
      <formula>J39&lt;0</formula>
    </cfRule>
  </conditionalFormatting>
  <conditionalFormatting sqref="F48:F51 H48:H51">
    <cfRule type="expression" dxfId="2342" priority="47">
      <formula>F48&gt;0</formula>
    </cfRule>
    <cfRule type="expression" dxfId="2341" priority="48">
      <formula>F48&lt;0</formula>
    </cfRule>
  </conditionalFormatting>
  <conditionalFormatting sqref="J48:J57">
    <cfRule type="expression" dxfId="2340" priority="45">
      <formula>J48&gt;0</formula>
    </cfRule>
    <cfRule type="expression" dxfId="2339" priority="46">
      <formula>J48&lt;0</formula>
    </cfRule>
  </conditionalFormatting>
  <conditionalFormatting sqref="K45:K52">
    <cfRule type="expression" dxfId="2338" priority="43">
      <formula>K45&gt;0</formula>
    </cfRule>
    <cfRule type="expression" dxfId="2337" priority="44">
      <formula>K45&lt;0</formula>
    </cfRule>
  </conditionalFormatting>
  <conditionalFormatting sqref="K45:K52">
    <cfRule type="expression" dxfId="2336" priority="41">
      <formula>K45&gt;0</formula>
    </cfRule>
    <cfRule type="expression" dxfId="2335" priority="42">
      <formula>K45&lt;0</formula>
    </cfRule>
  </conditionalFormatting>
  <conditionalFormatting sqref="F102:F118 H102:H118 H120:H128 F120:F128">
    <cfRule type="expression" dxfId="2334" priority="37">
      <formula>F102&gt;0</formula>
    </cfRule>
    <cfRule type="expression" dxfId="2333" priority="38">
      <formula>F102&lt;0</formula>
    </cfRule>
  </conditionalFormatting>
  <conditionalFormatting sqref="F96:F101">
    <cfRule type="expression" dxfId="2332" priority="35">
      <formula>F96&gt;0</formula>
    </cfRule>
    <cfRule type="expression" dxfId="2331" priority="36">
      <formula>F96&lt;0</formula>
    </cfRule>
  </conditionalFormatting>
  <conditionalFormatting sqref="H96:H101">
    <cfRule type="expression" dxfId="2330" priority="33">
      <formula>H96&gt;0</formula>
    </cfRule>
    <cfRule type="expression" dxfId="2329" priority="34">
      <formula>H96&lt;0</formula>
    </cfRule>
  </conditionalFormatting>
  <conditionalFormatting sqref="J112">
    <cfRule type="expression" dxfId="2328" priority="31">
      <formula>J112&gt;0</formula>
    </cfRule>
    <cfRule type="expression" dxfId="2327" priority="32">
      <formula>J112&lt;0</formula>
    </cfRule>
  </conditionalFormatting>
  <conditionalFormatting sqref="J110:J118 J120">
    <cfRule type="expression" dxfId="2326" priority="29">
      <formula>J110&gt;0</formula>
    </cfRule>
    <cfRule type="expression" dxfId="2325" priority="30">
      <formula>J110&lt;0</formula>
    </cfRule>
  </conditionalFormatting>
  <conditionalFormatting sqref="F119 H119">
    <cfRule type="expression" dxfId="2324" priority="27">
      <formula>F119&gt;0</formula>
    </cfRule>
    <cfRule type="expression" dxfId="2323" priority="28">
      <formula>F119&lt;0</formula>
    </cfRule>
  </conditionalFormatting>
  <conditionalFormatting sqref="J119">
    <cfRule type="expression" dxfId="2322" priority="25">
      <formula>J119&gt;0</formula>
    </cfRule>
    <cfRule type="expression" dxfId="2321" priority="26">
      <formula>J119&lt;0</formula>
    </cfRule>
  </conditionalFormatting>
  <conditionalFormatting sqref="K112:K123">
    <cfRule type="expression" dxfId="2320" priority="23">
      <formula>K112&gt;0</formula>
    </cfRule>
    <cfRule type="expression" dxfId="2319" priority="24">
      <formula>K112&lt;0</formula>
    </cfRule>
  </conditionalFormatting>
  <conditionalFormatting sqref="K110:K123">
    <cfRule type="expression" dxfId="2318" priority="21">
      <formula>K110&gt;0</formula>
    </cfRule>
    <cfRule type="expression" dxfId="2317" priority="22">
      <formula>K110&lt;0</formula>
    </cfRule>
  </conditionalFormatting>
  <conditionalFormatting sqref="J121">
    <cfRule type="expression" dxfId="2316" priority="19">
      <formula>J121&gt;0</formula>
    </cfRule>
    <cfRule type="expression" dxfId="2315" priority="20">
      <formula>J121&lt;0</formula>
    </cfRule>
  </conditionalFormatting>
  <conditionalFormatting sqref="F25:F28">
    <cfRule type="expression" dxfId="2314" priority="17">
      <formula>F25&gt;0</formula>
    </cfRule>
    <cfRule type="expression" dxfId="2313" priority="18">
      <formula>F25&lt;0</formula>
    </cfRule>
  </conditionalFormatting>
  <conditionalFormatting sqref="H25:H28">
    <cfRule type="expression" dxfId="2312" priority="15">
      <formula>H25&gt;0</formula>
    </cfRule>
    <cfRule type="expression" dxfId="2311" priority="16">
      <formula>H25&lt;0</formula>
    </cfRule>
  </conditionalFormatting>
  <conditionalFormatting sqref="J27:J29">
    <cfRule type="expression" dxfId="2310" priority="13">
      <formula>J27&gt;0</formula>
    </cfRule>
    <cfRule type="expression" dxfId="2309" priority="14">
      <formula>J27&lt;0</formula>
    </cfRule>
  </conditionalFormatting>
  <conditionalFormatting sqref="J30:J31">
    <cfRule type="expression" dxfId="2308" priority="11">
      <formula>J30&gt;0</formula>
    </cfRule>
    <cfRule type="expression" dxfId="2307" priority="12">
      <formula>J30&lt;0</formula>
    </cfRule>
  </conditionalFormatting>
  <conditionalFormatting sqref="J33">
    <cfRule type="expression" dxfId="2306" priority="9">
      <formula>J33&gt;0</formula>
    </cfRule>
    <cfRule type="expression" dxfId="2305" priority="10">
      <formula>J33&lt;0</formula>
    </cfRule>
  </conditionalFormatting>
  <conditionalFormatting sqref="J34">
    <cfRule type="expression" dxfId="2304" priority="7">
      <formula>J34&gt;0</formula>
    </cfRule>
    <cfRule type="expression" dxfId="2303" priority="8">
      <formula>J34&lt;0</formula>
    </cfRule>
  </conditionalFormatting>
  <conditionalFormatting sqref="J35:J43">
    <cfRule type="expression" dxfId="2302" priority="5">
      <formula>J35&gt;0</formula>
    </cfRule>
    <cfRule type="expression" dxfId="2301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00" priority="1">
      <formula>Q9&gt;0</formula>
    </cfRule>
    <cfRule type="expression" dxfId="2299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53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53</v>
      </c>
      <c r="R4" s="475">
        <v>-4.8999999999999998E-3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51" t="s">
        <v>78</v>
      </c>
      <c r="P40" s="851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58.300000000000004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57.77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57.24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56.71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56.18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55.650000000000006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55.120000000000005</v>
      </c>
      <c r="Q47" s="2"/>
    </row>
    <row r="48" spans="2:17" x14ac:dyDescent="0.25">
      <c r="O48" s="81">
        <v>1.03</v>
      </c>
      <c r="P48" s="81">
        <f t="shared" si="4"/>
        <v>54.59</v>
      </c>
      <c r="Q48" s="2"/>
    </row>
    <row r="49" spans="1:17" x14ac:dyDescent="0.25">
      <c r="O49" s="81">
        <v>1.02</v>
      </c>
      <c r="P49" s="81">
        <f t="shared" si="4"/>
        <v>54.06</v>
      </c>
      <c r="Q49" s="2"/>
    </row>
    <row r="50" spans="1:17" x14ac:dyDescent="0.25">
      <c r="O50" s="81">
        <v>1.01</v>
      </c>
      <c r="P50" s="81">
        <f t="shared" si="4"/>
        <v>53.53</v>
      </c>
      <c r="Q50" s="2"/>
    </row>
    <row r="51" spans="1:17" x14ac:dyDescent="0.25">
      <c r="O51" s="81">
        <v>1</v>
      </c>
      <c r="P51" s="81">
        <f t="shared" si="4"/>
        <v>53</v>
      </c>
      <c r="Q51" s="2"/>
    </row>
    <row r="52" spans="1:17" x14ac:dyDescent="0.25">
      <c r="O52" s="81">
        <v>0.99</v>
      </c>
      <c r="P52" s="81">
        <f t="shared" si="4"/>
        <v>52.47</v>
      </c>
      <c r="Q52" s="2"/>
    </row>
    <row r="53" spans="1:17" x14ac:dyDescent="0.25">
      <c r="O53" s="81">
        <v>0.98</v>
      </c>
      <c r="P53" s="81">
        <f t="shared" si="4"/>
        <v>51.94</v>
      </c>
      <c r="Q53" s="2"/>
    </row>
    <row r="54" spans="1:17" x14ac:dyDescent="0.25">
      <c r="O54" s="81">
        <v>0.97</v>
      </c>
      <c r="P54" s="81">
        <f t="shared" si="4"/>
        <v>51.41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50.879999999999995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50.349999999999994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49.82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49.29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48.760000000000005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48.230000000000004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47.7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98" priority="15">
      <formula>F39&gt;0</formula>
    </cfRule>
    <cfRule type="expression" dxfId="2297" priority="16">
      <formula>F39&lt;0</formula>
    </cfRule>
  </conditionalFormatting>
  <conditionalFormatting sqref="Q7">
    <cfRule type="expression" dxfId="2296" priority="13">
      <formula>Q7&gt;0</formula>
    </cfRule>
    <cfRule type="expression" dxfId="2295" priority="14">
      <formula>Q7&lt;0</formula>
    </cfRule>
  </conditionalFormatting>
  <conditionalFormatting sqref="Q8">
    <cfRule type="expression" dxfId="2294" priority="11">
      <formula>Q8&gt;0</formula>
    </cfRule>
    <cfRule type="expression" dxfId="2293" priority="12">
      <formula>Q8&lt;0</formula>
    </cfRule>
  </conditionalFormatting>
  <conditionalFormatting sqref="F25:F38">
    <cfRule type="expression" dxfId="2292" priority="9">
      <formula>F25&gt;0</formula>
    </cfRule>
    <cfRule type="expression" dxfId="2291" priority="10">
      <formula>F25&lt;0</formula>
    </cfRule>
  </conditionalFormatting>
  <conditionalFormatting sqref="H25:H38">
    <cfRule type="expression" dxfId="2290" priority="7">
      <formula>H25&gt;0</formula>
    </cfRule>
    <cfRule type="expression" dxfId="2289" priority="8">
      <formula>H25&lt;0</formula>
    </cfRule>
  </conditionalFormatting>
  <conditionalFormatting sqref="M55">
    <cfRule type="expression" dxfId="2288" priority="3">
      <formula>M55&gt;0</formula>
    </cfRule>
    <cfRule type="expression" dxfId="2287" priority="4">
      <formula>M55&lt;0</formula>
    </cfRule>
  </conditionalFormatting>
  <conditionalFormatting sqref="Q10">
    <cfRule type="expression" dxfId="2286" priority="1">
      <formula>Q10&gt;0</formula>
    </cfRule>
    <cfRule type="expression" dxfId="228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41.72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41.72</v>
      </c>
      <c r="R4" s="475">
        <v>2.18E-2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208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207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345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51" t="s">
        <v>78</v>
      </c>
      <c r="P40" s="851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45.892000000000003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45.474800000000002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313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45.057600000000001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44.6404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44.223199999999999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43.805999999999997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43.388800000000003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42.971600000000002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42.554400000000001</v>
      </c>
      <c r="Q49" s="2"/>
      <c r="T49" s="91" t="s">
        <v>103</v>
      </c>
      <c r="U49" s="127" t="s">
        <v>576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42.1372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41.72</v>
      </c>
      <c r="Q51" s="2"/>
      <c r="T51" s="91" t="s">
        <v>104</v>
      </c>
      <c r="U51" s="127" t="s">
        <v>577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41.302799999999998</v>
      </c>
      <c r="Q52" s="2"/>
      <c r="T52" s="91" t="s">
        <v>105</v>
      </c>
      <c r="U52" s="127" t="s">
        <v>314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40.885599999999997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40.468399999999995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40.051199999999994</v>
      </c>
      <c r="T55" s="91" t="s">
        <v>107</v>
      </c>
      <c r="U55" s="127" t="s">
        <v>578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39.634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39.216799999999999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38.799599999999998</v>
      </c>
      <c r="T58" s="91" t="s">
        <v>108</v>
      </c>
      <c r="U58" s="127" t="s">
        <v>505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38.382400000000004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37.965200000000003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37.548000000000002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284" priority="27">
      <formula>F27&gt;0</formula>
    </cfRule>
    <cfRule type="expression" dxfId="2283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282" priority="15">
      <formula>Q8&gt;0</formula>
    </cfRule>
    <cfRule type="expression" dxfId="2281" priority="16">
      <formula>Q8&lt;0</formula>
    </cfRule>
  </conditionalFormatting>
  <conditionalFormatting sqref="Q7">
    <cfRule type="expression" dxfId="2280" priority="17">
      <formula>Q7&gt;0</formula>
    </cfRule>
    <cfRule type="expression" dxfId="2279" priority="18">
      <formula>Q7&lt;0</formula>
    </cfRule>
  </conditionalFormatting>
  <conditionalFormatting sqref="F37:F38">
    <cfRule type="expression" dxfId="2278" priority="13">
      <formula>F37&gt;0</formula>
    </cfRule>
    <cfRule type="expression" dxfId="2277" priority="14">
      <formula>F37&lt;0</formula>
    </cfRule>
  </conditionalFormatting>
  <conditionalFormatting sqref="H37:H38">
    <cfRule type="expression" dxfId="2276" priority="11">
      <formula>H37&gt;0</formula>
    </cfRule>
    <cfRule type="expression" dxfId="2275" priority="12">
      <formula>H37&lt;0</formula>
    </cfRule>
  </conditionalFormatting>
  <conditionalFormatting sqref="F23:F26 H23:H26">
    <cfRule type="expression" dxfId="2274" priority="9">
      <formula>F23&gt;0</formula>
    </cfRule>
    <cfRule type="expression" dxfId="2273" priority="10">
      <formula>F23&lt;0</formula>
    </cfRule>
  </conditionalFormatting>
  <conditionalFormatting sqref="Q10">
    <cfRule type="expression" dxfId="2272" priority="3">
      <formula>Q10&gt;0</formula>
    </cfRule>
    <cfRule type="expression" dxfId="2271" priority="4">
      <formula>Q10&lt;0</formula>
    </cfRule>
  </conditionalFormatting>
  <conditionalFormatting sqref="F22 H22">
    <cfRule type="expression" dxfId="2270" priority="1">
      <formula>F22&gt;0</formula>
    </cfRule>
    <cfRule type="expression" dxfId="2269" priority="2">
      <formula>F22&lt;0</formula>
    </cfRule>
  </conditionalFormatting>
  <conditionalFormatting sqref="M41">
    <cfRule type="expression" dxfId="2268" priority="5">
      <formula>M41&gt;0</formula>
    </cfRule>
    <cfRule type="expression" dxfId="226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56.18</v>
      </c>
      <c r="T3" s="1"/>
      <c r="W3" s="130">
        <v>42830</v>
      </c>
      <c r="X3" s="10" t="s">
        <v>327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56.18</v>
      </c>
      <c r="R4" s="475">
        <v>-4.7999999999999996E-3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208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207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61.798000000000002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61.236200000000004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60.674400000000006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60.1126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59.550800000000002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58.989000000000004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58.427199999999999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298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57.865400000000001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57.303600000000003</v>
      </c>
      <c r="Q49" s="2"/>
      <c r="T49" s="91" t="s">
        <v>103</v>
      </c>
      <c r="U49" s="127" t="s">
        <v>477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56.741799999999998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56.18</v>
      </c>
      <c r="Q51" s="2"/>
      <c r="T51" s="91" t="s">
        <v>104</v>
      </c>
      <c r="U51" s="127" t="s">
        <v>579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55.618200000000002</v>
      </c>
      <c r="Q52" s="2"/>
      <c r="T52" s="91" t="s">
        <v>105</v>
      </c>
      <c r="U52" s="127" t="s">
        <v>364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55.056399999999996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54.494599999999998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53.9328</v>
      </c>
      <c r="T55" s="91" t="s">
        <v>107</v>
      </c>
      <c r="U55" s="127" t="s">
        <v>580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53.370999999999995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52.809199999999997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52.247399999999999</v>
      </c>
      <c r="T58" s="91" t="s">
        <v>108</v>
      </c>
      <c r="U58" s="127" t="s">
        <v>537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51.685600000000001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51.123800000000003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50.561999999999998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334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344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361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361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384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419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435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452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266" priority="29">
      <formula>F25&gt;0</formula>
    </cfRule>
    <cfRule type="expression" dxfId="2265" priority="30">
      <formula>F25&lt;0</formula>
    </cfRule>
  </conditionalFormatting>
  <conditionalFormatting sqref="Q7">
    <cfRule type="expression" dxfId="2264" priority="27">
      <formula>Q7&gt;0</formula>
    </cfRule>
    <cfRule type="expression" dxfId="2263" priority="28">
      <formula>Q7&lt;0</formula>
    </cfRule>
  </conditionalFormatting>
  <conditionalFormatting sqref="Q8">
    <cfRule type="expression" dxfId="2262" priority="25">
      <formula>Q8&gt;0</formula>
    </cfRule>
    <cfRule type="expression" dxfId="2261" priority="26">
      <formula>Q8&lt;0</formula>
    </cfRule>
  </conditionalFormatting>
  <conditionalFormatting sqref="Q10">
    <cfRule type="expression" dxfId="2260" priority="13">
      <formula>Q10&gt;0</formula>
    </cfRule>
    <cfRule type="expression" dxfId="2259" priority="14">
      <formula>Q10&lt;0</formula>
    </cfRule>
  </conditionalFormatting>
  <conditionalFormatting sqref="M46">
    <cfRule type="expression" dxfId="2258" priority="11">
      <formula>M46&gt;0</formula>
    </cfRule>
    <cfRule type="expression" dxfId="2257" priority="12">
      <formula>M46&lt;0</formula>
    </cfRule>
  </conditionalFormatting>
  <conditionalFormatting sqref="F80:F88 H80:H88">
    <cfRule type="expression" dxfId="2256" priority="9">
      <formula>F80&gt;0</formula>
    </cfRule>
    <cfRule type="expression" dxfId="2255" priority="10">
      <formula>F80&lt;0</formula>
    </cfRule>
  </conditionalFormatting>
  <conditionalFormatting sqref="F75:F79">
    <cfRule type="expression" dxfId="2254" priority="7">
      <formula>F75&gt;0</formula>
    </cfRule>
    <cfRule type="expression" dxfId="2253" priority="8">
      <formula>F75&lt;0</formula>
    </cfRule>
  </conditionalFormatting>
  <conditionalFormatting sqref="H75:H79">
    <cfRule type="expression" dxfId="2252" priority="5">
      <formula>H75&gt;0</formula>
    </cfRule>
    <cfRule type="expression" dxfId="2251" priority="6">
      <formula>H75&lt;0</formula>
    </cfRule>
  </conditionalFormatting>
  <conditionalFormatting sqref="F71:F74">
    <cfRule type="expression" dxfId="2250" priority="3">
      <formula>F71&gt;0</formula>
    </cfRule>
    <cfRule type="expression" dxfId="2249" priority="4">
      <formula>F71&lt;0</formula>
    </cfRule>
  </conditionalFormatting>
  <conditionalFormatting sqref="H71:H74">
    <cfRule type="expression" dxfId="2248" priority="1">
      <formula>H71&gt;0</formula>
    </cfRule>
    <cfRule type="expression" dxfId="224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693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31.01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31.01</v>
      </c>
      <c r="R4" s="495">
        <v>1.41E-2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207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675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34.111000000000004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33.800900000000006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33.490800000000007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33.180700000000002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32.870600000000003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32.560500000000005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32.250400000000006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31.940300000000004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31.630200000000002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31.320100000000004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31.01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30.6999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30.389800000000001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30.079699999999999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29.769600000000001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29.459499999999998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29.1494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28.839300000000001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28.529200000000003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28.219100000000001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27.909000000000002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693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246" priority="21">
      <formula>F47&gt;0</formula>
    </cfRule>
    <cfRule type="expression" dxfId="2245" priority="22">
      <formula>F47&lt;0</formula>
    </cfRule>
  </conditionalFormatting>
  <conditionalFormatting sqref="Q7">
    <cfRule type="expression" dxfId="2244" priority="19">
      <formula>Q7&gt;0</formula>
    </cfRule>
    <cfRule type="expression" dxfId="2243" priority="20">
      <formula>Q7&lt;0</formula>
    </cfRule>
  </conditionalFormatting>
  <conditionalFormatting sqref="Q8">
    <cfRule type="expression" dxfId="2242" priority="17">
      <formula>Q8&gt;0</formula>
    </cfRule>
    <cfRule type="expression" dxfId="2241" priority="18">
      <formula>Q8&lt;0</formula>
    </cfRule>
  </conditionalFormatting>
  <conditionalFormatting sqref="F25:F46">
    <cfRule type="expression" dxfId="2240" priority="15">
      <formula>F25&gt;0</formula>
    </cfRule>
    <cfRule type="expression" dxfId="2239" priority="16">
      <formula>F25&lt;0</formula>
    </cfRule>
  </conditionalFormatting>
  <conditionalFormatting sqref="H25:H46">
    <cfRule type="expression" dxfId="2238" priority="13">
      <formula>H25&gt;0</formula>
    </cfRule>
    <cfRule type="expression" dxfId="2237" priority="14">
      <formula>H25&lt;0</formula>
    </cfRule>
  </conditionalFormatting>
  <conditionalFormatting sqref="F89:F110">
    <cfRule type="expression" dxfId="2236" priority="11">
      <formula>F89&gt;0</formula>
    </cfRule>
    <cfRule type="expression" dxfId="2235" priority="12">
      <formula>F89&lt;0</formula>
    </cfRule>
  </conditionalFormatting>
  <conditionalFormatting sqref="H89:H110">
    <cfRule type="expression" dxfId="2234" priority="9">
      <formula>H89&gt;0</formula>
    </cfRule>
    <cfRule type="expression" dxfId="2233" priority="10">
      <formula>H89&lt;0</formula>
    </cfRule>
  </conditionalFormatting>
  <conditionalFormatting sqref="Q10">
    <cfRule type="expression" dxfId="2232" priority="7">
      <formula>Q10&gt;0</formula>
    </cfRule>
    <cfRule type="expression" dxfId="2231" priority="8">
      <formula>Q10&lt;0</formula>
    </cfRule>
  </conditionalFormatting>
  <conditionalFormatting sqref="J25:J38">
    <cfRule type="expression" dxfId="2230" priority="5">
      <formula>J25&gt;0</formula>
    </cfRule>
    <cfRule type="expression" dxfId="2229" priority="6">
      <formula>J25&lt;0</formula>
    </cfRule>
  </conditionalFormatting>
  <conditionalFormatting sqref="K25:K38">
    <cfRule type="expression" dxfId="2228" priority="3">
      <formula>K25&gt;0</formula>
    </cfRule>
    <cfRule type="expression" dxfId="2227" priority="4">
      <formula>K25&lt;0</formula>
    </cfRule>
  </conditionalFormatting>
  <conditionalFormatting sqref="L25:L38">
    <cfRule type="expression" dxfId="2226" priority="1">
      <formula>L25&gt;0</formula>
    </cfRule>
    <cfRule type="expression" dxfId="222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75.83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75.83</v>
      </c>
      <c r="R4" s="475">
        <v>-5.1999999999999998E-3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208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207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83.413000000000011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82.654700000000005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81.8964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81.138100000000009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80.379800000000003</v>
      </c>
      <c r="Q45" s="2"/>
      <c r="T45" s="91" t="s">
        <v>99</v>
      </c>
      <c r="U45" s="127" t="s">
        <v>581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79.621499999999997</v>
      </c>
      <c r="Q46" s="2"/>
      <c r="T46" s="91" t="s">
        <v>100</v>
      </c>
      <c r="U46" s="127" t="s">
        <v>582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78.863200000000006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247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78.104900000000001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77.346599999999995</v>
      </c>
      <c r="Q49" s="2"/>
      <c r="T49" s="91" t="s">
        <v>121</v>
      </c>
      <c r="U49" s="127" t="s">
        <v>386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76.588300000000004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75.83</v>
      </c>
      <c r="Q51" s="2"/>
      <c r="T51" s="91" t="s">
        <v>104</v>
      </c>
      <c r="U51" s="127" t="s">
        <v>583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75.071699999999993</v>
      </c>
      <c r="Q52" s="2"/>
      <c r="T52" s="91" t="s">
        <v>105</v>
      </c>
      <c r="U52" s="127" t="s">
        <v>416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74.313400000000001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73.555099999999996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72.79679999999999</v>
      </c>
      <c r="T55" s="91" t="s">
        <v>107</v>
      </c>
      <c r="U55" s="127" t="s">
        <v>584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72.038499999999999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71.280199999999994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70.521900000000002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69.763599999999997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69.005300000000005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68.247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248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251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224" priority="23">
      <formula>F34&gt;0</formula>
    </cfRule>
    <cfRule type="expression" dxfId="2223" priority="24">
      <formula>F34&lt;0</formula>
    </cfRule>
  </conditionalFormatting>
  <conditionalFormatting sqref="Q7">
    <cfRule type="expression" dxfId="2222" priority="21">
      <formula>Q7&gt;0</formula>
    </cfRule>
    <cfRule type="expression" dxfId="2221" priority="22">
      <formula>Q7&lt;0</formula>
    </cfRule>
  </conditionalFormatting>
  <conditionalFormatting sqref="Q8">
    <cfRule type="expression" dxfId="2220" priority="19">
      <formula>Q8&gt;0</formula>
    </cfRule>
    <cfRule type="expression" dxfId="2219" priority="20">
      <formula>Q8&lt;0</formula>
    </cfRule>
  </conditionalFormatting>
  <conditionalFormatting sqref="F25:F33">
    <cfRule type="expression" dxfId="2218" priority="17">
      <formula>F25&gt;0</formula>
    </cfRule>
    <cfRule type="expression" dxfId="2217" priority="18">
      <formula>F25&lt;0</formula>
    </cfRule>
  </conditionalFormatting>
  <conditionalFormatting sqref="H25:H33">
    <cfRule type="expression" dxfId="2216" priority="15">
      <formula>H25&gt;0</formula>
    </cfRule>
    <cfRule type="expression" dxfId="2215" priority="16">
      <formula>H25&lt;0</formula>
    </cfRule>
  </conditionalFormatting>
  <conditionalFormatting sqref="M46">
    <cfRule type="expression" dxfId="2214" priority="13">
      <formula>M46&gt;0</formula>
    </cfRule>
    <cfRule type="expression" dxfId="2213" priority="14">
      <formula>M46&lt;0</formula>
    </cfRule>
  </conditionalFormatting>
  <conditionalFormatting sqref="F79:F87 H79:H87">
    <cfRule type="expression" dxfId="2212" priority="11">
      <formula>F79&gt;0</formula>
    </cfRule>
    <cfRule type="expression" dxfId="2211" priority="12">
      <formula>F79&lt;0</formula>
    </cfRule>
  </conditionalFormatting>
  <conditionalFormatting sqref="F70:F78">
    <cfRule type="expression" dxfId="2210" priority="9">
      <formula>F70&gt;0</formula>
    </cfRule>
    <cfRule type="expression" dxfId="2209" priority="10">
      <formula>F70&lt;0</formula>
    </cfRule>
  </conditionalFormatting>
  <conditionalFormatting sqref="H70:H78">
    <cfRule type="expression" dxfId="2208" priority="7">
      <formula>H70&gt;0</formula>
    </cfRule>
    <cfRule type="expression" dxfId="2207" priority="8">
      <formula>H70&lt;0</formula>
    </cfRule>
  </conditionalFormatting>
  <conditionalFormatting sqref="J27:K27 J30:K30 J33:K33 J36:K36 J39:K39 J42:K42">
    <cfRule type="expression" dxfId="2206" priority="5">
      <formula>J27&gt;0</formula>
    </cfRule>
    <cfRule type="expression" dxfId="2205" priority="6">
      <formula>J27&lt;0</formula>
    </cfRule>
  </conditionalFormatting>
  <conditionalFormatting sqref="J28:K29 J31:K32 J34:K35 J37:K38 J40:K41">
    <cfRule type="expression" dxfId="2204" priority="3">
      <formula>J28&gt;0</formula>
    </cfRule>
    <cfRule type="expression" dxfId="2203" priority="4">
      <formula>J28&lt;0</formula>
    </cfRule>
  </conditionalFormatting>
  <conditionalFormatting sqref="L27:L42">
    <cfRule type="expression" dxfId="2202" priority="1">
      <formula>L27&gt;0</formula>
    </cfRule>
    <cfRule type="expression" dxfId="2201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17.739999999999998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17.739999999999998</v>
      </c>
      <c r="R4" s="475">
        <v>-2.8E-3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1" x14ac:dyDescent="0.25">
      <c r="H10" s="70"/>
      <c r="O10" s="11" t="s">
        <v>207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19.513999999999999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19.336600000000001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19.159199999999998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18.9818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18.804399999999998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18.626999999999999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18.4496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18.272199999999998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18.094799999999999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17.917399999999997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17.739999999999998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17.5626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17.385199999999998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17.207799999999999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17.030399999999997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16.852999999999998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16.675599999999999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16.498200000000001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16.320799999999998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16.1434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15.965999999999999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672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00" priority="9">
      <formula>F57&gt;0</formula>
    </cfRule>
    <cfRule type="expression" dxfId="2199" priority="10">
      <formula>F57&lt;0</formula>
    </cfRule>
  </conditionalFormatting>
  <conditionalFormatting sqref="Q7">
    <cfRule type="expression" dxfId="2198" priority="7">
      <formula>Q7&gt;0</formula>
    </cfRule>
    <cfRule type="expression" dxfId="2197" priority="8">
      <formula>Q7&lt;0</formula>
    </cfRule>
  </conditionalFormatting>
  <conditionalFormatting sqref="Q8">
    <cfRule type="expression" dxfId="2196" priority="5">
      <formula>Q8&gt;0</formula>
    </cfRule>
    <cfRule type="expression" dxfId="2195" priority="6">
      <formula>Q8&lt;0</formula>
    </cfRule>
  </conditionalFormatting>
  <conditionalFormatting sqref="F25:F56">
    <cfRule type="expression" dxfId="2194" priority="3">
      <formula>F25&gt;0</formula>
    </cfRule>
    <cfRule type="expression" dxfId="2193" priority="4">
      <formula>F25&lt;0</formula>
    </cfRule>
  </conditionalFormatting>
  <conditionalFormatting sqref="H25:H56">
    <cfRule type="expression" dxfId="2192" priority="1">
      <formula>H25&gt;0</formula>
    </cfRule>
    <cfRule type="expression" dxfId="219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1147</v>
      </c>
      <c r="B2" s="474">
        <v>43278</v>
      </c>
      <c r="C2" s="4">
        <v>100</v>
      </c>
      <c r="D2" s="3">
        <v>51.18</v>
      </c>
      <c r="E2" s="3">
        <v>0</v>
      </c>
      <c r="F2" s="3">
        <f>C2*D2+E2</f>
        <v>5118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51.18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52.7699</v>
      </c>
      <c r="R4" s="495">
        <v>-3.8E-3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5276.99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5118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158.98999999999978</v>
      </c>
      <c r="R7" s="29">
        <v>43311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158.98999999999978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3.1064869089488037E-2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3.335234669764392E-2</v>
      </c>
      <c r="R11">
        <v>1.76</v>
      </c>
    </row>
    <row r="12" spans="1:21" x14ac:dyDescent="0.25">
      <c r="H12" s="70"/>
      <c r="O12" s="11" t="s">
        <v>995</v>
      </c>
      <c r="Q12" s="29"/>
    </row>
    <row r="13" spans="1:21" x14ac:dyDescent="0.25">
      <c r="H13" s="70"/>
      <c r="O13" s="11" t="s">
        <v>973</v>
      </c>
      <c r="Q13">
        <f>Q4/8.62</f>
        <v>6.1217981438515086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5118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497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>C25*(E25-D25)</f>
        <v>7.0000000000000284</v>
      </c>
      <c r="G25" s="39">
        <f>D25*C25</f>
        <v>5118</v>
      </c>
      <c r="H25" s="222">
        <f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58.046890000000005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57.519191000000006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56.991492000000001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56.463793000000003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55.936094000000004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55.408394999999999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54.880696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54.352997000000002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53.825298000000004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53.297598999999998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52.7699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52.242201000000001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51.714501999999996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51.186802999999998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50.659103999999999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50.131405000000001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49.603705999999995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49.076007000000004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48.548307999999999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48.020609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47.492910000000002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90" priority="35">
      <formula>F47&gt;0</formula>
    </cfRule>
    <cfRule type="expression" dxfId="2189" priority="36">
      <formula>F47&lt;0</formula>
    </cfRule>
  </conditionalFormatting>
  <conditionalFormatting sqref="Q7">
    <cfRule type="expression" dxfId="2188" priority="33">
      <formula>Q7&gt;0</formula>
    </cfRule>
    <cfRule type="expression" dxfId="2187" priority="34">
      <formula>Q7&lt;0</formula>
    </cfRule>
  </conditionalFormatting>
  <conditionalFormatting sqref="Q8">
    <cfRule type="expression" dxfId="2186" priority="31">
      <formula>Q8&gt;0</formula>
    </cfRule>
    <cfRule type="expression" dxfId="2185" priority="32">
      <formula>Q8&lt;0</formula>
    </cfRule>
  </conditionalFormatting>
  <conditionalFormatting sqref="F30:F46">
    <cfRule type="expression" dxfId="2184" priority="29">
      <formula>F30&gt;0</formula>
    </cfRule>
    <cfRule type="expression" dxfId="2183" priority="30">
      <formula>F30&lt;0</formula>
    </cfRule>
  </conditionalFormatting>
  <conditionalFormatting sqref="H30:H46">
    <cfRule type="expression" dxfId="2182" priority="27">
      <formula>H30&gt;0</formula>
    </cfRule>
    <cfRule type="expression" dxfId="2181" priority="28">
      <formula>H30&lt;0</formula>
    </cfRule>
  </conditionalFormatting>
  <conditionalFormatting sqref="Q10">
    <cfRule type="expression" dxfId="2180" priority="25">
      <formula>Q10&gt;0</formula>
    </cfRule>
    <cfRule type="expression" dxfId="2179" priority="26">
      <formula>Q10&lt;0</formula>
    </cfRule>
  </conditionalFormatting>
  <conditionalFormatting sqref="J27:J38">
    <cfRule type="expression" dxfId="2178" priority="23">
      <formula>J27&gt;0</formula>
    </cfRule>
    <cfRule type="expression" dxfId="2177" priority="24">
      <formula>J27&lt;0</formula>
    </cfRule>
  </conditionalFormatting>
  <conditionalFormatting sqref="K27:K38">
    <cfRule type="expression" dxfId="2176" priority="21">
      <formula>K27&gt;0</formula>
    </cfRule>
    <cfRule type="expression" dxfId="2175" priority="22">
      <formula>K27&lt;0</formula>
    </cfRule>
  </conditionalFormatting>
  <conditionalFormatting sqref="L27:L38">
    <cfRule type="expression" dxfId="2174" priority="19">
      <formula>L27&gt;0</formula>
    </cfRule>
    <cfRule type="expression" dxfId="2173" priority="20">
      <formula>L27&lt;0</formula>
    </cfRule>
  </conditionalFormatting>
  <conditionalFormatting sqref="F89:F110">
    <cfRule type="expression" dxfId="2172" priority="17">
      <formula>F89&gt;0</formula>
    </cfRule>
    <cfRule type="expression" dxfId="2171" priority="18">
      <formula>F89&lt;0</formula>
    </cfRule>
  </conditionalFormatting>
  <conditionalFormatting sqref="H89:H110">
    <cfRule type="expression" dxfId="2170" priority="15">
      <formula>H89&gt;0</formula>
    </cfRule>
    <cfRule type="expression" dxfId="2169" priority="16">
      <formula>H89&lt;0</formula>
    </cfRule>
  </conditionalFormatting>
  <conditionalFormatting sqref="J89:J102">
    <cfRule type="expression" dxfId="2168" priority="13">
      <formula>J89&gt;0</formula>
    </cfRule>
    <cfRule type="expression" dxfId="2167" priority="14">
      <formula>J89&lt;0</formula>
    </cfRule>
  </conditionalFormatting>
  <conditionalFormatting sqref="K89:K102">
    <cfRule type="expression" dxfId="2166" priority="11">
      <formula>K89&gt;0</formula>
    </cfRule>
    <cfRule type="expression" dxfId="2165" priority="12">
      <formula>K89&lt;0</formula>
    </cfRule>
  </conditionalFormatting>
  <conditionalFormatting sqref="L89:L102">
    <cfRule type="expression" dxfId="2164" priority="9">
      <formula>L89&gt;0</formula>
    </cfRule>
    <cfRule type="expression" dxfId="2163" priority="10">
      <formula>L89&lt;0</formula>
    </cfRule>
  </conditionalFormatting>
  <conditionalFormatting sqref="F27:F29">
    <cfRule type="expression" dxfId="2162" priority="7">
      <formula>F27&gt;0</formula>
    </cfRule>
    <cfRule type="expression" dxfId="2161" priority="8">
      <formula>F27&lt;0</formula>
    </cfRule>
  </conditionalFormatting>
  <conditionalFormatting sqref="H27:H29">
    <cfRule type="expression" dxfId="2160" priority="5">
      <formula>H27&gt;0</formula>
    </cfRule>
    <cfRule type="expression" dxfId="2159" priority="6">
      <formula>H27&lt;0</formula>
    </cfRule>
  </conditionalFormatting>
  <conditionalFormatting sqref="F25:F26 H25:H26">
    <cfRule type="expression" dxfId="2158" priority="1">
      <formula>F25&gt;0</formula>
    </cfRule>
    <cfRule type="expression" dxfId="2157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topLeftCell="G1" workbookViewId="0">
      <pane ySplit="1" topLeftCell="A2" activePane="bottomLeft" state="frozen"/>
      <selection activeCell="A2" sqref="A2"/>
      <selection pane="bottomLeft" activeCell="Q7" sqref="Q7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68.239999999999995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68.239999999999995</v>
      </c>
      <c r="R4" s="475">
        <v>8.8999999999999999E-3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75.064000000000007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74.381600000000006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73.699200000000005</v>
      </c>
      <c r="Q43" s="2"/>
      <c r="T43" s="125" t="s">
        <v>97</v>
      </c>
      <c r="U43" s="126">
        <v>77.87</v>
      </c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73.016800000000003</v>
      </c>
      <c r="Q44" s="2"/>
      <c r="T44" s="91" t="s">
        <v>98</v>
      </c>
      <c r="U44" s="127">
        <v>77.819999999999993</v>
      </c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72.334400000000002</v>
      </c>
      <c r="Q45" s="2"/>
      <c r="T45" s="91" t="s">
        <v>99</v>
      </c>
      <c r="U45" s="127" t="s">
        <v>128</v>
      </c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71.652000000000001</v>
      </c>
      <c r="Q46" s="2"/>
      <c r="T46" s="91" t="s">
        <v>100</v>
      </c>
      <c r="U46" s="127" t="s">
        <v>128</v>
      </c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70.9696</v>
      </c>
      <c r="Q47" s="2"/>
      <c r="T47" s="91" t="s">
        <v>101</v>
      </c>
      <c r="U47" s="127">
        <v>86.36</v>
      </c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70.287199999999999</v>
      </c>
      <c r="Q48" s="2"/>
      <c r="T48" s="91" t="s">
        <v>102</v>
      </c>
      <c r="U48" s="127">
        <v>0.61025200000000002</v>
      </c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69.604799999999997</v>
      </c>
      <c r="Q49" s="2"/>
      <c r="T49" s="91" t="s">
        <v>103</v>
      </c>
      <c r="U49" s="127" t="s">
        <v>470</v>
      </c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68.922399999999996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68.239999999999995</v>
      </c>
      <c r="Q51" s="2"/>
      <c r="T51" s="91" t="s">
        <v>104</v>
      </c>
      <c r="U51" s="127" t="s">
        <v>585</v>
      </c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67.557599999999994</v>
      </c>
      <c r="Q52" s="2"/>
      <c r="T52" s="91" t="s">
        <v>105</v>
      </c>
      <c r="U52" s="127" t="s">
        <v>305</v>
      </c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66.875199999999992</v>
      </c>
      <c r="Q53" s="2"/>
      <c r="T53" s="91" t="s">
        <v>106</v>
      </c>
      <c r="U53" s="128">
        <v>13351924</v>
      </c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66.192799999999991</v>
      </c>
      <c r="T54" s="91" t="s">
        <v>109</v>
      </c>
      <c r="U54" s="128">
        <v>7021070</v>
      </c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65.51039999999999</v>
      </c>
      <c r="T55" s="91" t="s">
        <v>107</v>
      </c>
      <c r="U55" s="127" t="s">
        <v>586</v>
      </c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64.827999999999989</v>
      </c>
      <c r="T56" s="91" t="s">
        <v>110</v>
      </c>
      <c r="U56" s="127">
        <v>15.69</v>
      </c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64.145599999999988</v>
      </c>
      <c r="T57" s="91" t="s">
        <v>111</v>
      </c>
      <c r="U57" s="127">
        <v>4.91</v>
      </c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0"/>
        <v>63.463200000000001</v>
      </c>
      <c r="T58" s="91" t="s">
        <v>108</v>
      </c>
      <c r="U58" s="127" t="s">
        <v>521</v>
      </c>
    </row>
    <row r="59" spans="1:2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0"/>
        <v>62.780799999999999</v>
      </c>
    </row>
    <row r="60" spans="1:21" x14ac:dyDescent="0.25">
      <c r="A60" s="371" t="s">
        <v>274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0"/>
        <v>62.098399999999998</v>
      </c>
    </row>
    <row r="61" spans="1:2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0"/>
        <v>61.415999999999997</v>
      </c>
    </row>
    <row r="62" spans="1:2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2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2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2">C84*(E84-D84)</f>
        <v>1.6000000000002501</v>
      </c>
      <c r="G84" s="363">
        <f t="shared" ref="G84:G107" si="3">D84*C84</f>
        <v>1817</v>
      </c>
      <c r="H84" s="364">
        <f t="shared" ref="H84:H107" si="4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2"/>
        <v>-28.199999999999932</v>
      </c>
      <c r="G85" s="363">
        <f t="shared" si="3"/>
        <v>1817</v>
      </c>
      <c r="H85" s="364">
        <f t="shared" si="4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2"/>
        <v>-5.7999999999998408</v>
      </c>
      <c r="G86" s="363">
        <f t="shared" si="3"/>
        <v>1817</v>
      </c>
      <c r="H86" s="364">
        <f t="shared" si="4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2"/>
        <v>-84.599999999999795</v>
      </c>
      <c r="G87" s="363">
        <f t="shared" si="3"/>
        <v>3568.2</v>
      </c>
      <c r="H87" s="364">
        <f t="shared" si="4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2"/>
        <v>-112.1999999999997</v>
      </c>
      <c r="G88" s="363">
        <f t="shared" si="3"/>
        <v>3568.2</v>
      </c>
      <c r="H88" s="364">
        <f t="shared" si="4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2"/>
        <v>-204.20000000000016</v>
      </c>
      <c r="G89" s="363">
        <f t="shared" si="3"/>
        <v>3568.2</v>
      </c>
      <c r="H89" s="364">
        <f t="shared" si="4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2"/>
        <v>-304.80000000000018</v>
      </c>
      <c r="G90" s="363">
        <f t="shared" si="3"/>
        <v>6830.4</v>
      </c>
      <c r="H90" s="364">
        <f t="shared" si="4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2"/>
        <v>-905.59999999999945</v>
      </c>
      <c r="G91" s="363">
        <f t="shared" si="3"/>
        <v>6830.4</v>
      </c>
      <c r="H91" s="364">
        <f t="shared" si="4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2"/>
        <v>-679.19999999999959</v>
      </c>
      <c r="G92" s="363">
        <f t="shared" si="3"/>
        <v>6830.4</v>
      </c>
      <c r="H92" s="364">
        <f t="shared" si="4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2"/>
        <v>-499.19999999999959</v>
      </c>
      <c r="G93" s="363">
        <f t="shared" si="3"/>
        <v>6830.4</v>
      </c>
      <c r="H93" s="364">
        <f t="shared" si="4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2"/>
        <v>-216.7999999999995</v>
      </c>
      <c r="G94" s="363">
        <f t="shared" si="3"/>
        <v>6830.4</v>
      </c>
      <c r="H94" s="364">
        <f t="shared" si="4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2"/>
        <v>-305.59999999999945</v>
      </c>
      <c r="G95" s="363">
        <f t="shared" si="3"/>
        <v>6830.4</v>
      </c>
      <c r="H95" s="364">
        <f t="shared" si="4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2"/>
        <v>-487.00000000000045</v>
      </c>
      <c r="G96" s="363">
        <f t="shared" si="3"/>
        <v>8436</v>
      </c>
      <c r="H96" s="364">
        <f t="shared" si="4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2"/>
        <v>-615.47040000000015</v>
      </c>
      <c r="G97" s="363">
        <f t="shared" si="3"/>
        <v>14610.4704</v>
      </c>
      <c r="H97" s="364">
        <f t="shared" si="4"/>
        <v>-4.2125296663959574E-2</v>
      </c>
      <c r="I97" s="363"/>
      <c r="J97" s="363"/>
      <c r="K97" s="363"/>
      <c r="L97" s="362"/>
    </row>
    <row r="98" spans="1:12" x14ac:dyDescent="0.25">
      <c r="A98" s="362" t="s">
        <v>368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2"/>
        <v>-614.26960000000065</v>
      </c>
      <c r="G98" s="363">
        <f t="shared" si="3"/>
        <v>11499.269600000001</v>
      </c>
      <c r="H98" s="364">
        <f t="shared" si="4"/>
        <v>-5.3418140574771865E-2</v>
      </c>
      <c r="I98" s="363"/>
      <c r="J98" s="363"/>
      <c r="K98" s="363"/>
      <c r="L98" s="362"/>
    </row>
    <row r="99" spans="1:12" x14ac:dyDescent="0.25">
      <c r="A99" s="362" t="s">
        <v>383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2"/>
        <v>-998.47080000000028</v>
      </c>
      <c r="G99" s="363">
        <f t="shared" si="3"/>
        <v>14462.470799999999</v>
      </c>
      <c r="H99" s="364">
        <f t="shared" si="4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383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2"/>
        <v>-327.07079999999962</v>
      </c>
      <c r="G100" s="363">
        <f t="shared" si="3"/>
        <v>14462.470799999999</v>
      </c>
      <c r="H100" s="364">
        <f t="shared" si="4"/>
        <v>-2.2615139869461284E-2</v>
      </c>
      <c r="I100" s="363"/>
      <c r="J100" s="363"/>
      <c r="K100" s="363"/>
      <c r="L100" s="362"/>
    </row>
    <row r="101" spans="1:12" x14ac:dyDescent="0.25">
      <c r="A101" s="362" t="s">
        <v>437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2"/>
        <v>-105.65999999999804</v>
      </c>
      <c r="G101" s="363">
        <f t="shared" si="3"/>
        <v>14462.46</v>
      </c>
      <c r="H101" s="364">
        <f t="shared" si="4"/>
        <v>-7.3058110445939376E-3</v>
      </c>
      <c r="I101" s="363"/>
      <c r="J101" s="363"/>
      <c r="K101" s="363"/>
      <c r="L101" s="362"/>
    </row>
    <row r="102" spans="1:12" x14ac:dyDescent="0.25">
      <c r="A102" s="362" t="s">
        <v>439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2"/>
        <v>-24.939599999999871</v>
      </c>
      <c r="G102" s="363">
        <f t="shared" si="3"/>
        <v>11247.339599999999</v>
      </c>
      <c r="H102" s="364">
        <f t="shared" si="4"/>
        <v>-2.2173776988115368E-3</v>
      </c>
      <c r="I102" s="363"/>
      <c r="J102" s="363"/>
      <c r="K102" s="363"/>
      <c r="L102" s="362"/>
    </row>
    <row r="103" spans="1:12" x14ac:dyDescent="0.25">
      <c r="A103" s="362" t="s">
        <v>439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2"/>
        <v>159.86040000000116</v>
      </c>
      <c r="G103" s="363">
        <f t="shared" si="3"/>
        <v>11247.339599999999</v>
      </c>
      <c r="H103" s="364">
        <f t="shared" si="4"/>
        <v>1.4213174464830881E-2</v>
      </c>
      <c r="I103" s="363"/>
      <c r="J103" s="363"/>
      <c r="K103" s="363"/>
      <c r="L103" s="362"/>
    </row>
    <row r="104" spans="1:12" x14ac:dyDescent="0.25">
      <c r="A104" s="362" t="s">
        <v>468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2"/>
        <v>129.52199999999976</v>
      </c>
      <c r="G104" s="363">
        <f t="shared" si="3"/>
        <v>4751.4780000000001</v>
      </c>
      <c r="H104" s="364">
        <f t="shared" si="4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2"/>
        <v>32.322000000000344</v>
      </c>
      <c r="G105" s="363">
        <f t="shared" si="3"/>
        <v>4751.4780000000001</v>
      </c>
      <c r="H105" s="364">
        <f t="shared" si="4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2"/>
        <v>-42.078000000000202</v>
      </c>
      <c r="G106" s="363">
        <f t="shared" si="3"/>
        <v>4751.4780000000001</v>
      </c>
      <c r="H106" s="364">
        <f t="shared" si="4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2"/>
        <v>-73.800000000000239</v>
      </c>
      <c r="G107" s="363">
        <f t="shared" si="3"/>
        <v>4751.3999999999996</v>
      </c>
      <c r="H107" s="364">
        <f t="shared" si="4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156" priority="15">
      <formula>F57&gt;0</formula>
    </cfRule>
    <cfRule type="expression" dxfId="2155" priority="16">
      <formula>F57&lt;0</formula>
    </cfRule>
  </conditionalFormatting>
  <conditionalFormatting sqref="Q7">
    <cfRule type="expression" dxfId="2154" priority="13">
      <formula>Q7&gt;0</formula>
    </cfRule>
    <cfRule type="expression" dxfId="2153" priority="14">
      <formula>Q7&lt;0</formula>
    </cfRule>
  </conditionalFormatting>
  <conditionalFormatting sqref="Q8">
    <cfRule type="expression" dxfId="2152" priority="11">
      <formula>Q8&gt;0</formula>
    </cfRule>
    <cfRule type="expression" dxfId="2151" priority="12">
      <formula>Q8&lt;0</formula>
    </cfRule>
  </conditionalFormatting>
  <conditionalFormatting sqref="F25:F56">
    <cfRule type="expression" dxfId="2150" priority="9">
      <formula>F25&gt;0</formula>
    </cfRule>
    <cfRule type="expression" dxfId="2149" priority="10">
      <formula>F25&lt;0</formula>
    </cfRule>
  </conditionalFormatting>
  <conditionalFormatting sqref="H25:H56">
    <cfRule type="expression" dxfId="2148" priority="7">
      <formula>H25&gt;0</formula>
    </cfRule>
    <cfRule type="expression" dxfId="2147" priority="8">
      <formula>H25&lt;0</formula>
    </cfRule>
  </conditionalFormatting>
  <conditionalFormatting sqref="M58">
    <cfRule type="expression" dxfId="2146" priority="5">
      <formula>M58&gt;0</formula>
    </cfRule>
    <cfRule type="expression" dxfId="2145" priority="6">
      <formula>M58&lt;0</formula>
    </cfRule>
  </conditionalFormatting>
  <conditionalFormatting sqref="F84:F115">
    <cfRule type="expression" dxfId="2144" priority="3">
      <formula>F84&gt;0</formula>
    </cfRule>
    <cfRule type="expression" dxfId="2143" priority="4">
      <formula>F84&lt;0</formula>
    </cfRule>
  </conditionalFormatting>
  <conditionalFormatting sqref="H84:H115">
    <cfRule type="expression" dxfId="2142" priority="1">
      <formula>H84&gt;0</formula>
    </cfRule>
    <cfRule type="expression" dxfId="2141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248.63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248.63</v>
      </c>
      <c r="R4" s="495">
        <v>-4.5999999999999999E-3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1" x14ac:dyDescent="0.25">
      <c r="H10" s="70"/>
      <c r="O10" s="11" t="s">
        <v>207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675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273.49299999999999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271.00670000000002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268.5204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266.03410000000002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263.5478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261.06150000000002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258.5752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256.08890000000002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253.6026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251.1163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248.63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246.1437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243.6574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241.1711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238.6848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236.1985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233.7122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231.2259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228.7396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226.2533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223.767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40" priority="21">
      <formula>F47&gt;0</formula>
    </cfRule>
    <cfRule type="expression" dxfId="2139" priority="22">
      <formula>F47&lt;0</formula>
    </cfRule>
  </conditionalFormatting>
  <conditionalFormatting sqref="Q7">
    <cfRule type="expression" dxfId="2138" priority="19">
      <formula>Q7&gt;0</formula>
    </cfRule>
    <cfRule type="expression" dxfId="2137" priority="20">
      <formula>Q7&lt;0</formula>
    </cfRule>
  </conditionalFormatting>
  <conditionalFormatting sqref="Q8">
    <cfRule type="expression" dxfId="2136" priority="17">
      <formula>Q8&gt;0</formula>
    </cfRule>
    <cfRule type="expression" dxfId="2135" priority="18">
      <formula>Q8&lt;0</formula>
    </cfRule>
  </conditionalFormatting>
  <conditionalFormatting sqref="F25:F46">
    <cfRule type="expression" dxfId="2134" priority="15">
      <formula>F25&gt;0</formula>
    </cfRule>
    <cfRule type="expression" dxfId="2133" priority="16">
      <formula>F25&lt;0</formula>
    </cfRule>
  </conditionalFormatting>
  <conditionalFormatting sqref="H25:H46">
    <cfRule type="expression" dxfId="2132" priority="13">
      <formula>H25&gt;0</formula>
    </cfRule>
    <cfRule type="expression" dxfId="2131" priority="14">
      <formula>H25&lt;0</formula>
    </cfRule>
  </conditionalFormatting>
  <conditionalFormatting sqref="F89:F110">
    <cfRule type="expression" dxfId="2130" priority="11">
      <formula>F89&gt;0</formula>
    </cfRule>
    <cfRule type="expression" dxfId="2129" priority="12">
      <formula>F89&lt;0</formula>
    </cfRule>
  </conditionalFormatting>
  <conditionalFormatting sqref="H89:H110">
    <cfRule type="expression" dxfId="2128" priority="9">
      <formula>H89&gt;0</formula>
    </cfRule>
    <cfRule type="expression" dxfId="2127" priority="10">
      <formula>H89&lt;0</formula>
    </cfRule>
  </conditionalFormatting>
  <conditionalFormatting sqref="Q10">
    <cfRule type="expression" dxfId="2126" priority="7">
      <formula>Q10&gt;0</formula>
    </cfRule>
    <cfRule type="expression" dxfId="2125" priority="8">
      <formula>Q10&lt;0</formula>
    </cfRule>
  </conditionalFormatting>
  <conditionalFormatting sqref="J25:J38">
    <cfRule type="expression" dxfId="2124" priority="5">
      <formula>J25&gt;0</formula>
    </cfRule>
    <cfRule type="expression" dxfId="2123" priority="6">
      <formula>J25&lt;0</formula>
    </cfRule>
  </conditionalFormatting>
  <conditionalFormatting sqref="K25:K38">
    <cfRule type="expression" dxfId="2122" priority="3">
      <formula>K25&gt;0</formula>
    </cfRule>
    <cfRule type="expression" dxfId="2121" priority="4">
      <formula>K25&lt;0</formula>
    </cfRule>
  </conditionalFormatting>
  <conditionalFormatting sqref="L25:L38">
    <cfRule type="expression" dxfId="2120" priority="1">
      <formula>L25&gt;0</formula>
    </cfRule>
    <cfRule type="expression" dxfId="211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79"/>
  <sheetViews>
    <sheetView zoomScaleNormal="100" workbookViewId="0">
      <pane ySplit="1" topLeftCell="A2" activePane="bottomLeft" state="frozen"/>
      <selection pane="bottomLeft" activeCell="V34" sqref="V34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C96-H96</f>
        <v>3000</v>
      </c>
      <c r="U2" s="121">
        <v>42804</v>
      </c>
      <c r="V2" s="837" t="s">
        <v>676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9" si="1">H3*I3-J3</f>
        <v>3119.93</v>
      </c>
      <c r="L3" s="72">
        <v>42846</v>
      </c>
      <c r="M3" s="43">
        <v>3.25</v>
      </c>
      <c r="O3" s="11" t="s">
        <v>58</v>
      </c>
      <c r="Q3" s="481">
        <f>IF(Q2=0, Q4, (F96-K96-M96)/Q2)</f>
        <v>11.960376666666649</v>
      </c>
      <c r="U3" s="121">
        <v>42866</v>
      </c>
      <c r="V3" s="837" t="s">
        <v>677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20.04</v>
      </c>
      <c r="R4" s="475">
        <v>-6.7000000000000004E-2</v>
      </c>
      <c r="U4" s="121">
        <v>43088</v>
      </c>
      <c r="V4" s="737" t="s">
        <v>778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732</v>
      </c>
      <c r="O5" s="11" t="s">
        <v>67</v>
      </c>
      <c r="Q5" s="3">
        <f>Q4*Q2</f>
        <v>60120</v>
      </c>
      <c r="U5" s="121">
        <v>43096</v>
      </c>
      <c r="V5" s="737" t="s">
        <v>783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35881.129999999946</v>
      </c>
      <c r="U6" s="121">
        <v>43103</v>
      </c>
      <c r="V6" s="737" t="s">
        <v>833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38854.44100000168</v>
      </c>
      <c r="R7">
        <v>800</v>
      </c>
      <c r="V7" s="737" t="s">
        <v>834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K96+M96-F96+Q2*Q4</f>
        <v>24238.870000000054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208</v>
      </c>
      <c r="Q9" s="134">
        <f>IF(Q2=0, 0, Q8/Q6)</f>
        <v>0.67553251528031832</v>
      </c>
      <c r="U9" s="121">
        <v>43106</v>
      </c>
      <c r="V9" s="748" t="s">
        <v>854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207</v>
      </c>
      <c r="P10" s="33"/>
      <c r="Q10" s="2">
        <f>M514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9.9800399201596824E-3</v>
      </c>
      <c r="R11">
        <f>0.05</f>
        <v>0.05</v>
      </c>
      <c r="U11" s="121">
        <v>43117</v>
      </c>
      <c r="V11" s="737" t="s">
        <v>890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946</v>
      </c>
      <c r="Q12" s="1" t="s">
        <v>1122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973</v>
      </c>
      <c r="Q13" s="2">
        <f>Q4/0.63</f>
        <v>31.809523809523807</v>
      </c>
      <c r="U13" s="121">
        <v>43120</v>
      </c>
      <c r="V13" s="737" t="s">
        <v>896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1111</v>
      </c>
      <c r="Q14" s="736">
        <v>0.17199999999999999</v>
      </c>
      <c r="V14" s="737" t="s">
        <v>899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1040</v>
      </c>
      <c r="Q15" s="29">
        <v>43285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898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897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924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51" t="s">
        <v>78</v>
      </c>
      <c r="P23" s="851"/>
      <c r="V23" s="737" t="s">
        <v>947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24.448799999999999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24.248399999999997</v>
      </c>
      <c r="U25" s="121">
        <v>43161</v>
      </c>
      <c r="V25" s="737" t="s">
        <v>948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24.047999999999998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23.847599999999996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23.647199999999998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23.446799999999996</v>
      </c>
      <c r="V29" s="737" t="s">
        <v>1039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23.246399999999998</v>
      </c>
      <c r="V30" s="737" t="s">
        <v>1047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23.045999999999996</v>
      </c>
      <c r="V31" s="737" t="s">
        <v>1050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22.845599999999997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22.645199999999996</v>
      </c>
      <c r="U33" s="121">
        <v>43238</v>
      </c>
      <c r="V33" s="748" t="s">
        <v>1092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22.444800000000001</v>
      </c>
      <c r="V34" s="737" t="s">
        <v>1093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22.244400000000002</v>
      </c>
      <c r="V35" s="737" t="s">
        <v>1094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22.044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21.843600000000002</v>
      </c>
      <c r="U37" s="121">
        <v>43285</v>
      </c>
      <c r="V37" s="737" t="s">
        <v>1157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21.6432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21.442800000000002</v>
      </c>
      <c r="U39" s="121">
        <v>43297</v>
      </c>
      <c r="V39" s="737" t="s">
        <v>1221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21.2424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21.042000000000002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20.8416</v>
      </c>
      <c r="U42" s="849">
        <v>43306</v>
      </c>
      <c r="V42" s="737" t="s">
        <v>897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20.641200000000001</v>
      </c>
      <c r="U43" s="849">
        <v>43313</v>
      </c>
      <c r="V43" s="737" t="s">
        <v>1222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20.440799999999999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20.240400000000001</v>
      </c>
      <c r="U45" s="849">
        <v>43319</v>
      </c>
      <c r="V45" s="737" t="s">
        <v>1187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20.04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19.839599999999997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19.639199999999999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19.438799999999997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19.238399999999999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19.037999999999997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18.837599999999998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18.6372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18.436800000000002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18.2364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18.036000000000001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17.835599999999999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17.635200000000001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17.434799999999999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17.234399999999997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17.033999999999999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34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9" si="4">C64*D64+E64</f>
        <v>7760</v>
      </c>
      <c r="G64" s="434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34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34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34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34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29"/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29"/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29"/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29"/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29"/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29"/>
      <c r="AA77" s="2"/>
      <c r="AD77" s="2"/>
      <c r="AG77" s="2"/>
      <c r="AI77" s="2"/>
    </row>
    <row r="78" spans="1:35" x14ac:dyDescent="0.25">
      <c r="B78" s="476">
        <v>43245</v>
      </c>
      <c r="C78" s="4">
        <v>500</v>
      </c>
      <c r="D78" s="231">
        <v>20.68</v>
      </c>
      <c r="E78" s="3">
        <v>0</v>
      </c>
      <c r="F78" s="3">
        <f t="shared" si="4"/>
        <v>10340</v>
      </c>
      <c r="G78" s="29"/>
      <c r="AA78" s="2"/>
      <c r="AD78" s="2"/>
      <c r="AG78" s="2"/>
      <c r="AI78" s="2"/>
    </row>
    <row r="79" spans="1:35" x14ac:dyDescent="0.25">
      <c r="B79" s="476">
        <v>43245</v>
      </c>
      <c r="C79" s="4">
        <v>500</v>
      </c>
      <c r="D79" s="78">
        <v>20.48</v>
      </c>
      <c r="E79" s="2">
        <v>0</v>
      </c>
      <c r="F79" s="2">
        <f t="shared" si="4"/>
        <v>10240</v>
      </c>
      <c r="G79" s="29"/>
      <c r="AA79" s="2"/>
      <c r="AD79" s="2"/>
      <c r="AG79" s="2"/>
      <c r="AI79" s="2"/>
    </row>
    <row r="80" spans="1:35" x14ac:dyDescent="0.25">
      <c r="A80" s="852" t="s">
        <v>1134</v>
      </c>
      <c r="B80" s="477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52"/>
      <c r="B81" s="477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52"/>
      <c r="B82" s="477">
        <v>43266</v>
      </c>
      <c r="C82" s="4">
        <v>500</v>
      </c>
      <c r="D82" s="231">
        <v>19.98</v>
      </c>
      <c r="E82" s="3">
        <v>-0.5</v>
      </c>
      <c r="F82" s="3">
        <f t="shared" si="4"/>
        <v>9989.5</v>
      </c>
      <c r="G82" s="29"/>
      <c r="AA82" s="2"/>
      <c r="AD82" s="2"/>
      <c r="AG82" s="2"/>
      <c r="AI82" s="2"/>
    </row>
    <row r="83" spans="1:35" x14ac:dyDescent="0.25">
      <c r="B83" s="735">
        <v>43272</v>
      </c>
      <c r="C83" s="4">
        <v>200</v>
      </c>
      <c r="D83" s="78">
        <v>20.05</v>
      </c>
      <c r="E83" s="2">
        <v>0</v>
      </c>
      <c r="F83" s="2">
        <f t="shared" si="4"/>
        <v>4010</v>
      </c>
      <c r="G83" s="29"/>
      <c r="AA83" s="2"/>
      <c r="AD83" s="2"/>
      <c r="AG83" s="2"/>
      <c r="AI83" s="2"/>
    </row>
    <row r="84" spans="1:35" x14ac:dyDescent="0.25">
      <c r="B84" s="735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AA84" s="2"/>
      <c r="AD84" s="2"/>
      <c r="AG84" s="2"/>
      <c r="AI84" s="2"/>
    </row>
    <row r="85" spans="1:35" x14ac:dyDescent="0.25">
      <c r="B85" s="735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735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x14ac:dyDescent="0.25">
      <c r="A87" s="853" t="s">
        <v>1220</v>
      </c>
      <c r="B87" s="735">
        <v>43292</v>
      </c>
      <c r="C87" s="4">
        <v>300</v>
      </c>
      <c r="D87" s="78">
        <v>21.3</v>
      </c>
      <c r="E87" s="2">
        <v>0</v>
      </c>
      <c r="F87" s="2">
        <f t="shared" si="4"/>
        <v>6390</v>
      </c>
      <c r="G87" s="29"/>
      <c r="AA87" s="2"/>
      <c r="AD87" s="2"/>
      <c r="AG87" s="2"/>
      <c r="AI87" s="2"/>
    </row>
    <row r="88" spans="1:35" x14ac:dyDescent="0.25">
      <c r="A88" s="853"/>
      <c r="B88" s="735">
        <v>43297</v>
      </c>
      <c r="C88" s="4">
        <v>500</v>
      </c>
      <c r="D88" s="231">
        <v>20.38</v>
      </c>
      <c r="E88" s="3">
        <v>0</v>
      </c>
      <c r="F88" s="3">
        <f t="shared" si="4"/>
        <v>10190</v>
      </c>
      <c r="G88" s="29"/>
      <c r="AA88" s="2"/>
      <c r="AD88" s="2"/>
      <c r="AG88" s="2"/>
      <c r="AI88" s="2"/>
    </row>
    <row r="89" spans="1:35" x14ac:dyDescent="0.25">
      <c r="A89" s="853"/>
      <c r="B89" s="735">
        <v>43297</v>
      </c>
      <c r="C89" s="4">
        <v>500</v>
      </c>
      <c r="D89" s="231">
        <v>19.95</v>
      </c>
      <c r="E89" s="3">
        <v>0</v>
      </c>
      <c r="F89" s="3">
        <f t="shared" si="4"/>
        <v>9975</v>
      </c>
      <c r="G89" s="29"/>
    </row>
    <row r="90" spans="1:35" x14ac:dyDescent="0.25">
      <c r="C90" s="4"/>
      <c r="G90" s="29"/>
    </row>
    <row r="91" spans="1:35" x14ac:dyDescent="0.25">
      <c r="G91" s="29"/>
    </row>
    <row r="92" spans="1:35" x14ac:dyDescent="0.25">
      <c r="G92" s="29"/>
    </row>
    <row r="93" spans="1:35" x14ac:dyDescent="0.25">
      <c r="G93" s="29"/>
    </row>
    <row r="94" spans="1:35" x14ac:dyDescent="0.25">
      <c r="G94" s="29"/>
    </row>
    <row r="95" spans="1:35" x14ac:dyDescent="0.25">
      <c r="G95" s="29"/>
    </row>
    <row r="96" spans="1:35" x14ac:dyDescent="0.25">
      <c r="A96" s="31" t="s">
        <v>81</v>
      </c>
      <c r="B96" s="478"/>
      <c r="C96" s="71">
        <f>SUM(C2:C95)</f>
        <v>27300</v>
      </c>
      <c r="D96" s="18"/>
      <c r="E96" s="18"/>
      <c r="F96" s="18">
        <f>SUM(F2:F95)</f>
        <v>442606.05</v>
      </c>
      <c r="G96" s="14"/>
      <c r="H96" s="71">
        <f>SUM(H2:H95)</f>
        <v>24300</v>
      </c>
      <c r="I96" s="79"/>
      <c r="J96" s="18"/>
      <c r="K96" s="18">
        <f>SUM(K2:K95)</f>
        <v>405011.67000000004</v>
      </c>
      <c r="L96" s="14"/>
      <c r="M96" s="18">
        <f>SUM(M2:M95)</f>
        <v>1713.25</v>
      </c>
    </row>
    <row r="97" spans="1:13" ht="15.75" thickBot="1" x14ac:dyDescent="0.3">
      <c r="A97" s="341" t="s">
        <v>193</v>
      </c>
      <c r="B97" s="479"/>
      <c r="C97" s="343">
        <f>SumByColor($A$97, C2:C95)</f>
        <v>24300</v>
      </c>
      <c r="D97" s="343"/>
      <c r="E97" s="343"/>
      <c r="F97" s="344">
        <f>SumByColor($A$97, F2:F95)</f>
        <v>381472</v>
      </c>
      <c r="G97" s="343"/>
      <c r="H97" s="343">
        <f>SumByColor($A$97, H2:H95)</f>
        <v>24300</v>
      </c>
      <c r="I97" s="343"/>
      <c r="J97" s="344"/>
      <c r="K97" s="344">
        <f>SumByColor($A$97, K2:K95)</f>
        <v>405019</v>
      </c>
      <c r="L97" s="343"/>
      <c r="M97" s="344">
        <f>SumByColor($A$97, M2:M95)</f>
        <v>1713</v>
      </c>
    </row>
    <row r="100" spans="1:13" x14ac:dyDescent="0.25">
      <c r="B100" s="480" t="s">
        <v>113</v>
      </c>
      <c r="C100" s="182" t="s">
        <v>146</v>
      </c>
      <c r="D100" s="190" t="s">
        <v>145</v>
      </c>
      <c r="E100" s="185" t="s">
        <v>147</v>
      </c>
      <c r="F100" s="186" t="s">
        <v>65</v>
      </c>
      <c r="G100" s="220" t="s">
        <v>151</v>
      </c>
      <c r="H100" s="186" t="s">
        <v>88</v>
      </c>
      <c r="I100" s="220" t="s">
        <v>154</v>
      </c>
      <c r="J100" s="220" t="s">
        <v>497</v>
      </c>
      <c r="K100" s="220" t="s">
        <v>150</v>
      </c>
      <c r="L100" s="220" t="s">
        <v>923</v>
      </c>
    </row>
    <row r="101" spans="1:13" x14ac:dyDescent="0.25">
      <c r="A101" t="s">
        <v>429</v>
      </c>
      <c r="B101" s="150">
        <v>42787</v>
      </c>
      <c r="C101" s="10">
        <v>5700</v>
      </c>
      <c r="D101" s="233">
        <v>16.667088</v>
      </c>
      <c r="E101" s="39">
        <v>16.38</v>
      </c>
      <c r="F101" s="39">
        <f t="shared" ref="F101:F117" si="5">C101*(E101-D101)</f>
        <v>-1636.4016000000038</v>
      </c>
      <c r="G101" s="39">
        <f t="shared" ref="G101:G117" si="6">D101*C101</f>
        <v>95002.401599999997</v>
      </c>
      <c r="H101" s="222">
        <f t="shared" ref="H101:H117" si="7">(E101-D101)/D101</f>
        <v>-1.7224844555929666E-2</v>
      </c>
      <c r="I101" s="39"/>
      <c r="J101" s="39"/>
      <c r="K101" s="39"/>
      <c r="L101" s="39"/>
    </row>
    <row r="102" spans="1:13" x14ac:dyDescent="0.25">
      <c r="A102" t="s">
        <v>441</v>
      </c>
      <c r="B102" s="150">
        <v>42788</v>
      </c>
      <c r="C102" s="425">
        <v>6000</v>
      </c>
      <c r="D102" s="642">
        <v>16.620999999999999</v>
      </c>
      <c r="E102" s="39">
        <v>15.76</v>
      </c>
      <c r="F102" s="39">
        <f t="shared" si="5"/>
        <v>-5165.9999999999936</v>
      </c>
      <c r="G102" s="39">
        <f t="shared" si="6"/>
        <v>99725.999999999985</v>
      </c>
      <c r="H102" s="222">
        <f t="shared" si="7"/>
        <v>-5.1801937308224473E-2</v>
      </c>
      <c r="I102" s="39"/>
      <c r="J102" s="39"/>
      <c r="K102" s="39"/>
      <c r="L102" s="39"/>
    </row>
    <row r="103" spans="1:13" x14ac:dyDescent="0.25">
      <c r="A103">
        <v>600</v>
      </c>
      <c r="B103" s="150">
        <v>42795</v>
      </c>
      <c r="C103" s="10">
        <v>5500</v>
      </c>
      <c r="D103" s="233">
        <v>16.619900000000001</v>
      </c>
      <c r="E103" s="39">
        <v>16.45</v>
      </c>
      <c r="F103" s="39">
        <f t="shared" si="5"/>
        <v>-934.45000000001062</v>
      </c>
      <c r="G103" s="39">
        <f t="shared" si="6"/>
        <v>91409.450000000012</v>
      </c>
      <c r="H103" s="222">
        <f t="shared" si="7"/>
        <v>-1.0222684853699596E-2</v>
      </c>
      <c r="I103" s="39">
        <v>16.399999999999999</v>
      </c>
      <c r="J103" s="39"/>
      <c r="K103" s="39">
        <v>13681</v>
      </c>
      <c r="L103" s="39"/>
    </row>
    <row r="104" spans="1:13" x14ac:dyDescent="0.25">
      <c r="A104">
        <v>1400</v>
      </c>
      <c r="B104" s="150">
        <v>42796</v>
      </c>
      <c r="C104" s="10">
        <v>6000</v>
      </c>
      <c r="D104" s="233">
        <v>16.589099999999998</v>
      </c>
      <c r="E104" s="39">
        <v>16.14</v>
      </c>
      <c r="F104" s="39">
        <f t="shared" si="5"/>
        <v>-2694.5999999999872</v>
      </c>
      <c r="G104" s="39">
        <f t="shared" si="6"/>
        <v>99534.599999999991</v>
      </c>
      <c r="H104" s="222">
        <f t="shared" si="7"/>
        <v>-2.7071993055681011E-2</v>
      </c>
      <c r="I104" s="39">
        <v>16.25</v>
      </c>
      <c r="J104" s="39"/>
      <c r="K104" s="39">
        <v>11921</v>
      </c>
      <c r="L104" s="39"/>
    </row>
    <row r="105" spans="1:13" x14ac:dyDescent="0.25">
      <c r="A105">
        <v>3600</v>
      </c>
      <c r="B105" s="150">
        <v>42798</v>
      </c>
      <c r="C105" s="10">
        <v>6000</v>
      </c>
      <c r="D105" s="233">
        <v>16.589099999999998</v>
      </c>
      <c r="E105" s="39">
        <v>16.14</v>
      </c>
      <c r="F105" s="39">
        <f t="shared" si="5"/>
        <v>-2694.5999999999872</v>
      </c>
      <c r="G105" s="39">
        <f t="shared" si="6"/>
        <v>99534.599999999991</v>
      </c>
      <c r="H105" s="222">
        <f t="shared" si="7"/>
        <v>-2.7071993055681011E-2</v>
      </c>
      <c r="I105" s="39">
        <v>16.25</v>
      </c>
      <c r="J105" s="39"/>
      <c r="K105" s="39">
        <v>12161</v>
      </c>
      <c r="L105" s="39"/>
    </row>
    <row r="106" spans="1:13" x14ac:dyDescent="0.25">
      <c r="A106">
        <v>3600</v>
      </c>
      <c r="B106" s="150">
        <v>42800</v>
      </c>
      <c r="C106" s="10">
        <v>6000</v>
      </c>
      <c r="D106" s="233">
        <v>16.589099999999998</v>
      </c>
      <c r="E106" s="39">
        <v>16.47</v>
      </c>
      <c r="F106" s="39">
        <f t="shared" si="5"/>
        <v>-714.59999999999718</v>
      </c>
      <c r="G106" s="39">
        <f t="shared" si="6"/>
        <v>99534.599999999991</v>
      </c>
      <c r="H106" s="222">
        <f t="shared" si="7"/>
        <v>-7.1794129880463405E-3</v>
      </c>
      <c r="I106" s="39">
        <v>16.25</v>
      </c>
      <c r="J106" s="39"/>
      <c r="K106" s="39">
        <v>13901</v>
      </c>
      <c r="L106" s="39"/>
    </row>
    <row r="107" spans="1:13" x14ac:dyDescent="0.25">
      <c r="A107">
        <v>3600</v>
      </c>
      <c r="B107" s="150">
        <v>42802</v>
      </c>
      <c r="C107" s="10">
        <v>6700</v>
      </c>
      <c r="D107" s="233">
        <v>16.427</v>
      </c>
      <c r="E107" s="39">
        <v>14.87</v>
      </c>
      <c r="F107" s="39">
        <f t="shared" si="5"/>
        <v>-10431.900000000003</v>
      </c>
      <c r="G107" s="39">
        <f t="shared" si="6"/>
        <v>110060.9</v>
      </c>
      <c r="H107" s="223">
        <f t="shared" si="7"/>
        <v>-9.478297924149269E-2</v>
      </c>
      <c r="I107" s="39"/>
      <c r="J107" s="39"/>
      <c r="K107" s="39">
        <v>4183.99</v>
      </c>
      <c r="L107" s="39"/>
    </row>
    <row r="108" spans="1:13" x14ac:dyDescent="0.25">
      <c r="A108">
        <v>3600</v>
      </c>
      <c r="B108" s="150">
        <v>42803</v>
      </c>
      <c r="C108" s="10">
        <v>6000</v>
      </c>
      <c r="D108" s="233">
        <v>16.50263</v>
      </c>
      <c r="E108" s="39">
        <v>16.07</v>
      </c>
      <c r="F108" s="39">
        <f t="shared" si="5"/>
        <v>-2595.7799999999979</v>
      </c>
      <c r="G108" s="39">
        <f t="shared" si="6"/>
        <v>99015.78</v>
      </c>
      <c r="H108" s="223">
        <f t="shared" si="7"/>
        <v>-2.6215821356959445E-2</v>
      </c>
      <c r="I108" s="39">
        <v>16.25</v>
      </c>
      <c r="J108" s="39"/>
      <c r="K108" s="39">
        <v>12020</v>
      </c>
      <c r="L108" s="39"/>
    </row>
    <row r="109" spans="1:13" x14ac:dyDescent="0.25">
      <c r="A109">
        <v>4200</v>
      </c>
      <c r="B109" s="150">
        <v>42805</v>
      </c>
      <c r="C109" s="425">
        <v>6000</v>
      </c>
      <c r="D109" s="642">
        <v>16.447600000000001</v>
      </c>
      <c r="E109" s="39">
        <v>16.16</v>
      </c>
      <c r="F109" s="39">
        <f t="shared" si="5"/>
        <v>-1725.6000000000072</v>
      </c>
      <c r="G109" s="39">
        <f t="shared" si="6"/>
        <v>98685.6</v>
      </c>
      <c r="H109" s="223">
        <f t="shared" si="7"/>
        <v>-1.7485833799460174E-2</v>
      </c>
      <c r="I109" s="39" t="s">
        <v>185</v>
      </c>
      <c r="J109" s="39"/>
      <c r="K109" s="39">
        <v>12890</v>
      </c>
      <c r="L109" s="39"/>
    </row>
    <row r="110" spans="1:13" x14ac:dyDescent="0.25">
      <c r="A110">
        <v>4200</v>
      </c>
      <c r="B110" s="150">
        <v>42807</v>
      </c>
      <c r="C110" s="10">
        <v>6000</v>
      </c>
      <c r="D110" s="233">
        <v>16.447600000000001</v>
      </c>
      <c r="E110" s="39">
        <v>15.84</v>
      </c>
      <c r="F110" s="39">
        <f t="shared" si="5"/>
        <v>-3645.600000000009</v>
      </c>
      <c r="G110" s="39">
        <f t="shared" si="6"/>
        <v>98685.6</v>
      </c>
      <c r="H110" s="223">
        <f t="shared" si="7"/>
        <v>-3.6941559862837217E-2</v>
      </c>
      <c r="I110" s="39"/>
      <c r="J110" s="39"/>
      <c r="K110" s="39">
        <v>10970</v>
      </c>
      <c r="L110" s="39"/>
    </row>
    <row r="111" spans="1:13" x14ac:dyDescent="0.25">
      <c r="A111">
        <v>3700</v>
      </c>
      <c r="B111" s="150">
        <v>42808</v>
      </c>
      <c r="C111" s="425">
        <v>6000</v>
      </c>
      <c r="D111" s="642">
        <v>16.422999999999998</v>
      </c>
      <c r="E111" s="39">
        <v>15.32</v>
      </c>
      <c r="F111" s="39">
        <f t="shared" si="5"/>
        <v>-6617.9999999999882</v>
      </c>
      <c r="G111" s="39">
        <f t="shared" si="6"/>
        <v>98537.999999999985</v>
      </c>
      <c r="H111" s="223">
        <f t="shared" si="7"/>
        <v>-6.7161907081531885E-2</v>
      </c>
      <c r="I111" s="39">
        <v>16.25</v>
      </c>
      <c r="J111" s="39">
        <v>41.23</v>
      </c>
      <c r="K111" s="39">
        <v>8000</v>
      </c>
      <c r="L111" s="39"/>
    </row>
    <row r="112" spans="1:13" x14ac:dyDescent="0.25">
      <c r="A112">
        <v>3700</v>
      </c>
      <c r="B112" s="150">
        <v>42809</v>
      </c>
      <c r="C112" s="10">
        <v>6000</v>
      </c>
      <c r="D112" s="233">
        <v>16.422999999999998</v>
      </c>
      <c r="E112" s="39">
        <v>15.56</v>
      </c>
      <c r="F112" s="39">
        <f t="shared" si="5"/>
        <v>-5177.9999999999864</v>
      </c>
      <c r="G112" s="39">
        <f t="shared" si="6"/>
        <v>98537.999999999985</v>
      </c>
      <c r="H112" s="223">
        <f t="shared" si="7"/>
        <v>-5.254825549534177E-2</v>
      </c>
      <c r="I112" s="39">
        <v>16.25</v>
      </c>
      <c r="J112" s="39">
        <v>44</v>
      </c>
      <c r="K112" s="39">
        <v>9439</v>
      </c>
      <c r="L112" s="39"/>
    </row>
    <row r="113" spans="1:12" x14ac:dyDescent="0.25">
      <c r="A113">
        <v>4000</v>
      </c>
      <c r="B113" s="150">
        <v>42815</v>
      </c>
      <c r="C113" s="10">
        <v>6400</v>
      </c>
      <c r="D113" s="233">
        <v>16.349399999999999</v>
      </c>
      <c r="E113" s="39">
        <v>15.05</v>
      </c>
      <c r="F113" s="39">
        <f t="shared" si="5"/>
        <v>-8316.1599999999908</v>
      </c>
      <c r="G113" s="39">
        <f t="shared" si="6"/>
        <v>104636.15999999999</v>
      </c>
      <c r="H113" s="223">
        <f t="shared" si="7"/>
        <v>-7.9476922700527156E-2</v>
      </c>
      <c r="I113" s="39"/>
      <c r="J113" s="39"/>
      <c r="K113" s="39">
        <v>6300</v>
      </c>
      <c r="L113" s="39"/>
    </row>
    <row r="114" spans="1:12" x14ac:dyDescent="0.25">
      <c r="A114">
        <v>4300</v>
      </c>
      <c r="B114" s="150">
        <v>42819</v>
      </c>
      <c r="C114" s="10">
        <v>6400</v>
      </c>
      <c r="D114" s="233">
        <v>16.349399999999999</v>
      </c>
      <c r="E114" s="39">
        <v>14.61</v>
      </c>
      <c r="F114" s="39">
        <f t="shared" si="5"/>
        <v>-11132.16</v>
      </c>
      <c r="G114" s="39">
        <f t="shared" si="6"/>
        <v>104636.15999999999</v>
      </c>
      <c r="H114" s="223">
        <f t="shared" si="7"/>
        <v>-0.10638922529267128</v>
      </c>
      <c r="I114" s="39"/>
      <c r="J114" s="39"/>
      <c r="K114" s="39">
        <v>3484</v>
      </c>
      <c r="L114" s="39"/>
    </row>
    <row r="115" spans="1:12" x14ac:dyDescent="0.25">
      <c r="A115">
        <v>4300</v>
      </c>
      <c r="B115" s="150">
        <v>42821</v>
      </c>
      <c r="C115" s="10">
        <v>6400</v>
      </c>
      <c r="D115" s="233">
        <v>16.349399999999999</v>
      </c>
      <c r="E115" s="39">
        <v>14.75</v>
      </c>
      <c r="F115" s="39">
        <f t="shared" si="5"/>
        <v>-10236.159999999996</v>
      </c>
      <c r="G115" s="39">
        <f t="shared" si="6"/>
        <v>104636.15999999999</v>
      </c>
      <c r="H115" s="223">
        <f t="shared" si="7"/>
        <v>-9.78262199224436E-2</v>
      </c>
      <c r="I115" s="39"/>
      <c r="J115" s="39"/>
      <c r="K115" s="39">
        <v>4380</v>
      </c>
      <c r="L115" s="39"/>
    </row>
    <row r="116" spans="1:12" x14ac:dyDescent="0.25">
      <c r="A116">
        <v>4300</v>
      </c>
      <c r="B116" s="150">
        <v>42822</v>
      </c>
      <c r="C116" s="10">
        <v>6400</v>
      </c>
      <c r="D116" s="233">
        <v>16.349399999999999</v>
      </c>
      <c r="E116" s="39">
        <v>15.23</v>
      </c>
      <c r="F116" s="39">
        <f t="shared" si="5"/>
        <v>-7164.1599999999926</v>
      </c>
      <c r="G116" s="39">
        <f t="shared" si="6"/>
        <v>104636.15999999999</v>
      </c>
      <c r="H116" s="223">
        <f t="shared" si="7"/>
        <v>-6.8467344367377322E-2</v>
      </c>
      <c r="I116" s="39"/>
      <c r="J116" s="39"/>
      <c r="K116" s="39">
        <v>7452</v>
      </c>
      <c r="L116" s="39"/>
    </row>
    <row r="117" spans="1:12" x14ac:dyDescent="0.25">
      <c r="A117">
        <v>3900</v>
      </c>
      <c r="B117" s="150">
        <v>42823</v>
      </c>
      <c r="C117" s="425">
        <v>6000</v>
      </c>
      <c r="D117" s="642">
        <v>16.407399999999999</v>
      </c>
      <c r="E117" s="39">
        <v>15.48</v>
      </c>
      <c r="F117" s="39">
        <f t="shared" si="5"/>
        <v>-5564.3999999999924</v>
      </c>
      <c r="G117" s="39">
        <f t="shared" si="6"/>
        <v>98444.4</v>
      </c>
      <c r="H117" s="223">
        <f t="shared" si="7"/>
        <v>-5.6523276082743074E-2</v>
      </c>
      <c r="I117" s="39">
        <v>16.25</v>
      </c>
      <c r="J117" s="39"/>
      <c r="K117" s="39">
        <v>9051</v>
      </c>
      <c r="L117" s="39"/>
    </row>
    <row r="118" spans="1:12" x14ac:dyDescent="0.25">
      <c r="A118">
        <v>4100</v>
      </c>
      <c r="B118" s="150">
        <v>42830</v>
      </c>
      <c r="C118" s="425">
        <v>6000</v>
      </c>
      <c r="D118" s="642">
        <v>16.388999999999999</v>
      </c>
      <c r="E118" s="39">
        <v>15.98</v>
      </c>
      <c r="F118" s="39">
        <f t="shared" ref="F118:F131" si="8">C118*(E118-D118)</f>
        <v>-2453.9999999999936</v>
      </c>
      <c r="G118" s="39">
        <f t="shared" ref="G118:G131" si="9">D118*C118</f>
        <v>98334</v>
      </c>
      <c r="H118" s="223">
        <f t="shared" ref="H118:H131" si="10">(E118-D118)/D118</f>
        <v>-2.4955763011776128E-2</v>
      </c>
      <c r="I118" s="39">
        <v>16.25</v>
      </c>
      <c r="J118" s="39"/>
      <c r="K118" s="39">
        <v>12159</v>
      </c>
      <c r="L118" s="39"/>
    </row>
    <row r="119" spans="1:12" x14ac:dyDescent="0.25">
      <c r="A119">
        <v>4800</v>
      </c>
      <c r="B119" s="150">
        <v>42838</v>
      </c>
      <c r="C119" s="10">
        <v>6200</v>
      </c>
      <c r="D119" s="233">
        <v>16.375</v>
      </c>
      <c r="E119" s="39">
        <v>15.9</v>
      </c>
      <c r="F119" s="39">
        <f t="shared" si="8"/>
        <v>-2944.9999999999977</v>
      </c>
      <c r="G119" s="39">
        <f t="shared" si="9"/>
        <v>101525</v>
      </c>
      <c r="H119" s="222">
        <f t="shared" si="10"/>
        <v>-2.9007633587786238E-2</v>
      </c>
      <c r="I119" s="39"/>
      <c r="J119" s="39"/>
      <c r="K119" s="39">
        <v>11731</v>
      </c>
      <c r="L119" s="39"/>
    </row>
    <row r="120" spans="1:12" x14ac:dyDescent="0.25">
      <c r="A120">
        <v>5300</v>
      </c>
      <c r="B120" s="150">
        <v>42844</v>
      </c>
      <c r="C120" s="10">
        <v>6400</v>
      </c>
      <c r="D120" s="233">
        <v>16.335000000000001</v>
      </c>
      <c r="E120" s="39">
        <v>15.06</v>
      </c>
      <c r="F120" s="39">
        <f t="shared" si="8"/>
        <v>-8160.0000000000018</v>
      </c>
      <c r="G120" s="39">
        <f t="shared" si="9"/>
        <v>104544</v>
      </c>
      <c r="H120" s="222">
        <f t="shared" si="10"/>
        <v>-7.805325987144171E-2</v>
      </c>
      <c r="I120" s="39"/>
      <c r="J120" s="39"/>
      <c r="K120" s="39">
        <v>6457</v>
      </c>
      <c r="L120" s="39"/>
    </row>
    <row r="121" spans="1:12" x14ac:dyDescent="0.25">
      <c r="A121">
        <v>5700</v>
      </c>
      <c r="B121" s="150">
        <v>42854</v>
      </c>
      <c r="C121" s="10">
        <v>6400</v>
      </c>
      <c r="D121" s="233">
        <v>16.334199999999999</v>
      </c>
      <c r="E121" s="39">
        <v>14.87</v>
      </c>
      <c r="F121" s="39">
        <f t="shared" si="8"/>
        <v>-9370.8799999999992</v>
      </c>
      <c r="G121" s="39">
        <f t="shared" si="9"/>
        <v>104538.87999999999</v>
      </c>
      <c r="H121" s="222">
        <f t="shared" si="10"/>
        <v>-8.9640141543509938E-2</v>
      </c>
      <c r="I121" s="39"/>
      <c r="J121" s="39"/>
      <c r="K121" s="39">
        <v>5245</v>
      </c>
      <c r="L121" s="39"/>
    </row>
    <row r="122" spans="1:12" x14ac:dyDescent="0.25">
      <c r="A122">
        <v>5700</v>
      </c>
      <c r="B122" s="150">
        <v>42860</v>
      </c>
      <c r="C122" s="10">
        <v>6700</v>
      </c>
      <c r="D122" s="233">
        <v>16.225999999999999</v>
      </c>
      <c r="E122" s="39">
        <v>14.29</v>
      </c>
      <c r="F122" s="39">
        <f t="shared" si="8"/>
        <v>-12971.199999999999</v>
      </c>
      <c r="G122" s="39">
        <f t="shared" si="9"/>
        <v>108714.2</v>
      </c>
      <c r="H122" s="222">
        <f t="shared" si="10"/>
        <v>-0.11931468014298041</v>
      </c>
      <c r="I122" s="39"/>
      <c r="J122" s="39"/>
      <c r="K122" s="39">
        <v>1644</v>
      </c>
      <c r="L122" s="39"/>
    </row>
    <row r="123" spans="1:12" x14ac:dyDescent="0.25">
      <c r="A123">
        <v>6000</v>
      </c>
      <c r="B123" s="150">
        <v>42862</v>
      </c>
      <c r="C123" s="10">
        <v>6700</v>
      </c>
      <c r="D123" s="233">
        <v>16.225999999999999</v>
      </c>
      <c r="E123" s="39">
        <v>14.29</v>
      </c>
      <c r="F123" s="39">
        <f t="shared" si="8"/>
        <v>-12971.199999999999</v>
      </c>
      <c r="G123" s="39">
        <f t="shared" si="9"/>
        <v>108714.2</v>
      </c>
      <c r="H123" s="222">
        <f t="shared" si="10"/>
        <v>-0.11931468014298041</v>
      </c>
      <c r="I123" s="39"/>
      <c r="J123" s="39"/>
      <c r="K123" s="39">
        <v>1644</v>
      </c>
      <c r="L123" s="39"/>
    </row>
    <row r="124" spans="1:12" x14ac:dyDescent="0.25">
      <c r="A124">
        <v>5700</v>
      </c>
      <c r="B124" s="150">
        <v>42863</v>
      </c>
      <c r="C124" s="10">
        <v>6400</v>
      </c>
      <c r="D124" s="233">
        <v>16.318000000000001</v>
      </c>
      <c r="E124" s="39">
        <v>14.59</v>
      </c>
      <c r="F124" s="39">
        <f t="shared" si="8"/>
        <v>-11059.20000000001</v>
      </c>
      <c r="G124" s="39">
        <f t="shared" si="9"/>
        <v>104435.20000000001</v>
      </c>
      <c r="H124" s="222">
        <f t="shared" si="10"/>
        <v>-0.1058953303100871</v>
      </c>
      <c r="I124" s="39"/>
      <c r="J124" s="39"/>
      <c r="K124" s="39">
        <v>3559</v>
      </c>
      <c r="L124" s="39"/>
    </row>
    <row r="125" spans="1:12" x14ac:dyDescent="0.25">
      <c r="A125">
        <v>5700</v>
      </c>
      <c r="B125" s="150">
        <v>42866</v>
      </c>
      <c r="C125" s="10">
        <v>6400</v>
      </c>
      <c r="D125" s="233">
        <v>16.318000000000001</v>
      </c>
      <c r="E125" s="39">
        <v>14.48</v>
      </c>
      <c r="F125" s="39">
        <f t="shared" si="8"/>
        <v>-11763.200000000006</v>
      </c>
      <c r="G125" s="39">
        <f t="shared" si="9"/>
        <v>104435.20000000001</v>
      </c>
      <c r="H125" s="222">
        <f t="shared" si="10"/>
        <v>-0.11263635249417826</v>
      </c>
      <c r="I125" s="39"/>
      <c r="J125" s="39"/>
      <c r="K125" s="39">
        <v>2855</v>
      </c>
      <c r="L125" s="39"/>
    </row>
    <row r="126" spans="1:12" x14ac:dyDescent="0.25">
      <c r="A126">
        <v>5900</v>
      </c>
      <c r="B126" s="150">
        <v>42872</v>
      </c>
      <c r="C126" s="10">
        <v>6531</v>
      </c>
      <c r="D126" s="233">
        <v>16.274999999999999</v>
      </c>
      <c r="E126" s="39">
        <v>14.35</v>
      </c>
      <c r="F126" s="39">
        <f t="shared" si="8"/>
        <v>-12572.174999999994</v>
      </c>
      <c r="G126" s="39">
        <f t="shared" si="9"/>
        <v>106292.02499999999</v>
      </c>
      <c r="H126" s="222">
        <f t="shared" si="10"/>
        <v>-0.11827956989247307</v>
      </c>
      <c r="I126" s="39"/>
      <c r="J126" s="39"/>
      <c r="K126" s="39">
        <v>2044</v>
      </c>
      <c r="L126" s="39"/>
    </row>
    <row r="127" spans="1:12" x14ac:dyDescent="0.25">
      <c r="B127" s="150">
        <v>42873</v>
      </c>
      <c r="C127" s="10">
        <v>6400</v>
      </c>
      <c r="D127" s="233">
        <v>16.306000000000001</v>
      </c>
      <c r="E127" s="39">
        <v>14.35</v>
      </c>
      <c r="F127" s="39">
        <f t="shared" si="8"/>
        <v>-12518.400000000009</v>
      </c>
      <c r="G127" s="39">
        <f t="shared" si="9"/>
        <v>104358.40000000001</v>
      </c>
      <c r="H127" s="222">
        <f t="shared" si="10"/>
        <v>-0.11995584447442667</v>
      </c>
      <c r="I127" s="39"/>
      <c r="J127" s="39"/>
      <c r="K127" s="39">
        <v>2098</v>
      </c>
      <c r="L127" s="39"/>
    </row>
    <row r="128" spans="1:12" x14ac:dyDescent="0.25">
      <c r="A128">
        <v>5600</v>
      </c>
      <c r="B128" s="150">
        <v>42873</v>
      </c>
      <c r="C128" s="10">
        <v>6700</v>
      </c>
      <c r="D128" s="233">
        <v>16.21</v>
      </c>
      <c r="E128" s="39">
        <v>14.16</v>
      </c>
      <c r="F128" s="39">
        <f t="shared" si="8"/>
        <v>-13735.000000000005</v>
      </c>
      <c r="G128" s="39">
        <f t="shared" si="9"/>
        <v>108607</v>
      </c>
      <c r="H128" s="222">
        <f t="shared" si="10"/>
        <v>-0.1264651449722394</v>
      </c>
      <c r="I128" s="39"/>
      <c r="J128" s="39"/>
      <c r="K128" s="39">
        <v>1016</v>
      </c>
      <c r="L128" s="39"/>
    </row>
    <row r="129" spans="1:12" x14ac:dyDescent="0.25">
      <c r="A129">
        <v>5300</v>
      </c>
      <c r="B129" s="150">
        <v>42874</v>
      </c>
      <c r="C129" s="10">
        <v>6400</v>
      </c>
      <c r="D129" s="233">
        <v>16.286000000000001</v>
      </c>
      <c r="E129" s="39">
        <v>14.58</v>
      </c>
      <c r="F129" s="39">
        <f t="shared" si="8"/>
        <v>-10918.400000000009</v>
      </c>
      <c r="G129" s="39">
        <f t="shared" si="9"/>
        <v>104230.40000000001</v>
      </c>
      <c r="H129" s="222">
        <f t="shared" si="10"/>
        <v>-0.10475254820090883</v>
      </c>
      <c r="I129" s="39"/>
      <c r="J129" s="39"/>
      <c r="K129" s="39">
        <v>3664</v>
      </c>
      <c r="L129" s="39"/>
    </row>
    <row r="130" spans="1:12" x14ac:dyDescent="0.25">
      <c r="B130" s="150">
        <v>42880</v>
      </c>
      <c r="C130" s="10">
        <v>7000</v>
      </c>
      <c r="D130" s="233">
        <v>16.05</v>
      </c>
      <c r="E130" s="39">
        <v>13.5</v>
      </c>
      <c r="F130" s="39">
        <f t="shared" si="8"/>
        <v>-17850.000000000004</v>
      </c>
      <c r="G130" s="39">
        <f t="shared" si="9"/>
        <v>112350</v>
      </c>
      <c r="H130" s="222">
        <f t="shared" si="10"/>
        <v>-0.15887850467289724</v>
      </c>
      <c r="I130" s="39"/>
      <c r="J130" s="39"/>
      <c r="K130" s="39">
        <v>-3227</v>
      </c>
      <c r="L130" s="39"/>
    </row>
    <row r="131" spans="1:12" x14ac:dyDescent="0.25">
      <c r="A131">
        <v>5800</v>
      </c>
      <c r="B131" s="150">
        <v>42899</v>
      </c>
      <c r="C131" s="10">
        <v>8000</v>
      </c>
      <c r="D131" s="233">
        <v>15.624000000000001</v>
      </c>
      <c r="E131" s="39">
        <v>13.01</v>
      </c>
      <c r="F131" s="39">
        <f t="shared" si="8"/>
        <v>-20912.000000000007</v>
      </c>
      <c r="G131" s="39">
        <f t="shared" si="9"/>
        <v>124992</v>
      </c>
      <c r="H131" s="222">
        <f t="shared" si="10"/>
        <v>-0.16730670762928831</v>
      </c>
      <c r="I131" s="39"/>
      <c r="J131" s="39"/>
      <c r="K131" s="39">
        <v>-6296</v>
      </c>
      <c r="L131" s="39"/>
    </row>
    <row r="132" spans="1:12" x14ac:dyDescent="0.25">
      <c r="A132">
        <v>8000</v>
      </c>
      <c r="B132" s="150">
        <v>42939</v>
      </c>
      <c r="C132" s="10">
        <v>8000</v>
      </c>
      <c r="D132" s="233">
        <v>15.584</v>
      </c>
      <c r="E132" s="39">
        <v>11.85</v>
      </c>
      <c r="F132" s="39">
        <f t="shared" ref="F132:F142" si="11">C132*(E132-D132)</f>
        <v>-29872</v>
      </c>
      <c r="G132" s="39">
        <f t="shared" ref="G132:G142" si="12">D132*C132</f>
        <v>124672</v>
      </c>
      <c r="H132" s="222">
        <f t="shared" ref="H132:H142" si="13">(E132-D132)/D132</f>
        <v>-0.2396047227926078</v>
      </c>
      <c r="I132" s="39"/>
      <c r="J132" s="39"/>
      <c r="K132" s="39">
        <v>-15256</v>
      </c>
      <c r="L132" s="39"/>
    </row>
    <row r="133" spans="1:12" x14ac:dyDescent="0.25">
      <c r="A133">
        <v>8000</v>
      </c>
      <c r="B133" s="150">
        <v>42943</v>
      </c>
      <c r="C133" s="10">
        <v>8200</v>
      </c>
      <c r="D133" s="233">
        <v>15.5</v>
      </c>
      <c r="E133" s="39">
        <v>12.23</v>
      </c>
      <c r="F133" s="39">
        <f t="shared" si="11"/>
        <v>-26813.999999999996</v>
      </c>
      <c r="G133" s="39">
        <f t="shared" si="12"/>
        <v>127100</v>
      </c>
      <c r="H133" s="222">
        <f t="shared" si="13"/>
        <v>-0.21096774193548384</v>
      </c>
      <c r="I133" s="39"/>
      <c r="J133" s="39"/>
      <c r="K133" s="39">
        <v>-12200</v>
      </c>
      <c r="L133" s="39"/>
    </row>
    <row r="134" spans="1:12" x14ac:dyDescent="0.25">
      <c r="B134" s="150">
        <v>42944</v>
      </c>
      <c r="C134" s="10">
        <v>8000</v>
      </c>
      <c r="D134" s="233">
        <v>15.5733</v>
      </c>
      <c r="E134" s="39">
        <v>12.36</v>
      </c>
      <c r="F134" s="39">
        <f t="shared" si="11"/>
        <v>-25706.400000000001</v>
      </c>
      <c r="G134" s="39">
        <f t="shared" si="12"/>
        <v>124586.4</v>
      </c>
      <c r="H134" s="222">
        <f t="shared" si="13"/>
        <v>-0.20633391766677586</v>
      </c>
      <c r="I134" s="39"/>
      <c r="J134" s="39"/>
      <c r="K134" s="39">
        <v>-11091</v>
      </c>
      <c r="L134" s="39"/>
    </row>
    <row r="135" spans="1:12" x14ac:dyDescent="0.25">
      <c r="A135">
        <v>7400</v>
      </c>
      <c r="B135" s="150">
        <v>42950</v>
      </c>
      <c r="C135" s="10">
        <v>8000</v>
      </c>
      <c r="D135" s="233">
        <v>15.516999999999999</v>
      </c>
      <c r="E135" s="39">
        <v>12.51</v>
      </c>
      <c r="F135" s="39">
        <f t="shared" si="11"/>
        <v>-24055.999999999996</v>
      </c>
      <c r="G135" s="39">
        <f t="shared" si="12"/>
        <v>124136</v>
      </c>
      <c r="H135" s="222">
        <f t="shared" si="13"/>
        <v>-0.19378745891602756</v>
      </c>
      <c r="I135" s="39"/>
      <c r="J135" s="39"/>
      <c r="K135" s="39">
        <v>-9442</v>
      </c>
      <c r="L135" s="39"/>
    </row>
    <row r="136" spans="1:12" x14ac:dyDescent="0.25">
      <c r="A136">
        <v>7200</v>
      </c>
      <c r="B136" s="150">
        <v>42953</v>
      </c>
      <c r="C136" s="10">
        <v>8000</v>
      </c>
      <c r="D136" s="233">
        <v>15.516999999999999</v>
      </c>
      <c r="E136" s="39">
        <v>12.9</v>
      </c>
      <c r="F136" s="39">
        <f t="shared" si="11"/>
        <v>-20935.999999999993</v>
      </c>
      <c r="G136" s="39">
        <f t="shared" si="12"/>
        <v>124136</v>
      </c>
      <c r="H136" s="222">
        <f t="shared" si="13"/>
        <v>-0.16865373461364949</v>
      </c>
      <c r="I136" s="39"/>
      <c r="J136" s="39"/>
      <c r="K136" s="39">
        <v>-6322</v>
      </c>
      <c r="L136" s="39"/>
    </row>
    <row r="137" spans="1:12" x14ac:dyDescent="0.25">
      <c r="A137">
        <v>7200</v>
      </c>
      <c r="B137" s="150">
        <v>42967</v>
      </c>
      <c r="C137" s="10">
        <v>8900</v>
      </c>
      <c r="D137" s="233">
        <v>15.09</v>
      </c>
      <c r="E137" s="39">
        <v>10.87</v>
      </c>
      <c r="F137" s="39">
        <f t="shared" si="11"/>
        <v>-37558.000000000007</v>
      </c>
      <c r="G137" s="39">
        <f t="shared" si="12"/>
        <v>134301</v>
      </c>
      <c r="H137" s="222">
        <f t="shared" si="13"/>
        <v>-0.27965540092776675</v>
      </c>
      <c r="I137" s="39"/>
      <c r="J137" s="39"/>
      <c r="K137" s="39">
        <v>-22952</v>
      </c>
      <c r="L137" s="39"/>
    </row>
    <row r="138" spans="1:12" x14ac:dyDescent="0.25">
      <c r="A138">
        <v>7100</v>
      </c>
      <c r="B138" s="150">
        <v>42978</v>
      </c>
      <c r="C138" s="10">
        <v>8600</v>
      </c>
      <c r="D138" s="233">
        <v>15.226800000000001</v>
      </c>
      <c r="E138" s="39">
        <v>11.27</v>
      </c>
      <c r="F138" s="39">
        <f t="shared" si="11"/>
        <v>-34028.48000000001</v>
      </c>
      <c r="G138" s="39">
        <f t="shared" si="12"/>
        <v>130950.48000000001</v>
      </c>
      <c r="H138" s="222">
        <f t="shared" si="13"/>
        <v>-0.25985761946042513</v>
      </c>
      <c r="I138" s="39"/>
      <c r="J138" s="39"/>
      <c r="K138" s="39">
        <v>-19413</v>
      </c>
      <c r="L138" s="39"/>
    </row>
    <row r="139" spans="1:12" x14ac:dyDescent="0.25">
      <c r="A139">
        <v>7300</v>
      </c>
      <c r="B139" s="150">
        <v>42984</v>
      </c>
      <c r="C139" s="10">
        <v>8200</v>
      </c>
      <c r="D139" s="233">
        <v>15.403</v>
      </c>
      <c r="E139" s="39">
        <v>11.6</v>
      </c>
      <c r="F139" s="39">
        <f t="shared" si="11"/>
        <v>-31184.600000000006</v>
      </c>
      <c r="G139" s="39">
        <f t="shared" si="12"/>
        <v>126304.6</v>
      </c>
      <c r="H139" s="222">
        <f t="shared" si="13"/>
        <v>-0.24689995455430766</v>
      </c>
      <c r="I139" s="39"/>
      <c r="J139" s="39"/>
      <c r="K139" s="39">
        <v>-17305</v>
      </c>
      <c r="L139" s="39"/>
    </row>
    <row r="140" spans="1:12" ht="15" customHeight="1" x14ac:dyDescent="0.25">
      <c r="A140">
        <v>7300</v>
      </c>
      <c r="B140" s="150">
        <v>42986</v>
      </c>
      <c r="C140" s="10">
        <v>8600</v>
      </c>
      <c r="D140" s="233">
        <v>15.202999999999999</v>
      </c>
      <c r="E140" s="39">
        <v>11.11</v>
      </c>
      <c r="F140" s="39">
        <f t="shared" si="11"/>
        <v>-35199.800000000003</v>
      </c>
      <c r="G140" s="39">
        <f t="shared" si="12"/>
        <v>130745.79999999999</v>
      </c>
      <c r="H140" s="222">
        <f t="shared" si="13"/>
        <v>-0.26922317963559822</v>
      </c>
      <c r="I140" s="39"/>
      <c r="J140" s="39"/>
      <c r="K140" s="39">
        <v>-20585</v>
      </c>
      <c r="L140" s="39"/>
    </row>
    <row r="141" spans="1:12" x14ac:dyDescent="0.25">
      <c r="A141">
        <v>6900</v>
      </c>
      <c r="B141" s="150">
        <v>42987</v>
      </c>
      <c r="C141" s="10">
        <v>8200</v>
      </c>
      <c r="D141" s="233">
        <v>15.3935</v>
      </c>
      <c r="E141" s="39">
        <v>11.3</v>
      </c>
      <c r="F141" s="39">
        <f t="shared" si="11"/>
        <v>-33566.69999999999</v>
      </c>
      <c r="G141" s="39">
        <f t="shared" si="12"/>
        <v>126226.7</v>
      </c>
      <c r="H141" s="222">
        <f t="shared" si="13"/>
        <v>-0.26592392893104227</v>
      </c>
      <c r="I141" s="39"/>
      <c r="J141" s="39"/>
      <c r="K141" s="39">
        <v>-18951</v>
      </c>
      <c r="L141" s="39"/>
    </row>
    <row r="142" spans="1:12" x14ac:dyDescent="0.25">
      <c r="A142">
        <v>7500</v>
      </c>
      <c r="B142" s="150">
        <v>42996</v>
      </c>
      <c r="C142" s="10">
        <v>8000</v>
      </c>
      <c r="D142" s="233">
        <v>15.43</v>
      </c>
      <c r="E142" s="39">
        <v>12.02</v>
      </c>
      <c r="F142" s="39">
        <f t="shared" si="11"/>
        <v>-27280</v>
      </c>
      <c r="G142" s="39">
        <f t="shared" si="12"/>
        <v>123440</v>
      </c>
      <c r="H142" s="222">
        <f t="shared" si="13"/>
        <v>-0.22099805573558004</v>
      </c>
      <c r="I142" s="39">
        <v>15</v>
      </c>
      <c r="J142" s="39"/>
      <c r="K142" s="39">
        <v>-12635</v>
      </c>
      <c r="L142" s="39"/>
    </row>
    <row r="143" spans="1:12" x14ac:dyDescent="0.25">
      <c r="A143">
        <v>7600</v>
      </c>
      <c r="B143" s="150">
        <v>42999</v>
      </c>
      <c r="C143" s="421">
        <v>8000</v>
      </c>
      <c r="D143" s="781">
        <v>15.43</v>
      </c>
      <c r="E143" s="39">
        <v>12.73</v>
      </c>
      <c r="F143" s="39">
        <f t="shared" ref="F143:F149" si="14">C143*(E143-D143)</f>
        <v>-21599.999999999993</v>
      </c>
      <c r="G143" s="39">
        <f t="shared" ref="G143:G149" si="15">D143*C143</f>
        <v>123440</v>
      </c>
      <c r="H143" s="222">
        <f t="shared" ref="H143:H149" si="16">(E143-D143)/D143</f>
        <v>-0.17498379779650028</v>
      </c>
      <c r="I143" s="39">
        <v>15</v>
      </c>
      <c r="J143" s="39"/>
      <c r="K143" s="39">
        <v>-6955</v>
      </c>
      <c r="L143" s="39"/>
    </row>
    <row r="144" spans="1:12" x14ac:dyDescent="0.25">
      <c r="A144">
        <v>7100</v>
      </c>
      <c r="B144" s="150">
        <v>43000</v>
      </c>
      <c r="C144" s="10">
        <v>7500</v>
      </c>
      <c r="D144" s="233">
        <v>15.6</v>
      </c>
      <c r="E144" s="39">
        <v>12.83</v>
      </c>
      <c r="F144" s="39">
        <f t="shared" si="14"/>
        <v>-20774.999999999996</v>
      </c>
      <c r="G144" s="39">
        <f t="shared" si="15"/>
        <v>117000</v>
      </c>
      <c r="H144" s="222">
        <f t="shared" si="16"/>
        <v>-0.17756410256410254</v>
      </c>
      <c r="I144" s="39"/>
      <c r="J144" s="39"/>
      <c r="K144" s="39"/>
      <c r="L144" s="39"/>
    </row>
    <row r="145" spans="1:12" x14ac:dyDescent="0.25">
      <c r="A145">
        <v>6600</v>
      </c>
      <c r="B145" s="150">
        <v>43000</v>
      </c>
      <c r="C145" s="10">
        <v>7000</v>
      </c>
      <c r="D145" s="233">
        <v>15.788</v>
      </c>
      <c r="E145" s="39">
        <v>12.79</v>
      </c>
      <c r="F145" s="39">
        <f t="shared" si="14"/>
        <v>-20986.000000000007</v>
      </c>
      <c r="G145" s="39">
        <f t="shared" si="15"/>
        <v>110516</v>
      </c>
      <c r="H145" s="222">
        <f t="shared" si="16"/>
        <v>-0.1898910564986066</v>
      </c>
      <c r="I145" s="39">
        <v>15.5</v>
      </c>
      <c r="J145" s="39"/>
      <c r="K145" s="39">
        <v>-6370</v>
      </c>
      <c r="L145" s="39"/>
    </row>
    <row r="146" spans="1:12" x14ac:dyDescent="0.25">
      <c r="A146">
        <v>6300</v>
      </c>
      <c r="B146" s="150">
        <v>43004</v>
      </c>
      <c r="C146" s="10">
        <v>6700</v>
      </c>
      <c r="D146" s="233">
        <v>15.903</v>
      </c>
      <c r="E146" s="39">
        <v>13.4</v>
      </c>
      <c r="F146" s="39">
        <f t="shared" si="14"/>
        <v>-16770.100000000002</v>
      </c>
      <c r="G146" s="39">
        <f t="shared" si="15"/>
        <v>106550.1</v>
      </c>
      <c r="H146" s="222">
        <f t="shared" si="16"/>
        <v>-0.15739168710306231</v>
      </c>
      <c r="I146" s="39">
        <v>15.5</v>
      </c>
      <c r="J146" s="39"/>
      <c r="K146" s="39">
        <v>-2155</v>
      </c>
      <c r="L146" s="39"/>
    </row>
    <row r="147" spans="1:12" x14ac:dyDescent="0.25">
      <c r="A147">
        <v>6000</v>
      </c>
      <c r="B147" s="150">
        <v>43005</v>
      </c>
      <c r="C147" s="10">
        <v>6400</v>
      </c>
      <c r="D147" s="233">
        <v>16.003</v>
      </c>
      <c r="E147" s="39">
        <v>13.73</v>
      </c>
      <c r="F147" s="39">
        <f t="shared" si="14"/>
        <v>-14547.199999999997</v>
      </c>
      <c r="G147" s="39">
        <f t="shared" si="15"/>
        <v>102419.2</v>
      </c>
      <c r="H147" s="222">
        <f t="shared" si="16"/>
        <v>-0.14203586827469847</v>
      </c>
      <c r="I147" s="39"/>
      <c r="J147" s="39"/>
      <c r="K147" s="39">
        <v>71</v>
      </c>
      <c r="L147" s="39"/>
    </row>
    <row r="148" spans="1:12" x14ac:dyDescent="0.25">
      <c r="A148">
        <v>6000</v>
      </c>
      <c r="B148" s="150">
        <v>43006</v>
      </c>
      <c r="C148" s="10">
        <v>6700</v>
      </c>
      <c r="D148" s="233">
        <v>15.8888</v>
      </c>
      <c r="E148" s="39">
        <v>13.53</v>
      </c>
      <c r="F148" s="39">
        <f t="shared" si="14"/>
        <v>-15803.960000000003</v>
      </c>
      <c r="G148" s="39">
        <f t="shared" si="15"/>
        <v>106454.95999999999</v>
      </c>
      <c r="H148" s="222">
        <f t="shared" si="16"/>
        <v>-0.14845677458335435</v>
      </c>
      <c r="I148" s="39">
        <v>15.5</v>
      </c>
      <c r="J148" s="39"/>
      <c r="K148" s="39">
        <v>-1188</v>
      </c>
      <c r="L148" s="39"/>
    </row>
    <row r="149" spans="1:12" x14ac:dyDescent="0.25">
      <c r="A149">
        <v>5700</v>
      </c>
      <c r="B149" s="150">
        <v>43011</v>
      </c>
      <c r="C149" s="10">
        <v>6400</v>
      </c>
      <c r="D149" s="233">
        <v>15.99</v>
      </c>
      <c r="E149" s="39">
        <v>13.76</v>
      </c>
      <c r="F149" s="39">
        <f t="shared" si="14"/>
        <v>-14272.000000000004</v>
      </c>
      <c r="G149" s="39">
        <f t="shared" si="15"/>
        <v>102336</v>
      </c>
      <c r="H149" s="222">
        <f t="shared" si="16"/>
        <v>-0.13946216385240778</v>
      </c>
      <c r="I149" s="39"/>
      <c r="J149" s="39"/>
      <c r="K149" s="39">
        <v>341</v>
      </c>
      <c r="L149" s="39"/>
    </row>
    <row r="150" spans="1:12" x14ac:dyDescent="0.25">
      <c r="A150">
        <v>6100</v>
      </c>
      <c r="B150" s="150">
        <v>43023</v>
      </c>
      <c r="C150" s="10">
        <v>6400</v>
      </c>
      <c r="D150" s="233">
        <v>15.99</v>
      </c>
      <c r="E150" s="39">
        <v>13.75</v>
      </c>
      <c r="F150" s="39">
        <f>C150*(E150-D150)</f>
        <v>-14336.000000000002</v>
      </c>
      <c r="G150" s="39">
        <f>D150*C150</f>
        <v>102336</v>
      </c>
      <c r="H150" s="222">
        <f>(E150-D150)/D150</f>
        <v>-0.14008755472170106</v>
      </c>
      <c r="I150" s="39">
        <v>15.5</v>
      </c>
      <c r="J150" s="39">
        <v>69.28</v>
      </c>
      <c r="K150" s="39">
        <v>277</v>
      </c>
      <c r="L150" s="39"/>
    </row>
    <row r="151" spans="1:12" x14ac:dyDescent="0.25">
      <c r="B151" s="150">
        <v>43028</v>
      </c>
      <c r="C151" s="10">
        <v>6400</v>
      </c>
      <c r="D151" s="233">
        <v>15.99</v>
      </c>
      <c r="E151" s="39">
        <v>13.93</v>
      </c>
      <c r="F151" s="39">
        <f>C151*(E151-D151)</f>
        <v>-13184.000000000004</v>
      </c>
      <c r="G151" s="39">
        <f>D151*C151</f>
        <v>102336</v>
      </c>
      <c r="H151" s="222">
        <f>(E151-D151)/D151</f>
        <v>-0.12883051907442156</v>
      </c>
      <c r="I151" s="39"/>
      <c r="J151" s="39"/>
      <c r="K151" s="39">
        <v>1429</v>
      </c>
      <c r="L151" s="39"/>
    </row>
    <row r="152" spans="1:12" x14ac:dyDescent="0.25">
      <c r="A152">
        <v>6100</v>
      </c>
      <c r="B152" s="150">
        <v>43031</v>
      </c>
      <c r="C152" s="10">
        <v>6400</v>
      </c>
      <c r="D152" s="233">
        <v>15.99</v>
      </c>
      <c r="E152" s="39">
        <v>13.63</v>
      </c>
      <c r="F152" s="39">
        <f t="shared" ref="F152:F164" si="17">C152*(E152-D152)</f>
        <v>-15103.999999999996</v>
      </c>
      <c r="G152" s="39">
        <f t="shared" ref="G152:G164" si="18">D152*C152</f>
        <v>102336</v>
      </c>
      <c r="H152" s="222">
        <f t="shared" ref="H152:H164" si="19">(E152-D152)/D152</f>
        <v>-0.14759224515322072</v>
      </c>
      <c r="I152" s="39"/>
      <c r="J152" s="39"/>
      <c r="K152" s="39">
        <v>-491</v>
      </c>
      <c r="L152" s="39"/>
    </row>
    <row r="153" spans="1:12" x14ac:dyDescent="0.25">
      <c r="A153">
        <v>6000</v>
      </c>
      <c r="B153" s="150">
        <v>43040</v>
      </c>
      <c r="C153" s="425">
        <v>6000</v>
      </c>
      <c r="D153" s="642">
        <v>16.091100000000001</v>
      </c>
      <c r="E153" s="39">
        <v>14.87</v>
      </c>
      <c r="F153" s="39">
        <f t="shared" si="17"/>
        <v>-7326.6000000000095</v>
      </c>
      <c r="G153" s="39">
        <f t="shared" si="18"/>
        <v>96546.6</v>
      </c>
      <c r="H153" s="222">
        <f t="shared" si="19"/>
        <v>-7.5886670271143777E-2</v>
      </c>
      <c r="I153" s="193" t="s">
        <v>765</v>
      </c>
      <c r="J153" s="39"/>
      <c r="K153" s="39">
        <v>7289</v>
      </c>
      <c r="L153" s="39"/>
    </row>
    <row r="154" spans="1:12" ht="15" customHeight="1" x14ac:dyDescent="0.25">
      <c r="A154">
        <v>5700</v>
      </c>
      <c r="B154" s="150">
        <v>43042</v>
      </c>
      <c r="C154" s="10">
        <v>5700</v>
      </c>
      <c r="D154" s="233">
        <v>16.117999999999999</v>
      </c>
      <c r="E154" s="39">
        <v>15.58</v>
      </c>
      <c r="F154" s="39">
        <f t="shared" si="17"/>
        <v>-3066.5999999999913</v>
      </c>
      <c r="G154" s="39">
        <f t="shared" si="18"/>
        <v>91872.599999999991</v>
      </c>
      <c r="H154" s="222">
        <f t="shared" si="19"/>
        <v>-3.337883112048632E-2</v>
      </c>
      <c r="I154" s="39"/>
      <c r="J154" s="39"/>
      <c r="K154" s="39">
        <v>11549</v>
      </c>
      <c r="L154" s="39"/>
    </row>
    <row r="155" spans="1:12" x14ac:dyDescent="0.25">
      <c r="A155">
        <v>5600</v>
      </c>
      <c r="B155" s="150">
        <v>43045</v>
      </c>
      <c r="C155" s="10">
        <v>5600</v>
      </c>
      <c r="D155" s="233">
        <v>16.114000000000001</v>
      </c>
      <c r="E155" s="39">
        <v>16.329999999999998</v>
      </c>
      <c r="F155" s="39">
        <f t="shared" si="17"/>
        <v>1209.5999999999863</v>
      </c>
      <c r="G155" s="39">
        <f t="shared" si="18"/>
        <v>90238.400000000009</v>
      </c>
      <c r="H155" s="222">
        <f t="shared" si="19"/>
        <v>1.3404492987464163E-2</v>
      </c>
      <c r="I155" s="39"/>
      <c r="J155" s="39"/>
      <c r="K155" s="39">
        <v>15824</v>
      </c>
      <c r="L155" s="39"/>
    </row>
    <row r="156" spans="1:12" x14ac:dyDescent="0.25">
      <c r="A156">
        <v>5600</v>
      </c>
      <c r="B156" s="150">
        <v>43047</v>
      </c>
      <c r="C156" s="10">
        <v>5700</v>
      </c>
      <c r="D156" s="233">
        <v>16.1084</v>
      </c>
      <c r="E156" s="39">
        <v>15.8</v>
      </c>
      <c r="F156" s="39">
        <f t="shared" si="17"/>
        <v>-1757.8799999999937</v>
      </c>
      <c r="G156" s="39">
        <f t="shared" si="18"/>
        <v>91817.88</v>
      </c>
      <c r="H156" s="222">
        <f t="shared" si="19"/>
        <v>-1.9145290655806842E-2</v>
      </c>
      <c r="I156" s="39"/>
      <c r="J156" s="39"/>
      <c r="K156" s="39">
        <v>12858</v>
      </c>
      <c r="L156" s="39"/>
    </row>
    <row r="157" spans="1:12" x14ac:dyDescent="0.25">
      <c r="A157">
        <v>5600</v>
      </c>
      <c r="B157" s="150">
        <v>43053</v>
      </c>
      <c r="C157" s="425">
        <v>6000</v>
      </c>
      <c r="D157" s="642">
        <v>16.059999999999999</v>
      </c>
      <c r="E157" s="39">
        <v>14.84</v>
      </c>
      <c r="F157" s="39">
        <f t="shared" si="17"/>
        <v>-7319.9999999999927</v>
      </c>
      <c r="G157" s="39">
        <f t="shared" si="18"/>
        <v>96359.999999999985</v>
      </c>
      <c r="H157" s="222">
        <f t="shared" si="19"/>
        <v>-7.5965130759651237E-2</v>
      </c>
      <c r="I157" s="39">
        <v>15.75</v>
      </c>
      <c r="J157" s="39">
        <v>52.87</v>
      </c>
      <c r="K157" s="39">
        <v>7308</v>
      </c>
      <c r="L157" s="39"/>
    </row>
    <row r="158" spans="1:12" x14ac:dyDescent="0.25">
      <c r="A158">
        <v>5600</v>
      </c>
      <c r="B158" s="150">
        <v>43060</v>
      </c>
      <c r="C158" s="10">
        <v>6400</v>
      </c>
      <c r="D158" s="233">
        <v>15.96</v>
      </c>
      <c r="E158" s="39">
        <v>14.52</v>
      </c>
      <c r="F158" s="39">
        <f t="shared" si="17"/>
        <v>-9216.0000000000073</v>
      </c>
      <c r="G158" s="39">
        <f t="shared" si="18"/>
        <v>102144</v>
      </c>
      <c r="H158" s="222">
        <f t="shared" si="19"/>
        <v>-9.0225563909774514E-2</v>
      </c>
      <c r="I158" s="39"/>
      <c r="J158" s="39"/>
      <c r="K158" s="39">
        <v>5398</v>
      </c>
      <c r="L158" s="39"/>
    </row>
    <row r="159" spans="1:12" x14ac:dyDescent="0.25">
      <c r="B159" s="150">
        <v>43068</v>
      </c>
      <c r="C159" s="10">
        <v>6000</v>
      </c>
      <c r="D159" s="233">
        <v>16.010999999999999</v>
      </c>
      <c r="E159" s="39">
        <v>14.78</v>
      </c>
      <c r="F159" s="39">
        <f t="shared" si="17"/>
        <v>-7385.9999999999991</v>
      </c>
      <c r="G159" s="39">
        <f t="shared" si="18"/>
        <v>96066</v>
      </c>
      <c r="H159" s="222">
        <f t="shared" si="19"/>
        <v>-7.6884641808756482E-2</v>
      </c>
      <c r="I159" s="39"/>
      <c r="J159" s="39"/>
      <c r="K159" s="39"/>
      <c r="L159" s="39"/>
    </row>
    <row r="160" spans="1:12" x14ac:dyDescent="0.25">
      <c r="B160" s="150">
        <v>43069</v>
      </c>
      <c r="C160" s="10">
        <v>6100</v>
      </c>
      <c r="D160" s="233">
        <v>15.989000000000001</v>
      </c>
      <c r="E160" s="39">
        <v>14.69</v>
      </c>
      <c r="F160" s="39">
        <f t="shared" si="17"/>
        <v>-7923.9000000000078</v>
      </c>
      <c r="G160" s="39">
        <f t="shared" si="18"/>
        <v>97532.900000000009</v>
      </c>
      <c r="H160" s="222">
        <f t="shared" si="19"/>
        <v>-8.1243354806429496E-2</v>
      </c>
      <c r="I160" s="39"/>
      <c r="J160" s="39"/>
      <c r="K160" s="39"/>
      <c r="L160" s="39"/>
    </row>
    <row r="161" spans="1:22" x14ac:dyDescent="0.25">
      <c r="A161">
        <v>5100</v>
      </c>
      <c r="B161" s="150">
        <v>43070</v>
      </c>
      <c r="C161" s="425">
        <v>6000</v>
      </c>
      <c r="D161" s="642">
        <v>16.002800000000001</v>
      </c>
      <c r="E161" s="39">
        <v>15.08</v>
      </c>
      <c r="F161" s="39">
        <f t="shared" si="17"/>
        <v>-5536.8000000000029</v>
      </c>
      <c r="G161" s="39">
        <f t="shared" si="18"/>
        <v>96016.8</v>
      </c>
      <c r="H161" s="222">
        <f t="shared" si="19"/>
        <v>-5.7664908640987854E-2</v>
      </c>
      <c r="I161" s="39"/>
      <c r="J161" s="39"/>
      <c r="K161" s="39">
        <v>9079</v>
      </c>
      <c r="L161" s="39"/>
    </row>
    <row r="162" spans="1:22" x14ac:dyDescent="0.25">
      <c r="A162">
        <v>5200</v>
      </c>
      <c r="B162" s="150">
        <v>43081</v>
      </c>
      <c r="C162" s="425">
        <v>6000</v>
      </c>
      <c r="D162" s="642">
        <v>15.955</v>
      </c>
      <c r="E162" s="39">
        <v>15.18</v>
      </c>
      <c r="F162" s="39">
        <f t="shared" si="17"/>
        <v>-4650.0000000000018</v>
      </c>
      <c r="G162" s="39">
        <f t="shared" si="18"/>
        <v>95730</v>
      </c>
      <c r="H162" s="222">
        <f t="shared" si="19"/>
        <v>-4.8574114697586983E-2</v>
      </c>
      <c r="I162" s="193" t="s">
        <v>772</v>
      </c>
      <c r="J162" s="39">
        <v>56.3</v>
      </c>
      <c r="K162" s="39">
        <v>9964</v>
      </c>
      <c r="L162" s="39"/>
    </row>
    <row r="163" spans="1:22" x14ac:dyDescent="0.25">
      <c r="B163" s="150">
        <v>43087</v>
      </c>
      <c r="C163" s="10">
        <v>5800</v>
      </c>
      <c r="D163" s="233">
        <v>15.977</v>
      </c>
      <c r="E163" s="39">
        <v>15.33</v>
      </c>
      <c r="F163" s="39">
        <f t="shared" si="17"/>
        <v>-3752.6000000000013</v>
      </c>
      <c r="G163" s="39">
        <f t="shared" si="18"/>
        <v>92666.6</v>
      </c>
      <c r="H163" s="222">
        <f t="shared" si="19"/>
        <v>-4.0495712586843605E-2</v>
      </c>
      <c r="I163" s="39"/>
      <c r="J163" s="39"/>
      <c r="K163" s="39">
        <v>10864</v>
      </c>
      <c r="L163" s="39"/>
    </row>
    <row r="164" spans="1:22" x14ac:dyDescent="0.25">
      <c r="A164">
        <v>5200</v>
      </c>
      <c r="B164" s="150">
        <v>43087</v>
      </c>
      <c r="C164" s="10">
        <v>5700</v>
      </c>
      <c r="D164" s="233">
        <v>15.986000000000001</v>
      </c>
      <c r="E164" s="39">
        <v>15.44</v>
      </c>
      <c r="F164" s="39">
        <f t="shared" si="17"/>
        <v>-3112.2000000000066</v>
      </c>
      <c r="G164" s="39">
        <f t="shared" si="18"/>
        <v>91120.2</v>
      </c>
      <c r="H164" s="222">
        <f t="shared" si="19"/>
        <v>-3.4154885524834304E-2</v>
      </c>
      <c r="I164" s="39"/>
      <c r="J164" s="39"/>
      <c r="K164" s="39">
        <v>11502</v>
      </c>
      <c r="L164" s="39"/>
    </row>
    <row r="165" spans="1:22" x14ac:dyDescent="0.25">
      <c r="A165">
        <v>5100</v>
      </c>
      <c r="B165" s="150">
        <v>43088</v>
      </c>
      <c r="C165" s="10">
        <v>5600</v>
      </c>
      <c r="D165" s="233">
        <v>15.986000000000001</v>
      </c>
      <c r="E165" s="39">
        <v>16.02</v>
      </c>
      <c r="F165" s="39">
        <f t="shared" ref="F165:F173" si="20">C165*(E165-D165)</f>
        <v>190.39999999999395</v>
      </c>
      <c r="G165" s="39">
        <f t="shared" ref="G165:G173" si="21">D165*C165</f>
        <v>89521.600000000006</v>
      </c>
      <c r="H165" s="222">
        <f t="shared" ref="H165:H173" si="22">(E165-D165)/D165</f>
        <v>2.1268610033778881E-3</v>
      </c>
      <c r="I165" s="39"/>
      <c r="J165" s="39">
        <v>66</v>
      </c>
      <c r="K165" s="39">
        <v>14803</v>
      </c>
      <c r="L165" s="39"/>
    </row>
    <row r="166" spans="1:22" x14ac:dyDescent="0.25">
      <c r="B166" s="150">
        <v>43089</v>
      </c>
      <c r="C166" s="10">
        <v>5500</v>
      </c>
      <c r="D166" s="233">
        <v>15.981</v>
      </c>
      <c r="E166" s="39">
        <v>16.32</v>
      </c>
      <c r="F166" s="39">
        <f t="shared" si="20"/>
        <v>1864.5000000000023</v>
      </c>
      <c r="G166" s="39">
        <f t="shared" si="21"/>
        <v>87895.5</v>
      </c>
      <c r="H166" s="222">
        <f t="shared" si="22"/>
        <v>2.1212690069457505E-2</v>
      </c>
      <c r="I166" s="39"/>
      <c r="J166" s="39"/>
      <c r="K166" s="39">
        <v>16478</v>
      </c>
      <c r="L166" s="39"/>
    </row>
    <row r="167" spans="1:22" x14ac:dyDescent="0.25">
      <c r="B167" s="150">
        <v>43090</v>
      </c>
      <c r="C167" s="10">
        <v>5000</v>
      </c>
      <c r="D167" s="233">
        <v>15.917999999999999</v>
      </c>
      <c r="E167" s="39">
        <v>16.8</v>
      </c>
      <c r="F167" s="39">
        <f t="shared" si="20"/>
        <v>4410.0000000000073</v>
      </c>
      <c r="G167" s="39">
        <f t="shared" si="21"/>
        <v>79590</v>
      </c>
      <c r="H167" s="222">
        <f t="shared" si="22"/>
        <v>5.5408970976253392E-2</v>
      </c>
      <c r="I167" s="39"/>
      <c r="J167" s="39"/>
      <c r="K167" s="39">
        <v>18624</v>
      </c>
      <c r="L167" s="39"/>
    </row>
    <row r="168" spans="1:22" x14ac:dyDescent="0.25">
      <c r="A168">
        <v>4500</v>
      </c>
      <c r="B168" s="150">
        <v>43090</v>
      </c>
      <c r="C168" s="10">
        <v>4800</v>
      </c>
      <c r="D168" s="233">
        <v>15.877000000000001</v>
      </c>
      <c r="E168" s="39">
        <v>17.05</v>
      </c>
      <c r="F168" s="39">
        <f t="shared" si="20"/>
        <v>5630.4000000000005</v>
      </c>
      <c r="G168" s="39">
        <f t="shared" si="21"/>
        <v>76209.600000000006</v>
      </c>
      <c r="H168" s="222">
        <f t="shared" si="22"/>
        <v>7.3880456005542605E-2</v>
      </c>
      <c r="I168" s="39"/>
      <c r="J168" s="39"/>
      <c r="K168" s="39">
        <v>20244</v>
      </c>
      <c r="L168" s="39"/>
    </row>
    <row r="169" spans="1:22" x14ac:dyDescent="0.25">
      <c r="A169">
        <v>4700</v>
      </c>
      <c r="B169" s="150">
        <v>43096</v>
      </c>
      <c r="C169" s="10">
        <v>4800</v>
      </c>
      <c r="D169" s="233">
        <v>15.877000000000001</v>
      </c>
      <c r="E169" s="39">
        <v>17.010000000000002</v>
      </c>
      <c r="F169" s="39">
        <f t="shared" si="20"/>
        <v>5438.4000000000042</v>
      </c>
      <c r="G169" s="39">
        <f t="shared" si="21"/>
        <v>76209.600000000006</v>
      </c>
      <c r="H169" s="222">
        <f t="shared" si="22"/>
        <v>7.136108836681998E-2</v>
      </c>
      <c r="I169" s="39"/>
      <c r="J169" s="39">
        <v>69.88</v>
      </c>
      <c r="K169" s="39">
        <v>20245</v>
      </c>
      <c r="L169" s="39"/>
      <c r="V169" s="785"/>
    </row>
    <row r="170" spans="1:22" x14ac:dyDescent="0.25">
      <c r="A170">
        <v>4700</v>
      </c>
      <c r="B170" s="150">
        <v>43102</v>
      </c>
      <c r="C170" s="10">
        <v>4700</v>
      </c>
      <c r="D170" s="233">
        <v>15.84563</v>
      </c>
      <c r="E170" s="39">
        <v>17.38</v>
      </c>
      <c r="F170" s="39">
        <f t="shared" si="20"/>
        <v>7211.5389999999961</v>
      </c>
      <c r="G170" s="39">
        <f t="shared" si="21"/>
        <v>74474.460999999996</v>
      </c>
      <c r="H170" s="222">
        <f t="shared" si="22"/>
        <v>9.6832375866406015E-2</v>
      </c>
      <c r="I170" s="39"/>
      <c r="J170" s="39"/>
      <c r="K170" s="39">
        <v>21827</v>
      </c>
      <c r="L170" s="39"/>
      <c r="V170" s="785"/>
    </row>
    <row r="171" spans="1:22" x14ac:dyDescent="0.25">
      <c r="A171">
        <v>4700</v>
      </c>
      <c r="B171" s="150">
        <v>43103</v>
      </c>
      <c r="C171" s="10">
        <v>4700</v>
      </c>
      <c r="D171" s="233">
        <v>15.84563</v>
      </c>
      <c r="E171" s="39">
        <v>17.670000000000002</v>
      </c>
      <c r="F171" s="39">
        <f t="shared" si="20"/>
        <v>8574.5390000000079</v>
      </c>
      <c r="G171" s="39">
        <f t="shared" si="21"/>
        <v>74474.460999999996</v>
      </c>
      <c r="H171" s="222">
        <f t="shared" si="22"/>
        <v>0.11513395175830825</v>
      </c>
      <c r="I171" s="39"/>
      <c r="J171" s="39">
        <v>73</v>
      </c>
      <c r="K171" s="39">
        <v>23190</v>
      </c>
      <c r="L171" s="39"/>
      <c r="V171" s="785"/>
    </row>
    <row r="172" spans="1:22" x14ac:dyDescent="0.25">
      <c r="A172">
        <v>4600</v>
      </c>
      <c r="B172" s="150">
        <v>43104</v>
      </c>
      <c r="C172" s="10">
        <v>4600</v>
      </c>
      <c r="D172" s="233">
        <v>15.8</v>
      </c>
      <c r="E172" s="39">
        <v>18.12</v>
      </c>
      <c r="F172" s="39">
        <f t="shared" si="20"/>
        <v>10672.000000000002</v>
      </c>
      <c r="G172" s="39">
        <f t="shared" si="21"/>
        <v>72680</v>
      </c>
      <c r="H172" s="222">
        <f t="shared" si="22"/>
        <v>0.14683544303797469</v>
      </c>
      <c r="I172" s="39"/>
      <c r="J172" s="39"/>
      <c r="K172" s="39">
        <v>25283</v>
      </c>
      <c r="L172" s="39"/>
      <c r="V172" s="786"/>
    </row>
    <row r="173" spans="1:22" x14ac:dyDescent="0.25">
      <c r="A173">
        <v>4600</v>
      </c>
      <c r="B173" s="150">
        <v>43105</v>
      </c>
      <c r="C173" s="10">
        <v>4600</v>
      </c>
      <c r="D173" s="233">
        <v>15.8</v>
      </c>
      <c r="E173" s="39">
        <v>17.89</v>
      </c>
      <c r="F173" s="39">
        <f t="shared" si="20"/>
        <v>9614</v>
      </c>
      <c r="G173" s="39">
        <f t="shared" si="21"/>
        <v>72680</v>
      </c>
      <c r="H173" s="222">
        <f t="shared" si="22"/>
        <v>0.13227848101265821</v>
      </c>
      <c r="I173" s="39"/>
      <c r="J173" s="39">
        <v>59.81</v>
      </c>
      <c r="K173" s="39">
        <v>24225</v>
      </c>
      <c r="L173" s="39"/>
      <c r="V173" s="786"/>
    </row>
    <row r="174" spans="1:22" x14ac:dyDescent="0.25">
      <c r="A174">
        <v>4600</v>
      </c>
      <c r="B174" s="150">
        <v>43109</v>
      </c>
      <c r="C174" s="10">
        <v>4600</v>
      </c>
      <c r="D174" s="233">
        <v>15.8</v>
      </c>
      <c r="E174" s="39">
        <v>18.05</v>
      </c>
      <c r="F174" s="39">
        <f t="shared" ref="F174:F181" si="23">C174*(E174-D174)</f>
        <v>10350</v>
      </c>
      <c r="G174" s="39">
        <f t="shared" ref="G174:G181" si="24">D174*C174</f>
        <v>72680</v>
      </c>
      <c r="H174" s="222">
        <f t="shared" ref="H174:H181" si="25">(E174-D174)/D174</f>
        <v>0.14240506329113922</v>
      </c>
      <c r="I174" s="39"/>
      <c r="J174" s="39">
        <v>73.349999999999994</v>
      </c>
      <c r="K174" s="39">
        <v>24961</v>
      </c>
      <c r="L174" s="39"/>
      <c r="V174" s="786"/>
    </row>
    <row r="175" spans="1:22" x14ac:dyDescent="0.25">
      <c r="A175">
        <v>4233</v>
      </c>
      <c r="B175" s="150">
        <v>43111</v>
      </c>
      <c r="C175" s="10">
        <v>4233</v>
      </c>
      <c r="D175" s="233">
        <v>15.564</v>
      </c>
      <c r="E175" s="39">
        <v>18.600000000000001</v>
      </c>
      <c r="F175" s="39">
        <f t="shared" si="23"/>
        <v>12851.388000000006</v>
      </c>
      <c r="G175" s="39">
        <f t="shared" si="24"/>
        <v>65882.411999999997</v>
      </c>
      <c r="H175" s="222">
        <f t="shared" si="25"/>
        <v>0.19506553585196615</v>
      </c>
      <c r="I175" s="39"/>
      <c r="J175" s="39"/>
      <c r="K175" s="39">
        <v>27465</v>
      </c>
      <c r="L175" s="39"/>
    </row>
    <row r="176" spans="1:22" x14ac:dyDescent="0.25">
      <c r="A176">
        <v>4100</v>
      </c>
      <c r="B176" s="150">
        <v>43112</v>
      </c>
      <c r="C176" s="10">
        <v>4100</v>
      </c>
      <c r="D176" s="233">
        <v>15.455299999999999</v>
      </c>
      <c r="E176" s="39">
        <v>18.82</v>
      </c>
      <c r="F176" s="39">
        <f t="shared" si="23"/>
        <v>13795.270000000004</v>
      </c>
      <c r="G176" s="39">
        <f t="shared" si="24"/>
        <v>63366.729999999996</v>
      </c>
      <c r="H176" s="222">
        <f t="shared" si="25"/>
        <v>0.21770525321410786</v>
      </c>
      <c r="I176" s="39"/>
      <c r="J176" s="39">
        <v>76.94</v>
      </c>
      <c r="K176" s="39">
        <v>28411</v>
      </c>
      <c r="L176" s="39"/>
    </row>
    <row r="177" spans="1:22" x14ac:dyDescent="0.25">
      <c r="A177">
        <v>4100</v>
      </c>
      <c r="B177" s="150">
        <v>43116</v>
      </c>
      <c r="C177" s="10">
        <v>4300</v>
      </c>
      <c r="D177" s="233">
        <v>15.59</v>
      </c>
      <c r="E177" s="39">
        <v>18.239999999999998</v>
      </c>
      <c r="F177" s="39">
        <f t="shared" si="23"/>
        <v>11394.999999999995</v>
      </c>
      <c r="G177" s="39">
        <f t="shared" si="24"/>
        <v>67037</v>
      </c>
      <c r="H177" s="222">
        <f t="shared" si="25"/>
        <v>0.1699807568954457</v>
      </c>
      <c r="I177" s="39"/>
      <c r="J177" s="39"/>
      <c r="K177" s="39">
        <v>26011</v>
      </c>
      <c r="L177" s="39"/>
      <c r="V177" s="789"/>
    </row>
    <row r="178" spans="1:22" x14ac:dyDescent="0.25">
      <c r="A178">
        <v>4100</v>
      </c>
      <c r="B178" s="150">
        <v>43116</v>
      </c>
      <c r="C178" s="10">
        <v>4500</v>
      </c>
      <c r="D178" s="233">
        <v>15.708</v>
      </c>
      <c r="E178" s="39">
        <v>18.239999999999998</v>
      </c>
      <c r="F178" s="39">
        <f t="shared" si="23"/>
        <v>11393.999999999993</v>
      </c>
      <c r="G178" s="39">
        <f t="shared" si="24"/>
        <v>70686</v>
      </c>
      <c r="H178" s="222">
        <f t="shared" si="25"/>
        <v>0.16119174942704342</v>
      </c>
      <c r="I178" s="39"/>
      <c r="J178" s="39"/>
      <c r="K178" s="39">
        <v>26011</v>
      </c>
      <c r="L178" s="39"/>
      <c r="V178" s="789"/>
    </row>
    <row r="179" spans="1:22" x14ac:dyDescent="0.25">
      <c r="B179" s="150">
        <v>43117</v>
      </c>
      <c r="C179" s="10">
        <v>4100</v>
      </c>
      <c r="D179" s="233">
        <v>15.41</v>
      </c>
      <c r="E179" s="39">
        <v>18.600000000000001</v>
      </c>
      <c r="F179" s="39">
        <f t="shared" si="23"/>
        <v>13079.000000000005</v>
      </c>
      <c r="G179" s="39">
        <f t="shared" si="24"/>
        <v>63181</v>
      </c>
      <c r="H179" s="222">
        <f t="shared" si="25"/>
        <v>0.20700843608046732</v>
      </c>
      <c r="I179" s="39"/>
      <c r="J179" s="39"/>
      <c r="K179" s="39">
        <v>27692</v>
      </c>
      <c r="L179" s="39"/>
      <c r="V179" s="798"/>
    </row>
    <row r="180" spans="1:22" x14ac:dyDescent="0.25">
      <c r="A180">
        <v>3500</v>
      </c>
      <c r="B180" s="150">
        <v>43117</v>
      </c>
      <c r="C180" s="10">
        <v>4000</v>
      </c>
      <c r="D180" s="233">
        <v>15.321</v>
      </c>
      <c r="E180" s="39">
        <v>18.989999999999998</v>
      </c>
      <c r="F180" s="39">
        <f t="shared" si="23"/>
        <v>14675.999999999995</v>
      </c>
      <c r="G180" s="39">
        <f t="shared" si="24"/>
        <v>61284</v>
      </c>
      <c r="H180" s="222">
        <f t="shared" si="25"/>
        <v>0.2394752300763657</v>
      </c>
      <c r="I180" s="39"/>
      <c r="J180" s="39">
        <v>66.36</v>
      </c>
      <c r="K180" s="39">
        <v>29291</v>
      </c>
      <c r="L180" s="39"/>
      <c r="V180" s="798"/>
    </row>
    <row r="181" spans="1:22" x14ac:dyDescent="0.25">
      <c r="A181">
        <v>3300</v>
      </c>
      <c r="B181" s="150">
        <v>43123</v>
      </c>
      <c r="C181" s="7">
        <v>4000</v>
      </c>
      <c r="D181" s="422">
        <v>15.303000000000001</v>
      </c>
      <c r="E181" s="39">
        <v>19.22</v>
      </c>
      <c r="F181" s="39">
        <f t="shared" si="23"/>
        <v>15667.999999999993</v>
      </c>
      <c r="G181" s="39">
        <f t="shared" si="24"/>
        <v>61212</v>
      </c>
      <c r="H181" s="222">
        <f t="shared" si="25"/>
        <v>0.25596288309481785</v>
      </c>
      <c r="I181" s="39"/>
      <c r="J181" s="39">
        <v>70.61</v>
      </c>
      <c r="K181" s="39">
        <v>30285</v>
      </c>
      <c r="L181" s="39"/>
      <c r="V181" s="800"/>
    </row>
    <row r="182" spans="1:22" x14ac:dyDescent="0.25">
      <c r="A182">
        <v>3300</v>
      </c>
      <c r="B182" s="150">
        <v>43125</v>
      </c>
      <c r="C182" s="10">
        <v>4100</v>
      </c>
      <c r="D182" s="233">
        <v>15.39</v>
      </c>
      <c r="E182" s="39">
        <v>18.68</v>
      </c>
      <c r="F182" s="39">
        <f>C182*(E182-D182)</f>
        <v>13488.999999999996</v>
      </c>
      <c r="G182" s="39">
        <f>D182*C182</f>
        <v>63099</v>
      </c>
      <c r="H182" s="222">
        <f>(E182-D182)/D182</f>
        <v>0.21377517868745932</v>
      </c>
      <c r="I182" s="39"/>
      <c r="J182" s="39"/>
      <c r="K182" s="39">
        <v>28105</v>
      </c>
      <c r="L182" s="39"/>
      <c r="V182" s="800"/>
    </row>
    <row r="183" spans="1:22" x14ac:dyDescent="0.25">
      <c r="A183">
        <v>3300</v>
      </c>
      <c r="B183" s="150">
        <v>43126</v>
      </c>
      <c r="C183" s="10">
        <v>4100</v>
      </c>
      <c r="D183" s="233">
        <v>15.39</v>
      </c>
      <c r="E183" s="39">
        <v>18.84</v>
      </c>
      <c r="F183" s="39">
        <f t="shared" ref="F183:F196" si="26">C183*(E183-D183)</f>
        <v>14144.999999999996</v>
      </c>
      <c r="G183" s="39">
        <f t="shared" ref="G183:G196" si="27">D183*C183</f>
        <v>63099</v>
      </c>
      <c r="H183" s="222">
        <f t="shared" ref="H183:H196" si="28">(E183-D183)/D183</f>
        <v>0.22417153996101358</v>
      </c>
      <c r="I183" s="39"/>
      <c r="J183" s="39">
        <v>62.61</v>
      </c>
      <c r="K183" s="39">
        <v>28106</v>
      </c>
      <c r="L183" s="39"/>
      <c r="O183" s="2"/>
      <c r="V183" s="800"/>
    </row>
    <row r="184" spans="1:22" x14ac:dyDescent="0.25">
      <c r="A184">
        <v>3300</v>
      </c>
      <c r="B184" s="150">
        <v>43130</v>
      </c>
      <c r="C184" s="10">
        <v>4800</v>
      </c>
      <c r="D184" s="233">
        <v>15.803000000000001</v>
      </c>
      <c r="E184" s="39">
        <v>18.059999999999999</v>
      </c>
      <c r="F184" s="39">
        <f t="shared" si="26"/>
        <v>10833.599999999989</v>
      </c>
      <c r="G184" s="39">
        <f t="shared" si="27"/>
        <v>75854.400000000009</v>
      </c>
      <c r="H184" s="222">
        <f t="shared" si="28"/>
        <v>0.14282098335759019</v>
      </c>
      <c r="I184" s="39"/>
      <c r="J184" s="39"/>
      <c r="K184" s="39">
        <v>25451</v>
      </c>
      <c r="L184" s="39"/>
      <c r="V184" s="789"/>
    </row>
    <row r="185" spans="1:22" x14ac:dyDescent="0.25">
      <c r="A185">
        <v>3300</v>
      </c>
      <c r="B185" s="150">
        <v>43133</v>
      </c>
      <c r="C185" s="10">
        <v>5000</v>
      </c>
      <c r="D185" s="233">
        <v>15.874000000000001</v>
      </c>
      <c r="E185" s="39">
        <v>17.52</v>
      </c>
      <c r="F185" s="39">
        <f t="shared" si="26"/>
        <v>8229.9999999999945</v>
      </c>
      <c r="G185" s="39">
        <f t="shared" si="27"/>
        <v>79370</v>
      </c>
      <c r="H185" s="222">
        <f t="shared" si="28"/>
        <v>0.10369157112259034</v>
      </c>
      <c r="I185" s="39"/>
      <c r="J185" s="39"/>
      <c r="K185" s="39">
        <v>22847</v>
      </c>
      <c r="L185" s="39"/>
    </row>
    <row r="186" spans="1:22" x14ac:dyDescent="0.25">
      <c r="A186">
        <v>3300</v>
      </c>
      <c r="B186" s="150">
        <v>43139</v>
      </c>
      <c r="C186" s="10">
        <v>5500</v>
      </c>
      <c r="D186" s="233">
        <v>15.87</v>
      </c>
      <c r="E186" s="39">
        <v>15.68</v>
      </c>
      <c r="F186" s="39">
        <f t="shared" si="26"/>
        <v>-1044.9999999999973</v>
      </c>
      <c r="G186" s="39">
        <f t="shared" si="27"/>
        <v>87285</v>
      </c>
      <c r="H186" s="222">
        <f t="shared" si="28"/>
        <v>-1.1972274732199088E-2</v>
      </c>
      <c r="I186" s="39"/>
      <c r="J186" s="39">
        <v>32.950000000000003</v>
      </c>
      <c r="K186" s="39">
        <v>13547</v>
      </c>
      <c r="L186" s="39">
        <v>60.44</v>
      </c>
    </row>
    <row r="187" spans="1:22" x14ac:dyDescent="0.25">
      <c r="B187" s="150">
        <v>43140</v>
      </c>
      <c r="C187" s="10">
        <v>6000</v>
      </c>
      <c r="D187" s="233">
        <v>15.8246</v>
      </c>
      <c r="E187" s="39">
        <v>15.51</v>
      </c>
      <c r="F187" s="39">
        <f t="shared" si="26"/>
        <v>-1887.6000000000026</v>
      </c>
      <c r="G187" s="39">
        <f t="shared" si="27"/>
        <v>94947.6</v>
      </c>
      <c r="H187" s="222">
        <f t="shared" si="28"/>
        <v>-1.9880439316001697E-2</v>
      </c>
      <c r="I187" s="39"/>
      <c r="J187" s="39"/>
      <c r="K187" s="39"/>
      <c r="L187" s="39"/>
    </row>
    <row r="188" spans="1:22" x14ac:dyDescent="0.25">
      <c r="B188" s="150">
        <v>43140</v>
      </c>
      <c r="C188" s="10">
        <v>5500</v>
      </c>
      <c r="D188" s="233">
        <v>15.85</v>
      </c>
      <c r="E188" s="39">
        <v>15.51</v>
      </c>
      <c r="F188" s="39">
        <f t="shared" si="26"/>
        <v>-1869.9999999999993</v>
      </c>
      <c r="G188" s="39">
        <f t="shared" si="27"/>
        <v>87175</v>
      </c>
      <c r="H188" s="222">
        <f t="shared" si="28"/>
        <v>-2.1451104100946364E-2</v>
      </c>
      <c r="I188" s="39"/>
      <c r="J188" s="39"/>
      <c r="K188" s="39"/>
      <c r="L188" s="39"/>
    </row>
    <row r="189" spans="1:22" x14ac:dyDescent="0.25">
      <c r="B189" s="150">
        <v>43140</v>
      </c>
      <c r="C189" s="425">
        <v>6000</v>
      </c>
      <c r="D189" s="642">
        <v>15.795999999999999</v>
      </c>
      <c r="E189" s="39">
        <v>15.51</v>
      </c>
      <c r="F189" s="39">
        <f t="shared" si="26"/>
        <v>-1715.9999999999975</v>
      </c>
      <c r="G189" s="39">
        <f t="shared" si="27"/>
        <v>94776</v>
      </c>
      <c r="H189" s="222">
        <f t="shared" si="28"/>
        <v>-1.8105849582172675E-2</v>
      </c>
      <c r="I189" s="39">
        <v>15.75</v>
      </c>
      <c r="J189" s="39"/>
      <c r="K189" s="39"/>
      <c r="L189" s="39"/>
    </row>
    <row r="190" spans="1:22" x14ac:dyDescent="0.25">
      <c r="A190">
        <v>2300</v>
      </c>
      <c r="B190" s="150">
        <v>43140</v>
      </c>
      <c r="C190" s="10">
        <v>5500</v>
      </c>
      <c r="D190" s="233">
        <v>15.824999999999999</v>
      </c>
      <c r="E190" s="39">
        <v>15.51</v>
      </c>
      <c r="F190" s="39">
        <f t="shared" si="26"/>
        <v>-1732.4999999999973</v>
      </c>
      <c r="G190" s="39">
        <f t="shared" si="27"/>
        <v>87037.5</v>
      </c>
      <c r="H190" s="222">
        <f t="shared" si="28"/>
        <v>-1.990521327014215E-2</v>
      </c>
      <c r="I190" s="39"/>
      <c r="J190" s="39"/>
      <c r="K190" s="39">
        <v>12882</v>
      </c>
      <c r="L190" s="39">
        <v>59.18</v>
      </c>
    </row>
    <row r="191" spans="1:22" x14ac:dyDescent="0.25">
      <c r="A191">
        <v>1800</v>
      </c>
      <c r="B191" s="150">
        <v>43143</v>
      </c>
      <c r="C191" s="10">
        <v>5000</v>
      </c>
      <c r="D191" s="233">
        <v>15.77</v>
      </c>
      <c r="E191" s="39">
        <v>16.27</v>
      </c>
      <c r="F191" s="39">
        <f t="shared" si="26"/>
        <v>2500</v>
      </c>
      <c r="G191" s="39">
        <f t="shared" si="27"/>
        <v>78850</v>
      </c>
      <c r="H191" s="222">
        <f t="shared" si="28"/>
        <v>3.1705770450221944E-2</v>
      </c>
      <c r="I191" s="39"/>
      <c r="J191" s="39"/>
      <c r="K191" s="39">
        <v>17117</v>
      </c>
      <c r="L191" s="39"/>
    </row>
    <row r="192" spans="1:22" x14ac:dyDescent="0.25">
      <c r="A192">
        <v>800</v>
      </c>
      <c r="B192" s="150">
        <v>43146</v>
      </c>
      <c r="C192" s="10">
        <v>5000</v>
      </c>
      <c r="D192" s="233">
        <v>15.682</v>
      </c>
      <c r="E192" s="39">
        <v>16.32</v>
      </c>
      <c r="F192" s="39">
        <f t="shared" si="26"/>
        <v>3189.9999999999995</v>
      </c>
      <c r="G192" s="39">
        <f t="shared" si="27"/>
        <v>78410</v>
      </c>
      <c r="H192" s="222">
        <f t="shared" si="28"/>
        <v>4.0683586277260549E-2</v>
      </c>
      <c r="I192" s="39"/>
      <c r="J192" s="39"/>
      <c r="K192" s="39">
        <v>17807</v>
      </c>
      <c r="L192" s="39"/>
    </row>
    <row r="193" spans="1:12" x14ac:dyDescent="0.25">
      <c r="A193">
        <v>1200</v>
      </c>
      <c r="B193" s="150">
        <v>43147</v>
      </c>
      <c r="C193" s="10">
        <v>5500</v>
      </c>
      <c r="D193" s="233">
        <v>15.688000000000001</v>
      </c>
      <c r="E193" s="39">
        <v>15.69</v>
      </c>
      <c r="F193" s="39">
        <f t="shared" si="26"/>
        <v>10.999999999993904</v>
      </c>
      <c r="G193" s="39">
        <f t="shared" si="27"/>
        <v>86284</v>
      </c>
      <c r="H193" s="222">
        <f t="shared" si="28"/>
        <v>1.2748597654250966E-4</v>
      </c>
      <c r="I193" s="39"/>
      <c r="J193" s="39"/>
      <c r="K193" s="39">
        <v>14407</v>
      </c>
      <c r="L193" s="39"/>
    </row>
    <row r="194" spans="1:12" x14ac:dyDescent="0.25">
      <c r="A194">
        <v>800</v>
      </c>
      <c r="B194" s="150">
        <v>43151</v>
      </c>
      <c r="C194" s="10">
        <v>5000</v>
      </c>
      <c r="D194" s="233">
        <v>15.6388</v>
      </c>
      <c r="E194" s="39">
        <v>16.18</v>
      </c>
      <c r="F194" s="39">
        <f t="shared" si="26"/>
        <v>2705.9999999999995</v>
      </c>
      <c r="G194" s="39">
        <f t="shared" si="27"/>
        <v>78194</v>
      </c>
      <c r="H194" s="222">
        <f t="shared" si="28"/>
        <v>3.4606235772565663E-2</v>
      </c>
      <c r="I194" s="39"/>
      <c r="J194" s="39"/>
      <c r="K194" s="39">
        <v>17321</v>
      </c>
      <c r="L194" s="39"/>
    </row>
    <row r="195" spans="1:12" x14ac:dyDescent="0.25">
      <c r="A195">
        <v>800</v>
      </c>
      <c r="B195" s="150">
        <v>43151</v>
      </c>
      <c r="C195" s="10">
        <v>5500</v>
      </c>
      <c r="D195" s="233">
        <v>15.654999999999999</v>
      </c>
      <c r="E195" s="39">
        <v>15.8</v>
      </c>
      <c r="F195" s="39">
        <f t="shared" si="26"/>
        <v>797.50000000000739</v>
      </c>
      <c r="G195" s="39">
        <f t="shared" si="27"/>
        <v>86102.5</v>
      </c>
      <c r="H195" s="222">
        <f t="shared" si="28"/>
        <v>9.2622165442351554E-3</v>
      </c>
      <c r="I195" s="39"/>
      <c r="J195" s="39"/>
      <c r="K195" s="39">
        <v>15521</v>
      </c>
      <c r="L195" s="39"/>
    </row>
    <row r="196" spans="1:12" x14ac:dyDescent="0.25">
      <c r="A196">
        <v>800</v>
      </c>
      <c r="B196" s="150">
        <v>43152</v>
      </c>
      <c r="C196" s="425">
        <v>6000</v>
      </c>
      <c r="D196" s="642">
        <v>15.637</v>
      </c>
      <c r="E196" s="39">
        <v>15.3</v>
      </c>
      <c r="F196" s="39">
        <f t="shared" si="26"/>
        <v>-2021.9999999999984</v>
      </c>
      <c r="G196" s="39">
        <f t="shared" si="27"/>
        <v>93822</v>
      </c>
      <c r="H196" s="222">
        <f t="shared" si="28"/>
        <v>-2.1551448487561537E-2</v>
      </c>
      <c r="I196" s="193" t="s">
        <v>942</v>
      </c>
      <c r="J196" s="39"/>
      <c r="K196" s="39">
        <v>12591</v>
      </c>
      <c r="L196" s="39"/>
    </row>
    <row r="197" spans="1:12" ht="15" customHeight="1" x14ac:dyDescent="0.25">
      <c r="A197">
        <v>1100</v>
      </c>
      <c r="B197" s="150">
        <v>43156</v>
      </c>
      <c r="C197" s="10">
        <v>6000</v>
      </c>
      <c r="D197" s="233">
        <v>15.637</v>
      </c>
      <c r="E197" s="39">
        <v>15.54</v>
      </c>
      <c r="F197" s="39">
        <f>C197*(E197-D197)</f>
        <v>-582.00000000000784</v>
      </c>
      <c r="G197" s="39">
        <f>D197*C197</f>
        <v>93822</v>
      </c>
      <c r="H197" s="222">
        <f>(E197-D197)/D197</f>
        <v>-6.2032359148175035E-3</v>
      </c>
      <c r="I197" s="193"/>
      <c r="J197" s="39"/>
      <c r="K197" s="39">
        <v>14031</v>
      </c>
      <c r="L197" s="39">
        <v>63.55</v>
      </c>
    </row>
    <row r="198" spans="1:12" x14ac:dyDescent="0.25">
      <c r="A198">
        <v>1100</v>
      </c>
      <c r="B198" s="150">
        <v>43159</v>
      </c>
      <c r="C198" s="10">
        <v>6400</v>
      </c>
      <c r="D198" s="233">
        <v>15.582000000000001</v>
      </c>
      <c r="E198" s="39">
        <v>14.52</v>
      </c>
      <c r="F198" s="39">
        <f>C198*(E198-D198)</f>
        <v>-6796.8000000000075</v>
      </c>
      <c r="G198" s="39">
        <f>D198*C198</f>
        <v>99724.800000000003</v>
      </c>
      <c r="H198" s="222">
        <f>(E198-D198)/D198</f>
        <v>-6.8155564112437506E-2</v>
      </c>
      <c r="I198" s="39">
        <v>15.5</v>
      </c>
      <c r="J198" s="39"/>
      <c r="K198" s="39">
        <v>7819</v>
      </c>
      <c r="L198" s="39"/>
    </row>
    <row r="199" spans="1:12" x14ac:dyDescent="0.25">
      <c r="A199">
        <v>2000</v>
      </c>
      <c r="B199" s="150">
        <v>43165</v>
      </c>
      <c r="C199" s="10">
        <v>6400</v>
      </c>
      <c r="D199" s="233">
        <v>15.582000000000001</v>
      </c>
      <c r="E199" s="39">
        <v>15.03</v>
      </c>
      <c r="F199" s="39">
        <f>C199*(E199-D199)</f>
        <v>-3532.8000000000088</v>
      </c>
      <c r="G199" s="39">
        <f>D199*C199</f>
        <v>99724.800000000003</v>
      </c>
      <c r="H199" s="222">
        <f>(E199-D199)/D199</f>
        <v>-3.542549095109751E-2</v>
      </c>
      <c r="I199" s="39"/>
      <c r="J199" s="39"/>
      <c r="K199" s="39">
        <v>11083</v>
      </c>
      <c r="L199" s="39"/>
    </row>
    <row r="200" spans="1:12" x14ac:dyDescent="0.25">
      <c r="A200">
        <v>2000</v>
      </c>
      <c r="B200" s="150">
        <v>43168</v>
      </c>
      <c r="C200" s="10">
        <v>6400</v>
      </c>
      <c r="D200" s="233">
        <v>15.582000000000001</v>
      </c>
      <c r="E200" s="39">
        <v>15.22</v>
      </c>
      <c r="F200" s="39">
        <f t="shared" ref="F200:F206" si="29">C200*(E200-D200)</f>
        <v>-2316.8000000000006</v>
      </c>
      <c r="G200" s="39">
        <f t="shared" ref="G200:G206" si="30">D200*C200</f>
        <v>99724.800000000003</v>
      </c>
      <c r="H200" s="222">
        <f t="shared" ref="H200:H206" si="31">(E200-D200)/D200</f>
        <v>-2.3231934283147227E-2</v>
      </c>
      <c r="I200" s="39"/>
      <c r="J200" s="39"/>
      <c r="K200" s="39">
        <v>12299</v>
      </c>
      <c r="L200" s="39"/>
    </row>
    <row r="201" spans="1:12" x14ac:dyDescent="0.25">
      <c r="A201">
        <v>3500</v>
      </c>
      <c r="B201" s="150">
        <v>43172</v>
      </c>
      <c r="C201" s="10">
        <v>6400</v>
      </c>
      <c r="D201" s="233">
        <v>15.54</v>
      </c>
      <c r="E201" s="39">
        <v>14.82</v>
      </c>
      <c r="F201" s="39">
        <f t="shared" si="29"/>
        <v>-4607.9999999999927</v>
      </c>
      <c r="G201" s="39">
        <f t="shared" si="30"/>
        <v>99456</v>
      </c>
      <c r="H201" s="222">
        <f t="shared" si="31"/>
        <v>-4.633204633204626E-2</v>
      </c>
      <c r="I201" s="39"/>
      <c r="J201" s="39"/>
      <c r="K201" s="39">
        <v>10013</v>
      </c>
      <c r="L201" s="39" t="s">
        <v>185</v>
      </c>
    </row>
    <row r="202" spans="1:12" x14ac:dyDescent="0.25">
      <c r="A202">
        <v>3600</v>
      </c>
      <c r="B202" s="150">
        <v>43180</v>
      </c>
      <c r="C202" s="810">
        <v>5000</v>
      </c>
      <c r="D202" s="811">
        <v>15.416</v>
      </c>
      <c r="E202" s="39">
        <v>15.98</v>
      </c>
      <c r="F202" s="39">
        <f t="shared" si="29"/>
        <v>2820.0000000000005</v>
      </c>
      <c r="G202" s="39">
        <f t="shared" si="30"/>
        <v>77080</v>
      </c>
      <c r="H202" s="222">
        <f t="shared" si="31"/>
        <v>3.6585365853658541E-2</v>
      </c>
      <c r="I202" s="39"/>
      <c r="J202" s="39"/>
      <c r="K202" s="39">
        <v>17438</v>
      </c>
      <c r="L202" s="39"/>
    </row>
    <row r="203" spans="1:12" x14ac:dyDescent="0.25">
      <c r="A203">
        <v>3400</v>
      </c>
      <c r="B203" s="150">
        <v>43180</v>
      </c>
      <c r="C203" s="10">
        <v>4800</v>
      </c>
      <c r="D203" s="233">
        <v>15.375</v>
      </c>
      <c r="E203" s="39">
        <v>16.38</v>
      </c>
      <c r="F203" s="39">
        <f t="shared" si="29"/>
        <v>4823.9999999999955</v>
      </c>
      <c r="G203" s="39">
        <f t="shared" si="30"/>
        <v>73800</v>
      </c>
      <c r="H203" s="222">
        <f t="shared" si="31"/>
        <v>6.5365853658536519E-2</v>
      </c>
      <c r="I203" s="39"/>
      <c r="J203" s="39"/>
      <c r="K203" s="39">
        <v>19438</v>
      </c>
      <c r="L203" s="39"/>
    </row>
    <row r="204" spans="1:12" x14ac:dyDescent="0.25">
      <c r="B204" s="150">
        <v>43181</v>
      </c>
      <c r="C204" s="10">
        <v>5200</v>
      </c>
      <c r="D204" s="233">
        <v>15.416</v>
      </c>
      <c r="E204" s="39">
        <v>15.9</v>
      </c>
      <c r="F204" s="39">
        <f t="shared" si="29"/>
        <v>2516.7999999999997</v>
      </c>
      <c r="G204" s="39">
        <f t="shared" si="30"/>
        <v>80163.199999999997</v>
      </c>
      <c r="H204" s="222">
        <f t="shared" si="31"/>
        <v>3.1395952257394916E-2</v>
      </c>
      <c r="I204" s="39"/>
      <c r="J204" s="39"/>
      <c r="K204" s="39"/>
      <c r="L204" s="39"/>
    </row>
    <row r="205" spans="1:12" x14ac:dyDescent="0.25">
      <c r="A205">
        <v>3000</v>
      </c>
      <c r="B205" s="150">
        <v>43181</v>
      </c>
      <c r="C205" s="10">
        <v>4800</v>
      </c>
      <c r="D205" s="233">
        <v>15.3645</v>
      </c>
      <c r="E205" s="39">
        <v>16.02</v>
      </c>
      <c r="F205" s="39">
        <f t="shared" si="29"/>
        <v>3146.3999999999996</v>
      </c>
      <c r="G205" s="39">
        <f t="shared" si="30"/>
        <v>73749.599999999991</v>
      </c>
      <c r="H205" s="222">
        <f t="shared" si="31"/>
        <v>4.2663282241530799E-2</v>
      </c>
      <c r="I205" s="39"/>
      <c r="J205" s="39"/>
      <c r="K205" s="39"/>
      <c r="L205" s="39"/>
    </row>
    <row r="206" spans="1:12" x14ac:dyDescent="0.25">
      <c r="A206">
        <v>3500</v>
      </c>
      <c r="B206" s="150">
        <v>43182</v>
      </c>
      <c r="C206" s="10">
        <v>5000</v>
      </c>
      <c r="D206" s="233">
        <v>15.378</v>
      </c>
      <c r="E206" s="39">
        <v>15.76</v>
      </c>
      <c r="F206" s="39">
        <f t="shared" si="29"/>
        <v>1909.9999999999984</v>
      </c>
      <c r="G206" s="39">
        <f t="shared" si="30"/>
        <v>76890</v>
      </c>
      <c r="H206" s="222">
        <f t="shared" si="31"/>
        <v>2.4840681493041986E-2</v>
      </c>
      <c r="I206" s="39"/>
      <c r="J206" s="39"/>
      <c r="K206" s="39">
        <v>16525</v>
      </c>
      <c r="L206" s="39"/>
    </row>
    <row r="207" spans="1:12" x14ac:dyDescent="0.25">
      <c r="A207">
        <v>4000</v>
      </c>
      <c r="B207" s="150">
        <v>43185</v>
      </c>
      <c r="C207" s="10">
        <v>5000</v>
      </c>
      <c r="D207" s="233">
        <v>15.378</v>
      </c>
      <c r="E207" s="39">
        <v>16.27</v>
      </c>
      <c r="F207" s="39">
        <f>C207*(E207-D207)</f>
        <v>4459.9999999999973</v>
      </c>
      <c r="G207" s="39">
        <f>D207*C207</f>
        <v>76890</v>
      </c>
      <c r="H207" s="222">
        <f>(E207-D207)/D207</f>
        <v>5.8004942125113763E-2</v>
      </c>
      <c r="I207" s="39"/>
      <c r="J207" s="39"/>
      <c r="K207" s="39">
        <v>19075</v>
      </c>
      <c r="L207" s="39"/>
    </row>
    <row r="208" spans="1:12" x14ac:dyDescent="0.25">
      <c r="A208">
        <v>4000</v>
      </c>
      <c r="B208" s="150">
        <v>43186</v>
      </c>
      <c r="C208" s="810">
        <v>5000</v>
      </c>
      <c r="D208" s="811">
        <v>15.378</v>
      </c>
      <c r="E208" s="39">
        <v>15.82</v>
      </c>
      <c r="F208" s="39">
        <f>C208*(E208-D208)</f>
        <v>2210.0000000000009</v>
      </c>
      <c r="G208" s="39">
        <f>D208*C208</f>
        <v>76890</v>
      </c>
      <c r="H208" s="222">
        <f>(E208-D208)/D208</f>
        <v>2.8742359214462231E-2</v>
      </c>
      <c r="I208" s="39"/>
      <c r="J208" s="39"/>
      <c r="K208" s="39">
        <v>16825</v>
      </c>
      <c r="L208" s="39"/>
    </row>
    <row r="209" spans="1:16" x14ac:dyDescent="0.25">
      <c r="A209">
        <v>4000</v>
      </c>
      <c r="B209" s="150">
        <v>43187</v>
      </c>
      <c r="C209" s="10">
        <v>5200</v>
      </c>
      <c r="D209" s="233">
        <v>15.38</v>
      </c>
      <c r="E209" s="39">
        <v>15.32</v>
      </c>
      <c r="F209" s="39">
        <f>C209*(E209-D209)</f>
        <v>-312.00000000000261</v>
      </c>
      <c r="G209" s="39">
        <f>D209*C209</f>
        <v>79976</v>
      </c>
      <c r="H209" s="222">
        <f>(E209-D209)/D209</f>
        <v>-3.9011703511053638E-3</v>
      </c>
      <c r="I209" s="39"/>
      <c r="J209" s="39"/>
      <c r="K209" s="39">
        <v>14299</v>
      </c>
      <c r="L209" s="39"/>
    </row>
    <row r="210" spans="1:16" x14ac:dyDescent="0.25">
      <c r="A210">
        <v>3800</v>
      </c>
      <c r="B210" s="150">
        <v>43188</v>
      </c>
      <c r="C210" s="10">
        <v>5000</v>
      </c>
      <c r="D210" s="233">
        <v>15.358000000000001</v>
      </c>
      <c r="E210" s="39">
        <v>16.13</v>
      </c>
      <c r="F210" s="39">
        <f t="shared" ref="F210:F215" si="32">C210*(E210-D210)</f>
        <v>3859.9999999999923</v>
      </c>
      <c r="G210" s="39">
        <f t="shared" ref="G210:G215" si="33">D210*C210</f>
        <v>76790</v>
      </c>
      <c r="H210" s="222">
        <f t="shared" ref="H210:H215" si="34">(E210-D210)/D210</f>
        <v>5.0266961843990002E-2</v>
      </c>
      <c r="I210" s="39"/>
      <c r="J210" s="39"/>
      <c r="K210" s="39">
        <v>18478</v>
      </c>
      <c r="L210" s="39"/>
    </row>
    <row r="211" spans="1:16" x14ac:dyDescent="0.25">
      <c r="A211">
        <v>3600</v>
      </c>
      <c r="B211" s="150">
        <v>43188</v>
      </c>
      <c r="C211" s="10">
        <v>4800</v>
      </c>
      <c r="D211" s="233">
        <v>15.324999999999999</v>
      </c>
      <c r="E211" s="39">
        <v>16.13</v>
      </c>
      <c r="F211" s="39">
        <f t="shared" si="32"/>
        <v>3863.9999999999986</v>
      </c>
      <c r="G211" s="39">
        <f t="shared" si="33"/>
        <v>73560</v>
      </c>
      <c r="H211" s="222">
        <f t="shared" si="34"/>
        <v>5.2528548123980411E-2</v>
      </c>
      <c r="I211" s="39"/>
      <c r="J211" s="39"/>
      <c r="K211" s="39">
        <v>18477</v>
      </c>
      <c r="L211" s="39"/>
    </row>
    <row r="212" spans="1:16" x14ac:dyDescent="0.25">
      <c r="B212" s="150">
        <v>43192</v>
      </c>
      <c r="C212" s="810">
        <v>5000</v>
      </c>
      <c r="D212" s="811">
        <v>15.34</v>
      </c>
      <c r="E212" s="39">
        <v>15.57</v>
      </c>
      <c r="F212" s="39">
        <f t="shared" si="32"/>
        <v>1150.000000000002</v>
      </c>
      <c r="G212" s="39">
        <f t="shared" si="33"/>
        <v>76700</v>
      </c>
      <c r="H212" s="222">
        <f t="shared" si="34"/>
        <v>1.4993481095176038E-2</v>
      </c>
      <c r="I212" s="39"/>
      <c r="J212" s="39"/>
      <c r="K212" s="39">
        <v>15767</v>
      </c>
      <c r="L212" s="39"/>
    </row>
    <row r="213" spans="1:16" x14ac:dyDescent="0.25">
      <c r="A213">
        <v>4000</v>
      </c>
      <c r="B213" s="150">
        <v>43192</v>
      </c>
      <c r="C213" s="10">
        <v>5200</v>
      </c>
      <c r="D213" s="233">
        <v>15.336</v>
      </c>
      <c r="E213" s="39">
        <v>15.57</v>
      </c>
      <c r="F213" s="39">
        <f t="shared" si="32"/>
        <v>1216.8</v>
      </c>
      <c r="G213" s="39">
        <f t="shared" si="33"/>
        <v>79747.199999999997</v>
      </c>
      <c r="H213" s="222">
        <f t="shared" si="34"/>
        <v>1.5258215962441313E-2</v>
      </c>
      <c r="I213" s="39"/>
      <c r="J213" s="39"/>
      <c r="K213" s="39">
        <v>15831</v>
      </c>
      <c r="L213" s="39"/>
      <c r="N213" s="70"/>
    </row>
    <row r="214" spans="1:16" x14ac:dyDescent="0.25">
      <c r="A214">
        <v>3600</v>
      </c>
      <c r="B214" s="150">
        <v>43193</v>
      </c>
      <c r="C214" s="10">
        <v>4800</v>
      </c>
      <c r="D214" s="233">
        <v>15.29</v>
      </c>
      <c r="E214" s="39">
        <v>16</v>
      </c>
      <c r="F214" s="39">
        <f t="shared" si="32"/>
        <v>3408.0000000000041</v>
      </c>
      <c r="G214" s="39">
        <f t="shared" si="33"/>
        <v>73392</v>
      </c>
      <c r="H214" s="222">
        <f t="shared" si="34"/>
        <v>4.6435578809679585E-2</v>
      </c>
      <c r="I214" s="39"/>
      <c r="J214" s="39"/>
      <c r="K214" s="39">
        <v>18019</v>
      </c>
      <c r="L214" s="39"/>
    </row>
    <row r="215" spans="1:16" x14ac:dyDescent="0.25">
      <c r="A215">
        <v>2800</v>
      </c>
      <c r="B215" s="150">
        <v>43195</v>
      </c>
      <c r="C215" s="7">
        <v>4000</v>
      </c>
      <c r="D215" s="422">
        <v>14.989000000000001</v>
      </c>
      <c r="E215" s="39">
        <v>16.8</v>
      </c>
      <c r="F215" s="39">
        <f t="shared" si="32"/>
        <v>7244</v>
      </c>
      <c r="G215" s="39">
        <f t="shared" si="33"/>
        <v>59956</v>
      </c>
      <c r="H215" s="222">
        <f t="shared" si="34"/>
        <v>0.1208219360864634</v>
      </c>
      <c r="I215" s="39">
        <v>14.5</v>
      </c>
      <c r="J215" s="39"/>
      <c r="K215" s="39">
        <v>21859</v>
      </c>
      <c r="L215" s="39"/>
    </row>
    <row r="216" spans="1:16" x14ac:dyDescent="0.25">
      <c r="A216">
        <v>2800</v>
      </c>
      <c r="B216" s="150">
        <v>43196</v>
      </c>
      <c r="C216" s="10">
        <v>4400</v>
      </c>
      <c r="D216" s="233">
        <v>15.12</v>
      </c>
      <c r="E216" s="39">
        <v>16.420000000000002</v>
      </c>
      <c r="F216" s="39">
        <f t="shared" ref="F216:F246" si="35">C216*(E216-D216)</f>
        <v>5720.0000000000109</v>
      </c>
      <c r="G216" s="39">
        <f t="shared" ref="G216:G246" si="36">D216*C216</f>
        <v>66528</v>
      </c>
      <c r="H216" s="222">
        <f t="shared" ref="H216:H246" si="37">(E216-D216)/D216</f>
        <v>8.5978835978836154E-2</v>
      </c>
      <c r="I216" s="39"/>
      <c r="J216" s="39"/>
      <c r="K216" s="39">
        <v>20339</v>
      </c>
      <c r="L216" s="39"/>
    </row>
    <row r="217" spans="1:16" x14ac:dyDescent="0.25">
      <c r="A217">
        <v>2800</v>
      </c>
      <c r="B217" s="150">
        <v>43196</v>
      </c>
      <c r="C217" s="10">
        <v>4800</v>
      </c>
      <c r="D217" s="233">
        <v>15.2</v>
      </c>
      <c r="E217" s="39">
        <v>16.100000000000001</v>
      </c>
      <c r="F217" s="39">
        <f t="shared" si="35"/>
        <v>4320.00000000001</v>
      </c>
      <c r="G217" s="39">
        <f t="shared" si="36"/>
        <v>72960</v>
      </c>
      <c r="H217" s="222">
        <f t="shared" si="37"/>
        <v>5.9210526315789616E-2</v>
      </c>
      <c r="I217" s="39"/>
      <c r="J217" s="39">
        <v>54</v>
      </c>
      <c r="K217" s="39">
        <v>18931</v>
      </c>
      <c r="L217" s="39"/>
      <c r="P217" s="70"/>
    </row>
    <row r="218" spans="1:16" ht="15" customHeight="1" x14ac:dyDescent="0.25">
      <c r="A218">
        <v>2000</v>
      </c>
      <c r="B218" s="150">
        <v>43200</v>
      </c>
      <c r="C218" s="7">
        <v>4000</v>
      </c>
      <c r="D218" s="422">
        <v>14.845000000000001</v>
      </c>
      <c r="E218" s="39">
        <v>17.059999999999999</v>
      </c>
      <c r="F218" s="39">
        <f t="shared" si="35"/>
        <v>8859.9999999999927</v>
      </c>
      <c r="G218" s="39">
        <f t="shared" si="36"/>
        <v>59380</v>
      </c>
      <c r="H218" s="222">
        <f t="shared" si="37"/>
        <v>0.14920848770629827</v>
      </c>
      <c r="I218" s="39"/>
      <c r="J218" s="39"/>
      <c r="K218" s="39">
        <v>23474</v>
      </c>
      <c r="L218" s="39"/>
      <c r="P218" s="70"/>
    </row>
    <row r="219" spans="1:16" x14ac:dyDescent="0.25">
      <c r="A219">
        <v>2000</v>
      </c>
      <c r="B219" s="150">
        <v>43208</v>
      </c>
      <c r="C219" s="10">
        <v>4000</v>
      </c>
      <c r="D219" s="233">
        <v>14.845000000000001</v>
      </c>
      <c r="E219" s="39">
        <v>18.23</v>
      </c>
      <c r="F219" s="39">
        <f t="shared" si="35"/>
        <v>13540</v>
      </c>
      <c r="G219" s="39">
        <f t="shared" si="36"/>
        <v>59380</v>
      </c>
      <c r="H219" s="222">
        <f t="shared" si="37"/>
        <v>0.22802290333445602</v>
      </c>
      <c r="I219" s="39"/>
      <c r="J219" s="39"/>
      <c r="K219" s="39">
        <v>28154</v>
      </c>
      <c r="L219" s="39"/>
    </row>
    <row r="220" spans="1:16" x14ac:dyDescent="0.25">
      <c r="A220">
        <v>2600</v>
      </c>
      <c r="B220" s="150">
        <v>43216</v>
      </c>
      <c r="C220" s="10">
        <v>4000</v>
      </c>
      <c r="D220" s="233">
        <v>14.845000000000001</v>
      </c>
      <c r="E220" s="39">
        <v>18.46</v>
      </c>
      <c r="F220" s="39">
        <f t="shared" si="35"/>
        <v>14460</v>
      </c>
      <c r="G220" s="39">
        <f t="shared" si="36"/>
        <v>59380</v>
      </c>
      <c r="H220" s="222">
        <f t="shared" si="37"/>
        <v>0.24351633546648704</v>
      </c>
      <c r="I220" s="39"/>
      <c r="J220" s="39"/>
      <c r="K220" s="39">
        <v>29075</v>
      </c>
      <c r="L220" s="39"/>
    </row>
    <row r="221" spans="1:16" x14ac:dyDescent="0.25">
      <c r="A221">
        <v>2600</v>
      </c>
      <c r="B221" s="150">
        <v>43217</v>
      </c>
      <c r="C221" s="10">
        <v>4300</v>
      </c>
      <c r="D221" s="233">
        <v>15.0785</v>
      </c>
      <c r="E221" s="39">
        <v>18.11</v>
      </c>
      <c r="F221" s="39">
        <f t="shared" si="35"/>
        <v>13035.449999999997</v>
      </c>
      <c r="G221" s="39">
        <f t="shared" si="36"/>
        <v>64837.55</v>
      </c>
      <c r="H221" s="222">
        <f t="shared" si="37"/>
        <v>0.20104784958716049</v>
      </c>
      <c r="I221" s="39"/>
      <c r="J221" s="39"/>
      <c r="K221" s="39">
        <v>27651</v>
      </c>
      <c r="L221" s="39"/>
    </row>
    <row r="222" spans="1:16" x14ac:dyDescent="0.25">
      <c r="A222">
        <v>2500</v>
      </c>
      <c r="B222" s="150">
        <v>43220</v>
      </c>
      <c r="C222" s="7">
        <v>4000</v>
      </c>
      <c r="D222" s="422">
        <v>14.829000000000001</v>
      </c>
      <c r="E222" s="39">
        <v>18.25</v>
      </c>
      <c r="F222" s="39">
        <f t="shared" si="35"/>
        <v>13683.999999999998</v>
      </c>
      <c r="G222" s="39">
        <f t="shared" si="36"/>
        <v>59316</v>
      </c>
      <c r="H222" s="222">
        <f t="shared" si="37"/>
        <v>0.230696607997842</v>
      </c>
      <c r="I222" s="39"/>
      <c r="J222" s="39"/>
      <c r="K222" s="39">
        <v>28301</v>
      </c>
      <c r="L222" s="39"/>
    </row>
    <row r="223" spans="1:16" x14ac:dyDescent="0.25">
      <c r="A223">
        <v>2400</v>
      </c>
      <c r="B223" s="150">
        <v>43223</v>
      </c>
      <c r="C223" s="10">
        <v>3500</v>
      </c>
      <c r="D223" s="233">
        <v>14.14</v>
      </c>
      <c r="E223" s="39">
        <v>19.440000000000001</v>
      </c>
      <c r="F223" s="39">
        <f t="shared" si="35"/>
        <v>18550.000000000004</v>
      </c>
      <c r="G223" s="39">
        <f t="shared" si="36"/>
        <v>49490</v>
      </c>
      <c r="H223" s="222">
        <f t="shared" si="37"/>
        <v>0.37482319660537483</v>
      </c>
      <c r="I223" s="39"/>
      <c r="J223" s="39"/>
      <c r="K223" s="39">
        <v>32986</v>
      </c>
      <c r="L223" s="39"/>
    </row>
    <row r="224" spans="1:16" x14ac:dyDescent="0.25">
      <c r="A224">
        <v>1900</v>
      </c>
      <c r="B224" s="150">
        <v>43224</v>
      </c>
      <c r="C224" s="10">
        <v>3000</v>
      </c>
      <c r="D224" s="233">
        <v>13.243</v>
      </c>
      <c r="E224" s="39">
        <v>19.72</v>
      </c>
      <c r="F224" s="39">
        <f t="shared" si="35"/>
        <v>19430.999999999996</v>
      </c>
      <c r="G224" s="39">
        <f t="shared" si="36"/>
        <v>39729</v>
      </c>
      <c r="H224" s="222">
        <f t="shared" si="37"/>
        <v>0.48908857509627718</v>
      </c>
      <c r="I224" s="39"/>
      <c r="J224" s="39"/>
      <c r="K224" s="39">
        <v>34045</v>
      </c>
      <c r="L224" s="39"/>
    </row>
    <row r="225" spans="1:17" x14ac:dyDescent="0.25">
      <c r="A225">
        <v>2400</v>
      </c>
      <c r="B225" s="150">
        <v>43227</v>
      </c>
      <c r="C225" s="228">
        <v>3000</v>
      </c>
      <c r="D225" s="827">
        <v>13.17</v>
      </c>
      <c r="E225" s="39">
        <v>19.77</v>
      </c>
      <c r="F225" s="39">
        <f t="shared" si="35"/>
        <v>19800</v>
      </c>
      <c r="G225" s="39">
        <f t="shared" si="36"/>
        <v>39510</v>
      </c>
      <c r="H225" s="222">
        <f t="shared" si="37"/>
        <v>0.50113895216400905</v>
      </c>
      <c r="I225" s="39"/>
      <c r="J225" s="39"/>
      <c r="K225" s="39">
        <v>34414</v>
      </c>
      <c r="L225" s="39"/>
    </row>
    <row r="226" spans="1:17" x14ac:dyDescent="0.25">
      <c r="A226">
        <v>2100</v>
      </c>
      <c r="B226" s="150">
        <v>43229</v>
      </c>
      <c r="C226" s="10">
        <v>2700</v>
      </c>
      <c r="D226" s="233">
        <v>12.3</v>
      </c>
      <c r="E226" s="39">
        <v>21.26</v>
      </c>
      <c r="F226" s="39">
        <f t="shared" si="35"/>
        <v>24192.000000000004</v>
      </c>
      <c r="G226" s="39">
        <f t="shared" si="36"/>
        <v>33210</v>
      </c>
      <c r="H226" s="222">
        <f t="shared" si="37"/>
        <v>0.72845528455284558</v>
      </c>
      <c r="I226" s="39"/>
      <c r="J226" s="39"/>
      <c r="K226" s="39">
        <v>38800</v>
      </c>
      <c r="L226" s="39"/>
    </row>
    <row r="227" spans="1:17" ht="15" customHeight="1" x14ac:dyDescent="0.25">
      <c r="A227">
        <v>1400</v>
      </c>
      <c r="B227" s="150">
        <v>43234</v>
      </c>
      <c r="C227" s="420">
        <v>2000</v>
      </c>
      <c r="D227" s="846">
        <v>9.0908999999999995</v>
      </c>
      <c r="E227" s="39">
        <v>21.42</v>
      </c>
      <c r="F227" s="39">
        <f t="shared" si="35"/>
        <v>24658.200000000004</v>
      </c>
      <c r="G227" s="39">
        <f t="shared" si="36"/>
        <v>18181.8</v>
      </c>
      <c r="H227" s="222">
        <f t="shared" si="37"/>
        <v>1.3562023562023564</v>
      </c>
      <c r="I227" s="39"/>
      <c r="J227" s="39"/>
      <c r="K227" s="39">
        <v>39274</v>
      </c>
      <c r="L227" s="39"/>
    </row>
    <row r="228" spans="1:17" ht="15" customHeight="1" x14ac:dyDescent="0.25">
      <c r="A228">
        <v>400</v>
      </c>
      <c r="B228" s="150">
        <v>43241</v>
      </c>
      <c r="C228" s="10">
        <v>1000</v>
      </c>
      <c r="D228" s="233">
        <v>-3.7</v>
      </c>
      <c r="E228" s="39">
        <v>21.9</v>
      </c>
      <c r="F228" s="39">
        <f t="shared" si="35"/>
        <v>25599.999999999996</v>
      </c>
      <c r="G228" s="39">
        <f t="shared" si="36"/>
        <v>-3700</v>
      </c>
      <c r="H228" s="222">
        <f t="shared" si="37"/>
        <v>-6.9189189189189184</v>
      </c>
      <c r="I228" s="39"/>
      <c r="J228" s="39"/>
      <c r="K228" s="39">
        <v>40213</v>
      </c>
      <c r="L228" s="39"/>
    </row>
    <row r="229" spans="1:17" x14ac:dyDescent="0.25">
      <c r="A229">
        <v>400</v>
      </c>
      <c r="B229" s="150">
        <v>43245</v>
      </c>
      <c r="C229" s="10">
        <v>2000</v>
      </c>
      <c r="D229" s="233">
        <v>8.4410000000000007</v>
      </c>
      <c r="E229" s="39">
        <v>20.329999999999998</v>
      </c>
      <c r="F229" s="39">
        <f t="shared" si="35"/>
        <v>23777.999999999996</v>
      </c>
      <c r="G229" s="39">
        <f t="shared" si="36"/>
        <v>16882</v>
      </c>
      <c r="H229" s="222">
        <f t="shared" si="37"/>
        <v>1.4084824072977131</v>
      </c>
      <c r="I229" s="39"/>
      <c r="J229" s="39"/>
      <c r="K229" s="39">
        <v>38393</v>
      </c>
      <c r="L229" s="39"/>
      <c r="P229" s="1"/>
    </row>
    <row r="230" spans="1:17" x14ac:dyDescent="0.25">
      <c r="A230">
        <v>700</v>
      </c>
      <c r="B230" s="150">
        <v>43250</v>
      </c>
      <c r="C230" s="10">
        <v>2000</v>
      </c>
      <c r="D230" s="233">
        <v>8.4410000000000007</v>
      </c>
      <c r="E230" s="39">
        <v>21.53</v>
      </c>
      <c r="F230" s="39">
        <f t="shared" si="35"/>
        <v>26178</v>
      </c>
      <c r="G230" s="39">
        <f t="shared" si="36"/>
        <v>16882</v>
      </c>
      <c r="H230" s="222">
        <f t="shared" si="37"/>
        <v>1.5506456580973818</v>
      </c>
      <c r="I230" s="39"/>
      <c r="J230" s="39"/>
      <c r="K230" s="39">
        <v>40793</v>
      </c>
      <c r="L230" s="39"/>
      <c r="Q230" s="70"/>
    </row>
    <row r="231" spans="1:17" x14ac:dyDescent="0.25">
      <c r="A231">
        <v>700</v>
      </c>
      <c r="B231" s="150">
        <v>43262</v>
      </c>
      <c r="C231" s="10">
        <v>1700</v>
      </c>
      <c r="D231" s="233">
        <v>6.1519000000000004</v>
      </c>
      <c r="E231" s="39">
        <v>21.47</v>
      </c>
      <c r="F231" s="39">
        <f t="shared" si="35"/>
        <v>26040.769999999997</v>
      </c>
      <c r="G231" s="39">
        <f t="shared" si="36"/>
        <v>10458.230000000001</v>
      </c>
      <c r="H231" s="222">
        <f t="shared" si="37"/>
        <v>2.4899787057656977</v>
      </c>
      <c r="I231" s="39"/>
      <c r="J231" s="39"/>
      <c r="K231" s="39">
        <v>40656</v>
      </c>
      <c r="L231" s="39"/>
      <c r="P231" s="1"/>
    </row>
    <row r="232" spans="1:17" x14ac:dyDescent="0.25">
      <c r="A232">
        <v>700</v>
      </c>
      <c r="B232" s="150">
        <v>43266</v>
      </c>
      <c r="C232" s="423">
        <v>2000</v>
      </c>
      <c r="D232" s="847">
        <v>8.3116000000000003</v>
      </c>
      <c r="E232" s="39">
        <v>19.989999999999998</v>
      </c>
      <c r="F232" s="39">
        <f t="shared" si="35"/>
        <v>23356.799999999996</v>
      </c>
      <c r="G232" s="39">
        <f t="shared" si="36"/>
        <v>16623.2</v>
      </c>
      <c r="H232" s="222">
        <f t="shared" si="37"/>
        <v>1.4050724288945566</v>
      </c>
      <c r="I232" s="39"/>
      <c r="J232" s="39"/>
      <c r="K232" s="39">
        <v>37972</v>
      </c>
      <c r="L232" s="39">
        <v>64.3</v>
      </c>
      <c r="P232" s="1"/>
      <c r="Q232" s="70"/>
    </row>
    <row r="233" spans="1:17" x14ac:dyDescent="0.25">
      <c r="A233">
        <v>700</v>
      </c>
      <c r="B233" s="150">
        <v>43266</v>
      </c>
      <c r="C233" s="10">
        <v>2500</v>
      </c>
      <c r="D233" s="233">
        <v>10.645</v>
      </c>
      <c r="E233" s="39">
        <v>19.989999999999998</v>
      </c>
      <c r="F233" s="39">
        <f t="shared" si="35"/>
        <v>23362.499999999996</v>
      </c>
      <c r="G233" s="39">
        <f t="shared" si="36"/>
        <v>26612.5</v>
      </c>
      <c r="H233" s="222">
        <f t="shared" si="37"/>
        <v>0.87787693752935647</v>
      </c>
      <c r="I233" s="39"/>
      <c r="J233" s="39"/>
      <c r="K233" s="39">
        <v>37978</v>
      </c>
      <c r="L233" s="39"/>
      <c r="P233" s="1"/>
    </row>
    <row r="234" spans="1:17" x14ac:dyDescent="0.25">
      <c r="A234">
        <v>200</v>
      </c>
      <c r="B234" s="150">
        <v>43269</v>
      </c>
      <c r="C234" s="10">
        <v>2000</v>
      </c>
      <c r="D234" s="233">
        <v>8.1714000000000002</v>
      </c>
      <c r="E234" s="39">
        <v>20.32</v>
      </c>
      <c r="F234" s="39">
        <f t="shared" si="35"/>
        <v>24297.200000000001</v>
      </c>
      <c r="G234" s="39">
        <f t="shared" si="36"/>
        <v>16342.800000000001</v>
      </c>
      <c r="H234" s="222">
        <f t="shared" si="37"/>
        <v>1.48672198154539</v>
      </c>
      <c r="I234" s="39"/>
      <c r="J234" s="39"/>
      <c r="K234" s="39">
        <v>38913</v>
      </c>
      <c r="L234" s="39">
        <v>65.62</v>
      </c>
      <c r="P234" s="1"/>
      <c r="Q234" s="70"/>
    </row>
    <row r="235" spans="1:17" x14ac:dyDescent="0.25">
      <c r="A235">
        <v>0</v>
      </c>
      <c r="B235" s="150">
        <v>43271</v>
      </c>
      <c r="C235" s="10">
        <v>1800</v>
      </c>
      <c r="D235" s="233">
        <v>6.7594000000000003</v>
      </c>
      <c r="E235" s="39">
        <v>21.06</v>
      </c>
      <c r="F235" s="39">
        <f t="shared" si="35"/>
        <v>25741.079999999998</v>
      </c>
      <c r="G235" s="39">
        <f t="shared" si="36"/>
        <v>12166.92</v>
      </c>
      <c r="H235" s="222">
        <f t="shared" si="37"/>
        <v>2.1156611533568066</v>
      </c>
      <c r="I235" s="39"/>
      <c r="J235" s="39"/>
      <c r="K235" s="39">
        <v>40357</v>
      </c>
      <c r="L235" s="39">
        <v>65.91</v>
      </c>
      <c r="Q235" s="70"/>
    </row>
    <row r="236" spans="1:17" x14ac:dyDescent="0.25">
      <c r="A236">
        <v>0</v>
      </c>
      <c r="B236" s="150">
        <v>43272</v>
      </c>
      <c r="C236" s="10">
        <v>2000</v>
      </c>
      <c r="D236" s="233">
        <v>8.0879999999999992</v>
      </c>
      <c r="E236" s="39">
        <v>19.920000000000002</v>
      </c>
      <c r="F236" s="39">
        <f t="shared" si="35"/>
        <v>23664.000000000004</v>
      </c>
      <c r="G236" s="39">
        <f t="shared" si="36"/>
        <v>16175.999999999998</v>
      </c>
      <c r="H236" s="222">
        <f t="shared" si="37"/>
        <v>1.4629080118694366</v>
      </c>
      <c r="I236" s="39"/>
      <c r="J236" s="39"/>
      <c r="K236" s="39">
        <v>38279</v>
      </c>
      <c r="L236" s="39">
        <v>69.28</v>
      </c>
      <c r="P236" s="1"/>
    </row>
    <row r="237" spans="1:17" x14ac:dyDescent="0.25">
      <c r="A237">
        <v>1000</v>
      </c>
      <c r="B237" s="150">
        <v>43276</v>
      </c>
      <c r="C237" s="10">
        <v>2200</v>
      </c>
      <c r="D237" s="233">
        <v>9.2149999999999999</v>
      </c>
      <c r="E237" s="39">
        <v>20.3</v>
      </c>
      <c r="F237" s="39">
        <f t="shared" si="35"/>
        <v>24387.000000000004</v>
      </c>
      <c r="G237" s="39">
        <f t="shared" si="36"/>
        <v>20273</v>
      </c>
      <c r="H237" s="222">
        <f t="shared" si="37"/>
        <v>1.202930005425936</v>
      </c>
      <c r="I237" s="39"/>
      <c r="J237" s="39"/>
      <c r="K237" s="39">
        <v>39003</v>
      </c>
      <c r="L237" s="39">
        <v>70.53</v>
      </c>
    </row>
    <row r="238" spans="1:17" x14ac:dyDescent="0.25">
      <c r="A238">
        <v>1000</v>
      </c>
      <c r="B238" s="150">
        <v>43278</v>
      </c>
      <c r="C238" s="10">
        <v>2200</v>
      </c>
      <c r="D238" s="233">
        <v>9.2149999999999999</v>
      </c>
      <c r="E238" s="39">
        <v>21.22</v>
      </c>
      <c r="F238" s="39">
        <f t="shared" si="35"/>
        <v>26410.999999999996</v>
      </c>
      <c r="G238" s="39">
        <f t="shared" si="36"/>
        <v>20273</v>
      </c>
      <c r="H238" s="222">
        <f t="shared" si="37"/>
        <v>1.3027672273467172</v>
      </c>
      <c r="I238" s="39"/>
      <c r="J238" s="39"/>
      <c r="K238" s="39">
        <v>41027</v>
      </c>
      <c r="L238" s="39"/>
    </row>
    <row r="239" spans="1:17" x14ac:dyDescent="0.25">
      <c r="A239">
        <v>1000</v>
      </c>
      <c r="B239" s="150">
        <v>43283</v>
      </c>
      <c r="C239" s="10">
        <v>2200</v>
      </c>
      <c r="D239" s="233">
        <v>9.2149999999999999</v>
      </c>
      <c r="E239" s="39">
        <v>20.66</v>
      </c>
      <c r="F239" s="39">
        <f t="shared" si="35"/>
        <v>25179</v>
      </c>
      <c r="G239" s="39">
        <f t="shared" si="36"/>
        <v>20273</v>
      </c>
      <c r="H239" s="222">
        <f t="shared" si="37"/>
        <v>1.2419967444384157</v>
      </c>
      <c r="I239" s="39"/>
      <c r="J239" s="39"/>
      <c r="K239" s="39">
        <v>39795</v>
      </c>
      <c r="L239" s="39"/>
    </row>
    <row r="240" spans="1:17" x14ac:dyDescent="0.25">
      <c r="A240">
        <v>800</v>
      </c>
      <c r="B240" s="150">
        <v>43284</v>
      </c>
      <c r="C240" s="423">
        <v>2000</v>
      </c>
      <c r="D240" s="847">
        <v>7.9779999999999998</v>
      </c>
      <c r="E240" s="39">
        <v>21</v>
      </c>
      <c r="F240" s="39">
        <f t="shared" si="35"/>
        <v>26044</v>
      </c>
      <c r="G240" s="39">
        <f t="shared" si="36"/>
        <v>15956</v>
      </c>
      <c r="H240" s="222">
        <f t="shared" si="37"/>
        <v>1.6322386563048383</v>
      </c>
      <c r="I240" s="39"/>
      <c r="J240" s="39"/>
      <c r="K240" s="39">
        <v>40659</v>
      </c>
      <c r="L240" s="39"/>
    </row>
    <row r="241" spans="1:12" x14ac:dyDescent="0.25">
      <c r="B241" s="150">
        <v>43286</v>
      </c>
      <c r="C241" s="10">
        <v>2200</v>
      </c>
      <c r="D241" s="233">
        <v>9.1513000000000009</v>
      </c>
      <c r="E241" s="39">
        <v>20.88</v>
      </c>
      <c r="F241" s="39">
        <f t="shared" si="35"/>
        <v>25803.139999999996</v>
      </c>
      <c r="G241" s="39">
        <f t="shared" si="36"/>
        <v>20132.86</v>
      </c>
      <c r="H241" s="222">
        <f t="shared" si="37"/>
        <v>1.2816430452504013</v>
      </c>
      <c r="I241" s="39"/>
      <c r="J241" s="39"/>
      <c r="K241" s="39">
        <v>40419</v>
      </c>
      <c r="L241" s="39"/>
    </row>
    <row r="242" spans="1:12" ht="15" customHeight="1" x14ac:dyDescent="0.25">
      <c r="A242">
        <v>800</v>
      </c>
      <c r="B242" s="150">
        <v>43286</v>
      </c>
      <c r="C242" s="10">
        <v>2500</v>
      </c>
      <c r="D242" s="233">
        <v>10.535</v>
      </c>
      <c r="E242" s="39">
        <v>20.7</v>
      </c>
      <c r="F242" s="39">
        <f t="shared" si="35"/>
        <v>25412.499999999996</v>
      </c>
      <c r="G242" s="39">
        <f t="shared" si="36"/>
        <v>26337.5</v>
      </c>
      <c r="H242" s="222">
        <f t="shared" si="37"/>
        <v>0.96487897484575214</v>
      </c>
      <c r="I242" s="39"/>
      <c r="J242" s="39"/>
      <c r="K242" s="39">
        <v>40028</v>
      </c>
      <c r="L242" s="39"/>
    </row>
    <row r="243" spans="1:12" ht="18.75" customHeight="1" x14ac:dyDescent="0.25">
      <c r="A243">
        <v>300</v>
      </c>
      <c r="B243" s="150">
        <v>43287</v>
      </c>
      <c r="C243" s="423">
        <v>2000</v>
      </c>
      <c r="D243" s="847">
        <v>7.9015000000000004</v>
      </c>
      <c r="E243" s="39">
        <v>21.07</v>
      </c>
      <c r="F243" s="39">
        <f t="shared" si="35"/>
        <v>26337</v>
      </c>
      <c r="G243" s="39">
        <f t="shared" si="36"/>
        <v>15803</v>
      </c>
      <c r="H243" s="222">
        <f t="shared" si="37"/>
        <v>1.666582294501044</v>
      </c>
      <c r="I243" s="39"/>
      <c r="J243" s="39"/>
      <c r="K243" s="39">
        <v>40952</v>
      </c>
      <c r="L243" s="39"/>
    </row>
    <row r="244" spans="1:12" x14ac:dyDescent="0.25">
      <c r="A244">
        <v>0</v>
      </c>
      <c r="B244" s="150">
        <v>43290</v>
      </c>
      <c r="C244" s="10">
        <v>1700</v>
      </c>
      <c r="D244" s="233">
        <v>5.4859999999999998</v>
      </c>
      <c r="E244" s="39">
        <v>21.75</v>
      </c>
      <c r="F244" s="39">
        <f t="shared" si="35"/>
        <v>27648.799999999999</v>
      </c>
      <c r="G244" s="39">
        <f t="shared" si="36"/>
        <v>9326.1999999999989</v>
      </c>
      <c r="H244" s="222">
        <f t="shared" si="37"/>
        <v>2.9646372584761211</v>
      </c>
      <c r="I244" s="39"/>
      <c r="J244" s="39"/>
      <c r="K244" s="39">
        <v>42264</v>
      </c>
      <c r="L244" s="39"/>
    </row>
    <row r="245" spans="1:12" x14ac:dyDescent="0.25">
      <c r="A245">
        <v>0</v>
      </c>
      <c r="B245" s="150">
        <v>43292</v>
      </c>
      <c r="C245" s="423">
        <v>2000</v>
      </c>
      <c r="D245" s="847">
        <v>7.8579999999999997</v>
      </c>
      <c r="E245" s="39">
        <v>21.2</v>
      </c>
      <c r="F245" s="39">
        <f t="shared" si="35"/>
        <v>26683.999999999996</v>
      </c>
      <c r="G245" s="39">
        <f t="shared" si="36"/>
        <v>15716</v>
      </c>
      <c r="H245" s="222">
        <f t="shared" si="37"/>
        <v>1.6978875031814711</v>
      </c>
      <c r="I245" s="39"/>
      <c r="J245" s="39"/>
      <c r="K245" s="39">
        <v>41299</v>
      </c>
      <c r="L245" s="39"/>
    </row>
    <row r="246" spans="1:12" x14ac:dyDescent="0.25">
      <c r="B246" s="150">
        <v>43297</v>
      </c>
      <c r="C246" s="10">
        <v>2500</v>
      </c>
      <c r="D246" s="233">
        <v>10.362</v>
      </c>
      <c r="E246" s="39">
        <v>19.850000000000001</v>
      </c>
      <c r="F246" s="39">
        <f t="shared" si="35"/>
        <v>23720.000000000004</v>
      </c>
      <c r="G246" s="39">
        <f t="shared" si="36"/>
        <v>25905</v>
      </c>
      <c r="H246" s="222">
        <f t="shared" si="37"/>
        <v>0.91565334877436799</v>
      </c>
      <c r="I246" s="39"/>
      <c r="J246" s="39"/>
      <c r="K246" s="39">
        <v>38334</v>
      </c>
      <c r="L246" s="39"/>
    </row>
    <row r="247" spans="1:12" x14ac:dyDescent="0.25">
      <c r="A247">
        <v>800</v>
      </c>
      <c r="B247" s="150">
        <v>43297</v>
      </c>
      <c r="C247" s="228">
        <v>3000</v>
      </c>
      <c r="D247" s="827">
        <v>11.96</v>
      </c>
      <c r="E247" s="39">
        <v>19.850000000000001</v>
      </c>
      <c r="F247" s="39">
        <f t="shared" ref="F247" si="38">C247*(E247-D247)</f>
        <v>23670</v>
      </c>
      <c r="G247" s="39">
        <f t="shared" ref="G247" si="39">D247*C247</f>
        <v>35880</v>
      </c>
      <c r="H247" s="222">
        <f t="shared" ref="H247" si="40">(E247-D247)/D247</f>
        <v>0.65969899665551834</v>
      </c>
      <c r="I247" s="39"/>
      <c r="J247" s="39"/>
      <c r="K247" s="39">
        <v>38284</v>
      </c>
      <c r="L247" s="39"/>
    </row>
    <row r="248" spans="1:12" x14ac:dyDescent="0.25">
      <c r="B248" s="150"/>
      <c r="C248" s="10"/>
      <c r="D248" s="233"/>
      <c r="E248" s="39"/>
      <c r="F248" s="39"/>
      <c r="G248" s="39"/>
      <c r="H248" s="222"/>
      <c r="I248" s="39"/>
      <c r="J248" s="39"/>
      <c r="K248" s="39"/>
      <c r="L248" s="39"/>
    </row>
    <row r="249" spans="1:12" x14ac:dyDescent="0.25">
      <c r="B249" s="150"/>
      <c r="C249" s="10"/>
      <c r="D249" s="233"/>
      <c r="E249" s="39"/>
      <c r="F249" s="39"/>
      <c r="G249" s="39"/>
      <c r="H249" s="222"/>
      <c r="I249" s="39"/>
      <c r="J249" s="39"/>
      <c r="K249" s="39"/>
      <c r="L249" s="39"/>
    </row>
    <row r="250" spans="1:12" x14ac:dyDescent="0.25">
      <c r="B250" s="150"/>
      <c r="C250" s="10"/>
      <c r="D250" s="233"/>
      <c r="E250" s="39"/>
      <c r="F250" s="39"/>
      <c r="G250" s="39"/>
      <c r="H250" s="222"/>
      <c r="I250" s="39"/>
      <c r="J250" s="39"/>
      <c r="K250" s="39"/>
      <c r="L250" s="39"/>
    </row>
    <row r="251" spans="1:12" x14ac:dyDescent="0.25">
      <c r="B251" s="150"/>
      <c r="C251" s="10"/>
      <c r="D251" s="233"/>
      <c r="E251" s="39"/>
      <c r="F251" s="39"/>
      <c r="G251" s="39"/>
      <c r="H251" s="222"/>
      <c r="I251" s="39"/>
      <c r="J251" s="39"/>
      <c r="K251" s="39"/>
      <c r="L251" s="39"/>
    </row>
    <row r="252" spans="1:12" x14ac:dyDescent="0.25">
      <c r="B252" s="150"/>
      <c r="C252" s="10"/>
      <c r="D252" s="233"/>
      <c r="E252" s="39"/>
      <c r="F252" s="39"/>
      <c r="G252" s="39"/>
      <c r="H252" s="222"/>
      <c r="I252" s="39"/>
      <c r="J252" s="39"/>
      <c r="K252" s="39"/>
      <c r="L252" s="39"/>
    </row>
    <row r="254" spans="1:12" x14ac:dyDescent="0.25">
      <c r="B254" s="618" t="s">
        <v>113</v>
      </c>
      <c r="C254" s="484" t="s">
        <v>146</v>
      </c>
      <c r="D254" s="619" t="s">
        <v>145</v>
      </c>
      <c r="E254" s="486" t="s">
        <v>147</v>
      </c>
      <c r="F254" s="487" t="s">
        <v>65</v>
      </c>
      <c r="G254" s="488" t="s">
        <v>151</v>
      </c>
      <c r="H254" s="487" t="s">
        <v>88</v>
      </c>
      <c r="I254" s="488" t="s">
        <v>154</v>
      </c>
    </row>
    <row r="255" spans="1:12" x14ac:dyDescent="0.25">
      <c r="B255" s="620">
        <v>42305</v>
      </c>
      <c r="C255" s="362">
        <v>2000</v>
      </c>
      <c r="D255" s="621">
        <v>34.06</v>
      </c>
      <c r="E255" s="363">
        <v>17.68</v>
      </c>
      <c r="F255" s="363">
        <v>-32767.45</v>
      </c>
      <c r="G255" s="363">
        <f t="shared" ref="G255:G261" si="41">IF(C255=0, 0,D255*C255)</f>
        <v>68120</v>
      </c>
      <c r="H255" s="365">
        <f t="shared" ref="H255:H261" si="42">IF(C255=0, D255, (E255-D255)/D255)</f>
        <v>-0.48091603053435117</v>
      </c>
      <c r="I255" s="363"/>
    </row>
    <row r="256" spans="1:12" x14ac:dyDescent="0.25">
      <c r="B256" s="620">
        <v>42307</v>
      </c>
      <c r="C256" s="362">
        <v>0</v>
      </c>
      <c r="D256" s="621" t="s">
        <v>128</v>
      </c>
      <c r="E256" s="363">
        <v>17.55</v>
      </c>
      <c r="F256" s="363">
        <v>-30722.2</v>
      </c>
      <c r="G256" s="363">
        <f t="shared" si="41"/>
        <v>0</v>
      </c>
      <c r="H256" s="365" t="str">
        <f t="shared" si="42"/>
        <v>N/A</v>
      </c>
      <c r="I256" s="363"/>
    </row>
    <row r="257" spans="2:9" x14ac:dyDescent="0.25">
      <c r="B257" s="620">
        <v>42310</v>
      </c>
      <c r="C257" s="362">
        <v>0</v>
      </c>
      <c r="D257" s="621" t="s">
        <v>128</v>
      </c>
      <c r="E257" s="363">
        <v>19.010000000000002</v>
      </c>
      <c r="F257" s="363">
        <v>-30693.25</v>
      </c>
      <c r="G257" s="363">
        <f t="shared" si="41"/>
        <v>0</v>
      </c>
      <c r="H257" s="365" t="str">
        <f t="shared" si="42"/>
        <v>N/A</v>
      </c>
      <c r="I257" s="363"/>
    </row>
    <row r="258" spans="2:9" x14ac:dyDescent="0.25">
      <c r="B258" s="620">
        <v>42314</v>
      </c>
      <c r="C258" s="362">
        <v>2500</v>
      </c>
      <c r="D258" s="621">
        <v>30.24</v>
      </c>
      <c r="E258" s="363">
        <v>18.29</v>
      </c>
      <c r="F258" s="363">
        <v>-29878.25</v>
      </c>
      <c r="G258" s="363">
        <f t="shared" si="41"/>
        <v>75600</v>
      </c>
      <c r="H258" s="365">
        <f t="shared" si="42"/>
        <v>-0.39517195767195767</v>
      </c>
      <c r="I258" s="363"/>
    </row>
    <row r="259" spans="2:9" x14ac:dyDescent="0.25">
      <c r="B259" s="620">
        <v>42318</v>
      </c>
      <c r="C259" s="362">
        <v>0</v>
      </c>
      <c r="D259" s="621" t="s">
        <v>128</v>
      </c>
      <c r="E259" s="363">
        <v>18.78</v>
      </c>
      <c r="F259" s="363">
        <v>-28604.09</v>
      </c>
      <c r="G259" s="363">
        <f t="shared" si="41"/>
        <v>0</v>
      </c>
      <c r="H259" s="365" t="str">
        <f t="shared" si="42"/>
        <v>N/A</v>
      </c>
      <c r="I259" s="363"/>
    </row>
    <row r="260" spans="2:9" x14ac:dyDescent="0.25">
      <c r="B260" s="620">
        <v>42328</v>
      </c>
      <c r="C260" s="362">
        <v>3078</v>
      </c>
      <c r="D260" s="621">
        <v>26.76</v>
      </c>
      <c r="E260" s="363">
        <v>17.440000000000001</v>
      </c>
      <c r="F260" s="363">
        <v>-28696.448999999906</v>
      </c>
      <c r="G260" s="363">
        <f t="shared" si="41"/>
        <v>82367.28</v>
      </c>
      <c r="H260" s="365">
        <f t="shared" si="42"/>
        <v>-0.34828101644245141</v>
      </c>
      <c r="I260" s="363"/>
    </row>
    <row r="261" spans="2:9" x14ac:dyDescent="0.25">
      <c r="B261" s="620">
        <v>42331</v>
      </c>
      <c r="C261" s="362">
        <v>0</v>
      </c>
      <c r="D261" s="621" t="s">
        <v>128</v>
      </c>
      <c r="E261" s="363">
        <v>17.53</v>
      </c>
      <c r="F261" s="363">
        <v>-28051.068999999901</v>
      </c>
      <c r="G261" s="363">
        <f t="shared" si="41"/>
        <v>0</v>
      </c>
      <c r="H261" s="365" t="str">
        <f t="shared" si="42"/>
        <v>N/A</v>
      </c>
      <c r="I261" s="363"/>
    </row>
    <row r="262" spans="2:9" x14ac:dyDescent="0.25">
      <c r="B262" s="620">
        <v>42335</v>
      </c>
      <c r="C262" s="362">
        <v>3078</v>
      </c>
      <c r="D262" s="621">
        <v>26.85</v>
      </c>
      <c r="E262" s="363">
        <v>17.73</v>
      </c>
      <c r="F262" s="363">
        <f>C262*(E262-D262)</f>
        <v>-28071.360000000004</v>
      </c>
      <c r="G262" s="363">
        <f>D262*C262</f>
        <v>82644.3</v>
      </c>
      <c r="H262" s="364">
        <f>(E262-D262)/D262</f>
        <v>-0.33966480446927377</v>
      </c>
      <c r="I262" s="363"/>
    </row>
    <row r="263" spans="2:9" x14ac:dyDescent="0.25">
      <c r="B263" s="620">
        <v>42335</v>
      </c>
      <c r="C263" s="362">
        <v>3578</v>
      </c>
      <c r="D263" s="621">
        <v>25.55</v>
      </c>
      <c r="E263" s="363">
        <v>17.440000000000001</v>
      </c>
      <c r="F263" s="363">
        <f t="shared" ref="F263:F294" si="43">C263*(E263-D263)</f>
        <v>-29017.579999999998</v>
      </c>
      <c r="G263" s="363">
        <f t="shared" ref="G263:G292" si="44">D263*C263</f>
        <v>91417.900000000009</v>
      </c>
      <c r="H263" s="364">
        <f t="shared" ref="H263:H292" si="45">(E263-D263)/D263</f>
        <v>-0.31741682974559682</v>
      </c>
      <c r="I263" s="363"/>
    </row>
    <row r="264" spans="2:9" x14ac:dyDescent="0.25">
      <c r="B264" s="620">
        <v>42340</v>
      </c>
      <c r="C264" s="362">
        <v>4178</v>
      </c>
      <c r="D264" s="621">
        <v>24.29</v>
      </c>
      <c r="E264" s="363">
        <v>16.670000000000002</v>
      </c>
      <c r="F264" s="363">
        <f t="shared" si="43"/>
        <v>-31836.35999999999</v>
      </c>
      <c r="G264" s="363">
        <f t="shared" si="44"/>
        <v>101483.62</v>
      </c>
      <c r="H264" s="364">
        <f t="shared" si="45"/>
        <v>-0.31370934540963352</v>
      </c>
      <c r="I264" s="363"/>
    </row>
    <row r="265" spans="2:9" x14ac:dyDescent="0.25">
      <c r="B265" s="620">
        <v>42342</v>
      </c>
      <c r="C265" s="362">
        <v>4678</v>
      </c>
      <c r="D265" s="621">
        <v>23.39</v>
      </c>
      <c r="E265" s="363">
        <v>16.12</v>
      </c>
      <c r="F265" s="363">
        <f t="shared" si="43"/>
        <v>-34009.06</v>
      </c>
      <c r="G265" s="363">
        <f t="shared" si="44"/>
        <v>109418.42</v>
      </c>
      <c r="H265" s="364">
        <f t="shared" si="45"/>
        <v>-0.31081658828559211</v>
      </c>
      <c r="I265" s="363"/>
    </row>
    <row r="266" spans="2:9" x14ac:dyDescent="0.25">
      <c r="B266" s="620">
        <v>42342</v>
      </c>
      <c r="C266" s="362">
        <v>4178</v>
      </c>
      <c r="D266" s="621">
        <v>24.26</v>
      </c>
      <c r="E266" s="363">
        <v>16.12</v>
      </c>
      <c r="F266" s="363">
        <f t="shared" si="43"/>
        <v>-34008.920000000006</v>
      </c>
      <c r="G266" s="363">
        <f t="shared" si="44"/>
        <v>101358.28000000001</v>
      </c>
      <c r="H266" s="364">
        <f t="shared" si="45"/>
        <v>-0.33553173948887055</v>
      </c>
      <c r="I266" s="363"/>
    </row>
    <row r="267" spans="2:9" x14ac:dyDescent="0.25">
      <c r="B267" s="620">
        <v>42345</v>
      </c>
      <c r="C267" s="362">
        <v>4678</v>
      </c>
      <c r="D267" s="621">
        <v>23.24</v>
      </c>
      <c r="E267" s="363">
        <v>14.78</v>
      </c>
      <c r="F267" s="363">
        <f t="shared" si="43"/>
        <v>-39575.879999999997</v>
      </c>
      <c r="G267" s="363">
        <f t="shared" si="44"/>
        <v>108716.71999999999</v>
      </c>
      <c r="H267" s="364">
        <f t="shared" si="45"/>
        <v>-0.36402753872633387</v>
      </c>
      <c r="I267" s="363"/>
    </row>
    <row r="268" spans="2:9" x14ac:dyDescent="0.25">
      <c r="B268" s="620">
        <v>42347</v>
      </c>
      <c r="C268" s="362">
        <v>4778</v>
      </c>
      <c r="D268" s="621">
        <v>23.06</v>
      </c>
      <c r="E268" s="363">
        <v>14.92</v>
      </c>
      <c r="F268" s="363">
        <f t="shared" si="43"/>
        <v>-38892.919999999991</v>
      </c>
      <c r="G268" s="363">
        <f t="shared" si="44"/>
        <v>110180.68</v>
      </c>
      <c r="H268" s="364">
        <f t="shared" si="45"/>
        <v>-0.3529921942758022</v>
      </c>
      <c r="I268" s="363"/>
    </row>
    <row r="269" spans="2:9" x14ac:dyDescent="0.25">
      <c r="B269" s="620">
        <v>42348</v>
      </c>
      <c r="C269" s="362">
        <v>4178</v>
      </c>
      <c r="D269" s="621">
        <v>24.23</v>
      </c>
      <c r="E269" s="363">
        <v>14.74</v>
      </c>
      <c r="F269" s="363">
        <f t="shared" si="43"/>
        <v>-39649.22</v>
      </c>
      <c r="G269" s="363">
        <f t="shared" si="44"/>
        <v>101232.94</v>
      </c>
      <c r="H269" s="364">
        <f t="shared" si="45"/>
        <v>-0.39166322740404458</v>
      </c>
      <c r="I269" s="363"/>
    </row>
    <row r="270" spans="2:9" x14ac:dyDescent="0.25">
      <c r="B270" s="620">
        <v>42349</v>
      </c>
      <c r="C270" s="362">
        <v>3678</v>
      </c>
      <c r="D270" s="621">
        <v>25.57</v>
      </c>
      <c r="E270" s="363">
        <v>14.34</v>
      </c>
      <c r="F270" s="363">
        <f t="shared" si="43"/>
        <v>-41303.94</v>
      </c>
      <c r="G270" s="363">
        <f t="shared" si="44"/>
        <v>94046.46</v>
      </c>
      <c r="H270" s="364">
        <f t="shared" si="45"/>
        <v>-0.43918654673445445</v>
      </c>
      <c r="I270" s="363"/>
    </row>
    <row r="271" spans="2:9" x14ac:dyDescent="0.25">
      <c r="B271" s="620">
        <v>42352</v>
      </c>
      <c r="C271" s="362">
        <v>4178</v>
      </c>
      <c r="D271" s="621">
        <v>24.18</v>
      </c>
      <c r="E271" s="363">
        <v>13.96</v>
      </c>
      <c r="F271" s="363">
        <f t="shared" si="43"/>
        <v>-42699.159999999996</v>
      </c>
      <c r="G271" s="363">
        <f t="shared" si="44"/>
        <v>101024.04</v>
      </c>
      <c r="H271" s="364">
        <f t="shared" si="45"/>
        <v>-0.42266335814722905</v>
      </c>
      <c r="I271" s="363"/>
    </row>
    <row r="272" spans="2:9" x14ac:dyDescent="0.25">
      <c r="B272" s="620">
        <v>42355</v>
      </c>
      <c r="C272" s="362">
        <v>4678</v>
      </c>
      <c r="D272" s="621">
        <v>22.98</v>
      </c>
      <c r="E272" s="363">
        <v>12.78</v>
      </c>
      <c r="F272" s="363">
        <f t="shared" si="43"/>
        <v>-47715.600000000006</v>
      </c>
      <c r="G272" s="363">
        <f t="shared" si="44"/>
        <v>107500.44</v>
      </c>
      <c r="H272" s="364">
        <f t="shared" si="45"/>
        <v>-0.44386422976501311</v>
      </c>
      <c r="I272" s="363"/>
    </row>
    <row r="273" spans="2:9" x14ac:dyDescent="0.25">
      <c r="B273" s="620">
        <v>42356</v>
      </c>
      <c r="C273" s="362">
        <v>5178</v>
      </c>
      <c r="D273" s="621">
        <v>21.99</v>
      </c>
      <c r="E273" s="363">
        <v>12.95</v>
      </c>
      <c r="F273" s="363">
        <f t="shared" si="43"/>
        <v>-46809.119999999995</v>
      </c>
      <c r="G273" s="363">
        <f t="shared" si="44"/>
        <v>113864.21999999999</v>
      </c>
      <c r="H273" s="364">
        <f t="shared" si="45"/>
        <v>-0.41109595270577537</v>
      </c>
      <c r="I273" s="363"/>
    </row>
    <row r="274" spans="2:9" x14ac:dyDescent="0.25">
      <c r="B274" s="620">
        <v>42356</v>
      </c>
      <c r="C274" s="362">
        <v>6178</v>
      </c>
      <c r="D274" s="621">
        <v>20.48</v>
      </c>
      <c r="E274" s="363">
        <v>12.76</v>
      </c>
      <c r="F274" s="363">
        <f t="shared" si="43"/>
        <v>-47694.16</v>
      </c>
      <c r="G274" s="363">
        <f t="shared" si="44"/>
        <v>126525.44</v>
      </c>
      <c r="H274" s="364">
        <f t="shared" si="45"/>
        <v>-0.376953125</v>
      </c>
      <c r="I274" s="363"/>
    </row>
    <row r="275" spans="2:9" x14ac:dyDescent="0.25">
      <c r="B275" s="620">
        <v>42356</v>
      </c>
      <c r="C275" s="362">
        <v>6400</v>
      </c>
      <c r="D275" s="621">
        <v>20.2</v>
      </c>
      <c r="E275" s="363">
        <v>12.68</v>
      </c>
      <c r="F275" s="363">
        <f t="shared" si="43"/>
        <v>-48128</v>
      </c>
      <c r="G275" s="363">
        <f t="shared" si="44"/>
        <v>129280</v>
      </c>
      <c r="H275" s="364">
        <f t="shared" si="45"/>
        <v>-0.37227722772277227</v>
      </c>
      <c r="I275" s="363"/>
    </row>
    <row r="276" spans="2:9" x14ac:dyDescent="0.25">
      <c r="B276" s="620">
        <v>42359</v>
      </c>
      <c r="C276" s="362">
        <v>5178</v>
      </c>
      <c r="D276" s="621">
        <v>21.96</v>
      </c>
      <c r="E276" s="363">
        <v>12.66</v>
      </c>
      <c r="F276" s="363">
        <f t="shared" si="43"/>
        <v>-48155.4</v>
      </c>
      <c r="G276" s="363">
        <f t="shared" si="44"/>
        <v>113708.88</v>
      </c>
      <c r="H276" s="364">
        <f t="shared" si="45"/>
        <v>-0.42349726775956287</v>
      </c>
      <c r="I276" s="363"/>
    </row>
    <row r="277" spans="2:9" x14ac:dyDescent="0.25">
      <c r="B277" s="620">
        <v>42361</v>
      </c>
      <c r="C277" s="362">
        <v>4178</v>
      </c>
      <c r="D277" s="621">
        <v>24.07</v>
      </c>
      <c r="E277" s="363">
        <v>13.96</v>
      </c>
      <c r="F277" s="363">
        <f t="shared" si="43"/>
        <v>-42239.579999999994</v>
      </c>
      <c r="G277" s="363">
        <f t="shared" si="44"/>
        <v>100564.46</v>
      </c>
      <c r="H277" s="364">
        <f t="shared" si="45"/>
        <v>-0.42002492729538843</v>
      </c>
      <c r="I277" s="363"/>
    </row>
    <row r="278" spans="2:9" x14ac:dyDescent="0.25">
      <c r="B278" s="620">
        <v>42361</v>
      </c>
      <c r="C278" s="362">
        <v>4178</v>
      </c>
      <c r="D278" s="621">
        <v>24.03</v>
      </c>
      <c r="E278" s="363">
        <v>13.96</v>
      </c>
      <c r="F278" s="363">
        <f t="shared" si="43"/>
        <v>-42072.46</v>
      </c>
      <c r="G278" s="363">
        <f t="shared" si="44"/>
        <v>100397.34000000001</v>
      </c>
      <c r="H278" s="364">
        <f t="shared" si="45"/>
        <v>-0.41905950894714938</v>
      </c>
      <c r="I278" s="363"/>
    </row>
    <row r="279" spans="2:9" x14ac:dyDescent="0.25">
      <c r="B279" s="620">
        <v>42366</v>
      </c>
      <c r="C279" s="383">
        <v>6678</v>
      </c>
      <c r="D279" s="622">
        <v>19.91</v>
      </c>
      <c r="E279" s="363">
        <v>13.09</v>
      </c>
      <c r="F279" s="363">
        <f t="shared" si="43"/>
        <v>-45543.96</v>
      </c>
      <c r="G279" s="363">
        <f t="shared" si="44"/>
        <v>132958.98000000001</v>
      </c>
      <c r="H279" s="364">
        <f t="shared" si="45"/>
        <v>-0.34254143646408841</v>
      </c>
      <c r="I279" s="363"/>
    </row>
    <row r="280" spans="2:9" x14ac:dyDescent="0.25">
      <c r="B280" s="620">
        <v>42367</v>
      </c>
      <c r="C280" s="383">
        <v>8678</v>
      </c>
      <c r="D280" s="622">
        <v>18.32</v>
      </c>
      <c r="E280" s="363">
        <v>13.03</v>
      </c>
      <c r="F280" s="363">
        <f t="shared" si="43"/>
        <v>-45906.62000000001</v>
      </c>
      <c r="G280" s="363">
        <f t="shared" si="44"/>
        <v>158980.96</v>
      </c>
      <c r="H280" s="364">
        <f t="shared" si="45"/>
        <v>-0.28875545851528389</v>
      </c>
      <c r="I280" s="363"/>
    </row>
    <row r="281" spans="2:9" x14ac:dyDescent="0.25">
      <c r="B281" s="620">
        <v>42368</v>
      </c>
      <c r="C281" s="362">
        <v>9678</v>
      </c>
      <c r="D281" s="621">
        <v>17.73</v>
      </c>
      <c r="E281" s="363">
        <v>12.38</v>
      </c>
      <c r="F281" s="363">
        <f t="shared" si="43"/>
        <v>-51777.299999999996</v>
      </c>
      <c r="G281" s="363">
        <f t="shared" si="44"/>
        <v>171590.94</v>
      </c>
      <c r="H281" s="365">
        <f t="shared" si="45"/>
        <v>-0.30174844895657077</v>
      </c>
      <c r="I281" s="363"/>
    </row>
    <row r="282" spans="2:9" x14ac:dyDescent="0.25">
      <c r="B282" s="620">
        <v>42369</v>
      </c>
      <c r="C282" s="362">
        <v>8678</v>
      </c>
      <c r="D282" s="621">
        <v>18.312999999999999</v>
      </c>
      <c r="E282" s="363">
        <v>12.59</v>
      </c>
      <c r="F282" s="363">
        <f t="shared" si="43"/>
        <v>-49664.193999999989</v>
      </c>
      <c r="G282" s="363">
        <f t="shared" si="44"/>
        <v>158920.21399999998</v>
      </c>
      <c r="H282" s="365">
        <f t="shared" si="45"/>
        <v>-0.3125102386282968</v>
      </c>
      <c r="I282" s="363"/>
    </row>
    <row r="283" spans="2:9" x14ac:dyDescent="0.25">
      <c r="B283" s="620">
        <v>42374</v>
      </c>
      <c r="C283" s="362">
        <v>7678</v>
      </c>
      <c r="D283" s="621">
        <v>19.010000000000002</v>
      </c>
      <c r="E283" s="363">
        <v>12.76</v>
      </c>
      <c r="F283" s="363">
        <f t="shared" si="43"/>
        <v>-47987.500000000015</v>
      </c>
      <c r="G283" s="363">
        <f t="shared" si="44"/>
        <v>145958.78</v>
      </c>
      <c r="H283" s="365">
        <f t="shared" si="45"/>
        <v>-0.32877432930036832</v>
      </c>
      <c r="I283" s="363"/>
    </row>
    <row r="284" spans="2:9" x14ac:dyDescent="0.25">
      <c r="B284" s="620">
        <v>42375</v>
      </c>
      <c r="C284" s="362">
        <v>8678</v>
      </c>
      <c r="D284" s="621">
        <v>18.257000000000001</v>
      </c>
      <c r="E284" s="363">
        <v>12.76</v>
      </c>
      <c r="F284" s="363">
        <f t="shared" si="43"/>
        <v>-47702.966000000015</v>
      </c>
      <c r="G284" s="363">
        <f t="shared" si="44"/>
        <v>158434.24600000001</v>
      </c>
      <c r="H284" s="365">
        <f t="shared" si="45"/>
        <v>-0.30108999287944355</v>
      </c>
      <c r="I284" s="363"/>
    </row>
    <row r="285" spans="2:9" x14ac:dyDescent="0.25">
      <c r="B285" s="620">
        <v>42375</v>
      </c>
      <c r="C285" s="362">
        <v>9678</v>
      </c>
      <c r="D285" s="621">
        <v>17.579999999999998</v>
      </c>
      <c r="E285" s="363">
        <v>11.28</v>
      </c>
      <c r="F285" s="363">
        <f t="shared" si="43"/>
        <v>-60971.399999999987</v>
      </c>
      <c r="G285" s="363">
        <f t="shared" si="44"/>
        <v>170139.24</v>
      </c>
      <c r="H285" s="365">
        <f t="shared" si="45"/>
        <v>-0.35836177474402725</v>
      </c>
      <c r="I285" s="363"/>
    </row>
    <row r="286" spans="2:9" x14ac:dyDescent="0.25">
      <c r="B286" s="620">
        <v>42398</v>
      </c>
      <c r="C286" s="362">
        <v>9278</v>
      </c>
      <c r="D286" s="621">
        <v>17.93</v>
      </c>
      <c r="E286" s="363">
        <v>9.56</v>
      </c>
      <c r="F286" s="363">
        <f t="shared" si="43"/>
        <v>-77656.859999999986</v>
      </c>
      <c r="G286" s="363">
        <f t="shared" si="44"/>
        <v>166354.54</v>
      </c>
      <c r="H286" s="365">
        <f t="shared" si="45"/>
        <v>-0.46681539319576126</v>
      </c>
      <c r="I286" s="363"/>
    </row>
    <row r="287" spans="2:9" x14ac:dyDescent="0.25">
      <c r="B287" s="620">
        <v>42402</v>
      </c>
      <c r="C287" s="362">
        <v>9678</v>
      </c>
      <c r="D287" s="621">
        <v>17.559999999999999</v>
      </c>
      <c r="E287" s="363">
        <v>8.74</v>
      </c>
      <c r="F287" s="363">
        <f t="shared" si="43"/>
        <v>-85359.959999999992</v>
      </c>
      <c r="G287" s="363">
        <f t="shared" si="44"/>
        <v>169945.68</v>
      </c>
      <c r="H287" s="365">
        <f t="shared" si="45"/>
        <v>-0.50227790432801822</v>
      </c>
      <c r="I287" s="363"/>
    </row>
    <row r="288" spans="2:9" x14ac:dyDescent="0.25">
      <c r="B288" s="620">
        <v>42411</v>
      </c>
      <c r="C288" s="362">
        <v>9678</v>
      </c>
      <c r="D288" s="621">
        <v>17.553999999999998</v>
      </c>
      <c r="E288" s="363">
        <v>7.13</v>
      </c>
      <c r="F288" s="363">
        <f t="shared" si="43"/>
        <v>-100883.47199999999</v>
      </c>
      <c r="G288" s="363">
        <f t="shared" si="44"/>
        <v>169887.61199999999</v>
      </c>
      <c r="H288" s="364">
        <f t="shared" si="45"/>
        <v>-0.59382476928335426</v>
      </c>
      <c r="I288" s="363"/>
    </row>
    <row r="289" spans="2:14" x14ac:dyDescent="0.25">
      <c r="B289" s="620">
        <v>42412</v>
      </c>
      <c r="C289" s="362">
        <v>9678</v>
      </c>
      <c r="D289" s="621">
        <v>17.55</v>
      </c>
      <c r="E289" s="363">
        <v>7.46</v>
      </c>
      <c r="F289" s="363">
        <f t="shared" si="43"/>
        <v>-97651.02</v>
      </c>
      <c r="G289" s="363">
        <f t="shared" si="44"/>
        <v>169848.9</v>
      </c>
      <c r="H289" s="364">
        <f t="shared" si="45"/>
        <v>-0.57492877492877492</v>
      </c>
      <c r="I289" s="363"/>
    </row>
    <row r="290" spans="2:14" x14ac:dyDescent="0.25">
      <c r="B290" s="620">
        <v>42416</v>
      </c>
      <c r="C290" s="362">
        <v>9178</v>
      </c>
      <c r="D290" s="621">
        <v>18.084</v>
      </c>
      <c r="E290" s="363">
        <v>7.49</v>
      </c>
      <c r="F290" s="363">
        <f t="shared" si="43"/>
        <v>-97231.731999999989</v>
      </c>
      <c r="G290" s="363">
        <f t="shared" si="44"/>
        <v>165974.95199999999</v>
      </c>
      <c r="H290" s="364">
        <f t="shared" si="45"/>
        <v>-0.58582172085821715</v>
      </c>
      <c r="I290" s="363"/>
      <c r="N290" s="70"/>
    </row>
    <row r="291" spans="2:14" x14ac:dyDescent="0.25">
      <c r="B291" s="620">
        <v>42416</v>
      </c>
      <c r="C291" s="362">
        <v>9678</v>
      </c>
      <c r="D291" s="621">
        <v>17.536999999999999</v>
      </c>
      <c r="E291" s="363">
        <v>7.49</v>
      </c>
      <c r="F291" s="363">
        <f t="shared" si="43"/>
        <v>-97234.865999999995</v>
      </c>
      <c r="G291" s="363">
        <f t="shared" si="44"/>
        <v>169723.08599999998</v>
      </c>
      <c r="H291" s="364">
        <f t="shared" si="45"/>
        <v>-0.57290300507498426</v>
      </c>
      <c r="I291" s="363"/>
    </row>
    <row r="292" spans="2:14" x14ac:dyDescent="0.25">
      <c r="B292" s="620">
        <v>42418</v>
      </c>
      <c r="C292" s="362">
        <v>13478</v>
      </c>
      <c r="D292" s="621">
        <v>14.673999999999999</v>
      </c>
      <c r="E292" s="363">
        <v>6.93</v>
      </c>
      <c r="F292" s="363">
        <f t="shared" si="43"/>
        <v>-104373.632</v>
      </c>
      <c r="G292" s="363">
        <f t="shared" si="44"/>
        <v>197776.17199999999</v>
      </c>
      <c r="H292" s="364">
        <f t="shared" si="45"/>
        <v>-0.52773613193403301</v>
      </c>
      <c r="I292" s="363"/>
    </row>
    <row r="293" spans="2:14" x14ac:dyDescent="0.25">
      <c r="B293" s="620">
        <v>42422</v>
      </c>
      <c r="C293" s="362">
        <v>10978</v>
      </c>
      <c r="D293" s="621">
        <v>16.314</v>
      </c>
      <c r="E293" s="363">
        <v>7.49</v>
      </c>
      <c r="F293" s="363">
        <f t="shared" si="43"/>
        <v>-96869.872000000003</v>
      </c>
      <c r="G293" s="363">
        <f>IF(C293=0, 0,D293*C293)</f>
        <v>179095.092</v>
      </c>
      <c r="H293" s="364">
        <f>IF(C293=0, D293, (E293-D293)/D293)</f>
        <v>-0.54088512933676591</v>
      </c>
      <c r="I293" s="363"/>
    </row>
    <row r="294" spans="2:14" x14ac:dyDescent="0.25">
      <c r="B294" s="620">
        <v>42422</v>
      </c>
      <c r="C294" s="362">
        <v>9978</v>
      </c>
      <c r="D294" s="621">
        <v>17.199000000000002</v>
      </c>
      <c r="E294" s="363">
        <v>7.49</v>
      </c>
      <c r="F294" s="363">
        <f t="shared" si="43"/>
        <v>-96876.402000000016</v>
      </c>
      <c r="G294" s="363">
        <f>IF(C294=0, 0,D294*C294)</f>
        <v>171611.622</v>
      </c>
      <c r="H294" s="364">
        <f>IF(C294=0, D294, (E294-D294)/D294)</f>
        <v>-0.56450956450956458</v>
      </c>
      <c r="I294" s="363"/>
    </row>
    <row r="295" spans="2:14" x14ac:dyDescent="0.25">
      <c r="B295" s="620">
        <v>42426</v>
      </c>
      <c r="C295" s="362">
        <v>9678</v>
      </c>
      <c r="D295" s="621">
        <v>17.489000000000001</v>
      </c>
      <c r="E295" s="363">
        <v>7.49</v>
      </c>
      <c r="F295" s="363">
        <f t="shared" ref="F295:F303" si="46">C295*(E295-D295)</f>
        <v>-96770.322</v>
      </c>
      <c r="G295" s="363">
        <f>IF(C295=0, 0,D295*C295)</f>
        <v>169258.54200000002</v>
      </c>
      <c r="H295" s="364">
        <f>IF(C295=0, D295, (E295-D295)/D295)</f>
        <v>-0.57173080221853734</v>
      </c>
      <c r="I295" s="363"/>
    </row>
    <row r="296" spans="2:14" x14ac:dyDescent="0.25">
      <c r="B296" s="620">
        <v>42426</v>
      </c>
      <c r="C296" s="362">
        <v>9178</v>
      </c>
      <c r="D296" s="621">
        <v>18.02</v>
      </c>
      <c r="E296" s="363">
        <v>7.76</v>
      </c>
      <c r="F296" s="363">
        <f t="shared" si="46"/>
        <v>-94166.28</v>
      </c>
      <c r="G296" s="363">
        <f t="shared" ref="G296:G303" si="47">IF(C296=0, 0,D296*C296)</f>
        <v>165387.56</v>
      </c>
      <c r="H296" s="364">
        <f t="shared" ref="H296:H303" si="48">IF(C296=0, D296, (E296-D296)/D296)</f>
        <v>-0.5693673695893452</v>
      </c>
      <c r="I296" s="363"/>
    </row>
    <row r="297" spans="2:14" x14ac:dyDescent="0.25">
      <c r="B297" s="620">
        <v>42426</v>
      </c>
      <c r="C297" s="362">
        <v>8178</v>
      </c>
      <c r="D297" s="621">
        <v>19.245999999999999</v>
      </c>
      <c r="E297" s="363">
        <v>8</v>
      </c>
      <c r="F297" s="363">
        <f t="shared" si="46"/>
        <v>-91969.787999999986</v>
      </c>
      <c r="G297" s="363">
        <f t="shared" si="47"/>
        <v>157393.788</v>
      </c>
      <c r="H297" s="364">
        <f t="shared" si="48"/>
        <v>-0.58432921126467829</v>
      </c>
      <c r="I297" s="363"/>
    </row>
    <row r="298" spans="2:14" x14ac:dyDescent="0.25">
      <c r="B298" s="620">
        <v>42426</v>
      </c>
      <c r="C298" s="362">
        <v>6678</v>
      </c>
      <c r="D298" s="621">
        <v>21.75</v>
      </c>
      <c r="E298" s="363">
        <v>8.1</v>
      </c>
      <c r="F298" s="363">
        <f t="shared" si="46"/>
        <v>-91154.7</v>
      </c>
      <c r="G298" s="363">
        <f t="shared" si="47"/>
        <v>145246.5</v>
      </c>
      <c r="H298" s="364">
        <f t="shared" si="48"/>
        <v>-0.62758620689655176</v>
      </c>
      <c r="I298" s="363"/>
    </row>
    <row r="299" spans="2:14" x14ac:dyDescent="0.25">
      <c r="B299" s="620">
        <v>42426</v>
      </c>
      <c r="C299" s="362">
        <v>8678</v>
      </c>
      <c r="D299" s="621">
        <v>18.568999999999999</v>
      </c>
      <c r="E299" s="363">
        <v>7.94</v>
      </c>
      <c r="F299" s="363">
        <f t="shared" si="46"/>
        <v>-92238.461999999985</v>
      </c>
      <c r="G299" s="363">
        <f t="shared" si="47"/>
        <v>161141.78199999998</v>
      </c>
      <c r="H299" s="364">
        <f t="shared" si="48"/>
        <v>-0.57240562227368186</v>
      </c>
      <c r="I299" s="363"/>
    </row>
    <row r="300" spans="2:14" x14ac:dyDescent="0.25">
      <c r="B300" s="620">
        <v>42429</v>
      </c>
      <c r="C300" s="362">
        <v>7678</v>
      </c>
      <c r="D300" s="621">
        <v>19.876000000000001</v>
      </c>
      <c r="E300" s="363">
        <v>8.2100000000000009</v>
      </c>
      <c r="F300" s="363">
        <f t="shared" si="46"/>
        <v>-89571.54800000001</v>
      </c>
      <c r="G300" s="363">
        <f t="shared" si="47"/>
        <v>152607.92800000001</v>
      </c>
      <c r="H300" s="364">
        <f t="shared" si="48"/>
        <v>-0.58693902193600322</v>
      </c>
      <c r="I300" s="363"/>
    </row>
    <row r="301" spans="2:14" x14ac:dyDescent="0.25">
      <c r="B301" s="620">
        <v>42429</v>
      </c>
      <c r="C301" s="362">
        <v>9678</v>
      </c>
      <c r="D301" s="621">
        <v>17.463000000000001</v>
      </c>
      <c r="E301" s="363">
        <v>8.2100000000000009</v>
      </c>
      <c r="F301" s="363">
        <f t="shared" si="46"/>
        <v>-89550.534</v>
      </c>
      <c r="G301" s="363">
        <f t="shared" si="47"/>
        <v>169006.91400000002</v>
      </c>
      <c r="H301" s="364">
        <f t="shared" si="48"/>
        <v>-0.5298631392086125</v>
      </c>
      <c r="I301" s="363"/>
    </row>
    <row r="302" spans="2:14" x14ac:dyDescent="0.25">
      <c r="B302" s="620">
        <v>42429</v>
      </c>
      <c r="C302" s="362">
        <v>9178</v>
      </c>
      <c r="D302" s="621">
        <v>17.981000000000002</v>
      </c>
      <c r="E302" s="363">
        <v>8.2100000000000009</v>
      </c>
      <c r="F302" s="363">
        <f t="shared" si="46"/>
        <v>-89678.238000000012</v>
      </c>
      <c r="G302" s="363">
        <f t="shared" si="47"/>
        <v>165029.61800000002</v>
      </c>
      <c r="H302" s="364">
        <f t="shared" si="48"/>
        <v>-0.5434069295367332</v>
      </c>
      <c r="I302" s="363"/>
    </row>
    <row r="303" spans="2:14" x14ac:dyDescent="0.25">
      <c r="B303" s="620">
        <v>42429</v>
      </c>
      <c r="C303" s="362">
        <v>9678</v>
      </c>
      <c r="D303" s="621">
        <v>17.459</v>
      </c>
      <c r="E303" s="363">
        <v>8.2100000000000009</v>
      </c>
      <c r="F303" s="363">
        <f t="shared" si="46"/>
        <v>-89511.821999999986</v>
      </c>
      <c r="G303" s="363">
        <f t="shared" si="47"/>
        <v>168968.20199999999</v>
      </c>
      <c r="H303" s="364">
        <f t="shared" si="48"/>
        <v>-0.5297554270004009</v>
      </c>
      <c r="I303" s="363"/>
    </row>
    <row r="304" spans="2:14" x14ac:dyDescent="0.25">
      <c r="B304" s="620">
        <v>42429</v>
      </c>
      <c r="C304" s="362">
        <v>9178</v>
      </c>
      <c r="D304" s="621">
        <v>17.975999999999999</v>
      </c>
      <c r="E304" s="363">
        <v>8.2100000000000009</v>
      </c>
      <c r="F304" s="363">
        <f t="shared" ref="F304:F315" si="49">C304*(E304-D304)</f>
        <v>-89632.347999999984</v>
      </c>
      <c r="G304" s="363">
        <f t="shared" ref="G304:G315" si="50">IF(C304=0, 0,D304*C304)</f>
        <v>164983.728</v>
      </c>
      <c r="H304" s="364">
        <f t="shared" ref="H304:H355" si="51">IF(C304=0, D304, (E304-D304)/D304)</f>
        <v>-0.54327992879394738</v>
      </c>
      <c r="I304" s="363" t="s">
        <v>186</v>
      </c>
    </row>
    <row r="305" spans="2:14" x14ac:dyDescent="0.25">
      <c r="B305" s="620">
        <v>42430</v>
      </c>
      <c r="C305" s="383">
        <v>10178</v>
      </c>
      <c r="D305" s="622">
        <v>16.974</v>
      </c>
      <c r="E305" s="363">
        <v>7.8</v>
      </c>
      <c r="F305" s="363">
        <f t="shared" si="49"/>
        <v>-93372.971999999994</v>
      </c>
      <c r="G305" s="363">
        <f t="shared" si="50"/>
        <v>172761.372</v>
      </c>
      <c r="H305" s="364">
        <f t="shared" si="51"/>
        <v>-0.54047366560622123</v>
      </c>
      <c r="I305" s="363"/>
    </row>
    <row r="306" spans="2:14" x14ac:dyDescent="0.25">
      <c r="B306" s="620">
        <v>42430</v>
      </c>
      <c r="C306" s="383">
        <v>9678</v>
      </c>
      <c r="D306" s="622">
        <v>17.440000000000001</v>
      </c>
      <c r="E306" s="363">
        <v>7.96</v>
      </c>
      <c r="F306" s="363">
        <f t="shared" si="49"/>
        <v>-91747.44</v>
      </c>
      <c r="G306" s="363">
        <f t="shared" si="50"/>
        <v>168784.32</v>
      </c>
      <c r="H306" s="364">
        <f t="shared" si="51"/>
        <v>-0.54357798165137616</v>
      </c>
      <c r="I306" s="363"/>
    </row>
    <row r="307" spans="2:14" x14ac:dyDescent="0.25">
      <c r="B307" s="620">
        <v>42431</v>
      </c>
      <c r="C307" s="362">
        <v>8678</v>
      </c>
      <c r="D307" s="621">
        <v>18.405999999999999</v>
      </c>
      <c r="E307" s="363">
        <v>9.1</v>
      </c>
      <c r="F307" s="363">
        <f t="shared" si="49"/>
        <v>-80757.467999999993</v>
      </c>
      <c r="G307" s="363">
        <f t="shared" si="50"/>
        <v>159727.26799999998</v>
      </c>
      <c r="H307" s="365">
        <f t="shared" si="51"/>
        <v>-0.50559600130392257</v>
      </c>
      <c r="I307" s="363"/>
    </row>
    <row r="308" spans="2:14" x14ac:dyDescent="0.25">
      <c r="B308" s="620">
        <v>42432</v>
      </c>
      <c r="C308" s="362">
        <v>9278</v>
      </c>
      <c r="D308" s="621">
        <v>17.771999999999998</v>
      </c>
      <c r="E308" s="363">
        <v>9.9700000000000006</v>
      </c>
      <c r="F308" s="363">
        <f t="shared" si="49"/>
        <v>-72386.955999999976</v>
      </c>
      <c r="G308" s="363">
        <f t="shared" si="50"/>
        <v>164888.61599999998</v>
      </c>
      <c r="H308" s="365">
        <f t="shared" si="51"/>
        <v>-0.43900517668242173</v>
      </c>
      <c r="I308" s="363"/>
    </row>
    <row r="309" spans="2:14" x14ac:dyDescent="0.25">
      <c r="B309" s="620">
        <v>42433</v>
      </c>
      <c r="C309" s="362">
        <v>9278</v>
      </c>
      <c r="D309" s="621">
        <v>17.771999999999998</v>
      </c>
      <c r="E309" s="363">
        <v>11</v>
      </c>
      <c r="F309" s="363">
        <f t="shared" si="49"/>
        <v>-62830.615999999987</v>
      </c>
      <c r="G309" s="363">
        <f t="shared" si="50"/>
        <v>164888.61599999998</v>
      </c>
      <c r="H309" s="365">
        <f t="shared" si="51"/>
        <v>-0.38104884087328378</v>
      </c>
      <c r="I309" s="363"/>
    </row>
    <row r="310" spans="2:14" x14ac:dyDescent="0.25">
      <c r="B310" s="620">
        <v>42439</v>
      </c>
      <c r="C310" s="362">
        <v>9278</v>
      </c>
      <c r="D310" s="621">
        <v>17.718</v>
      </c>
      <c r="E310" s="363">
        <v>10.59</v>
      </c>
      <c r="F310" s="363">
        <f t="shared" si="49"/>
        <v>-66133.584000000003</v>
      </c>
      <c r="G310" s="363">
        <f t="shared" si="50"/>
        <v>164387.60399999999</v>
      </c>
      <c r="H310" s="365">
        <f t="shared" si="51"/>
        <v>-0.40230274297324753</v>
      </c>
      <c r="I310" s="363" t="s">
        <v>185</v>
      </c>
    </row>
    <row r="311" spans="2:14" x14ac:dyDescent="0.25">
      <c r="B311" s="620">
        <v>42440</v>
      </c>
      <c r="C311" s="362">
        <v>9278</v>
      </c>
      <c r="D311" s="621">
        <v>17.712</v>
      </c>
      <c r="E311" s="363">
        <v>11.12</v>
      </c>
      <c r="F311" s="363">
        <f t="shared" si="49"/>
        <v>-61160.576000000008</v>
      </c>
      <c r="G311" s="363">
        <f t="shared" si="50"/>
        <v>164331.93599999999</v>
      </c>
      <c r="H311" s="365">
        <f t="shared" si="51"/>
        <v>-0.37217705510388438</v>
      </c>
      <c r="I311" s="363"/>
    </row>
    <row r="312" spans="2:14" x14ac:dyDescent="0.25">
      <c r="B312" s="620">
        <v>42446</v>
      </c>
      <c r="C312" s="362">
        <v>9278</v>
      </c>
      <c r="D312" s="621">
        <v>17.704999999999998</v>
      </c>
      <c r="E312" s="363">
        <v>11.45</v>
      </c>
      <c r="F312" s="363">
        <f t="shared" si="49"/>
        <v>-58033.889999999992</v>
      </c>
      <c r="G312" s="363">
        <f t="shared" si="50"/>
        <v>164266.99</v>
      </c>
      <c r="H312" s="365">
        <f t="shared" si="51"/>
        <v>-0.353290031064671</v>
      </c>
      <c r="I312" s="363"/>
    </row>
    <row r="313" spans="2:14" x14ac:dyDescent="0.25">
      <c r="B313" s="620">
        <v>42447</v>
      </c>
      <c r="C313" s="362">
        <v>7928</v>
      </c>
      <c r="D313" s="621">
        <v>18.734999999999999</v>
      </c>
      <c r="E313" s="363">
        <v>11.63</v>
      </c>
      <c r="F313" s="363">
        <f t="shared" si="49"/>
        <v>-56328.439999999988</v>
      </c>
      <c r="G313" s="363">
        <f t="shared" si="50"/>
        <v>148531.07999999999</v>
      </c>
      <c r="H313" s="365">
        <f t="shared" si="51"/>
        <v>-0.37923672271150249</v>
      </c>
      <c r="I313" s="363"/>
    </row>
    <row r="314" spans="2:14" x14ac:dyDescent="0.25">
      <c r="B314" s="620">
        <v>42450</v>
      </c>
      <c r="C314" s="362">
        <v>9278</v>
      </c>
      <c r="D314" s="621">
        <v>17.670000000000002</v>
      </c>
      <c r="E314" s="363">
        <v>11.43</v>
      </c>
      <c r="F314" s="363">
        <f t="shared" si="49"/>
        <v>-57894.720000000016</v>
      </c>
      <c r="G314" s="363">
        <f t="shared" si="50"/>
        <v>163942.26</v>
      </c>
      <c r="H314" s="364">
        <f t="shared" si="51"/>
        <v>-0.35314091680814946</v>
      </c>
      <c r="I314" s="363"/>
    </row>
    <row r="315" spans="2:14" x14ac:dyDescent="0.25">
      <c r="B315" s="620">
        <v>42451</v>
      </c>
      <c r="C315" s="362">
        <v>9628</v>
      </c>
      <c r="D315" s="621">
        <v>17.428000000000001</v>
      </c>
      <c r="E315" s="363">
        <v>11.31</v>
      </c>
      <c r="F315" s="363">
        <f t="shared" si="49"/>
        <v>-58904.104000000007</v>
      </c>
      <c r="G315" s="363">
        <f t="shared" si="50"/>
        <v>167796.78400000001</v>
      </c>
      <c r="H315" s="364">
        <f t="shared" si="51"/>
        <v>-0.35104429653431263</v>
      </c>
      <c r="I315" s="363"/>
    </row>
    <row r="316" spans="2:14" x14ac:dyDescent="0.25">
      <c r="B316" s="620">
        <v>42453</v>
      </c>
      <c r="C316" s="362">
        <v>13278</v>
      </c>
      <c r="D316" s="621">
        <v>15.5565</v>
      </c>
      <c r="E316" s="363">
        <v>10.29</v>
      </c>
      <c r="F316" s="363">
        <f t="shared" ref="F316:F355" si="52">C316*(E316-D316)</f>
        <v>-69928.587000000014</v>
      </c>
      <c r="G316" s="363">
        <f t="shared" ref="G316:G355" si="53">IF(C316=0, 0,D316*C316)</f>
        <v>206559.20699999999</v>
      </c>
      <c r="H316" s="364">
        <f t="shared" si="51"/>
        <v>-0.33854016006171056</v>
      </c>
      <c r="I316" s="363"/>
    </row>
    <row r="317" spans="2:14" x14ac:dyDescent="0.25">
      <c r="B317" s="620">
        <v>42459</v>
      </c>
      <c r="C317" s="362">
        <v>11278</v>
      </c>
      <c r="D317" s="621">
        <v>16.408899999999999</v>
      </c>
      <c r="E317" s="363">
        <v>10.53</v>
      </c>
      <c r="F317" s="363">
        <f t="shared" si="52"/>
        <v>-66302.234199999992</v>
      </c>
      <c r="G317" s="363">
        <f t="shared" si="53"/>
        <v>185059.5742</v>
      </c>
      <c r="H317" s="364">
        <f t="shared" si="51"/>
        <v>-0.35827508242478168</v>
      </c>
      <c r="I317" s="363"/>
      <c r="N317" s="70"/>
    </row>
    <row r="318" spans="2:14" x14ac:dyDescent="0.25">
      <c r="B318" s="620">
        <v>42460</v>
      </c>
      <c r="C318" s="362">
        <v>9678</v>
      </c>
      <c r="D318" s="621">
        <v>17.311699999999998</v>
      </c>
      <c r="E318" s="363">
        <v>11.14</v>
      </c>
      <c r="F318" s="363">
        <f t="shared" si="52"/>
        <v>-59729.712599999977</v>
      </c>
      <c r="G318" s="363">
        <f t="shared" si="53"/>
        <v>167542.63259999998</v>
      </c>
      <c r="H318" s="364">
        <f t="shared" si="51"/>
        <v>-0.35650456049954643</v>
      </c>
      <c r="I318" s="363"/>
    </row>
    <row r="319" spans="2:14" x14ac:dyDescent="0.25">
      <c r="B319" s="620">
        <v>42461</v>
      </c>
      <c r="C319" s="362">
        <v>11678</v>
      </c>
      <c r="D319" s="621">
        <v>16.116</v>
      </c>
      <c r="E319" s="363">
        <v>10.53</v>
      </c>
      <c r="F319" s="363">
        <f t="shared" si="52"/>
        <v>-65233.308000000005</v>
      </c>
      <c r="G319" s="363">
        <f t="shared" si="53"/>
        <v>188202.64799999999</v>
      </c>
      <c r="H319" s="364">
        <f t="shared" si="51"/>
        <v>-0.34661206254653765</v>
      </c>
      <c r="I319" s="363"/>
    </row>
    <row r="320" spans="2:14" x14ac:dyDescent="0.25">
      <c r="B320" s="620">
        <v>42461</v>
      </c>
      <c r="C320" s="362">
        <v>9678</v>
      </c>
      <c r="D320" s="621">
        <v>17.266200000000001</v>
      </c>
      <c r="E320" s="363">
        <v>10.56</v>
      </c>
      <c r="F320" s="363">
        <f t="shared" si="52"/>
        <v>-64902.603600000009</v>
      </c>
      <c r="G320" s="363">
        <f t="shared" si="53"/>
        <v>167102.28360000002</v>
      </c>
      <c r="H320" s="364">
        <f t="shared" si="51"/>
        <v>-0.388400458699656</v>
      </c>
      <c r="I320" s="363"/>
    </row>
    <row r="321" spans="2:14" ht="15" customHeight="1" x14ac:dyDescent="0.25">
      <c r="B321" s="620">
        <v>42464</v>
      </c>
      <c r="C321" s="362">
        <v>9778</v>
      </c>
      <c r="D321" s="621">
        <v>17.196100000000001</v>
      </c>
      <c r="E321" s="363">
        <v>10.4</v>
      </c>
      <c r="F321" s="363">
        <f t="shared" si="52"/>
        <v>-66452.265800000008</v>
      </c>
      <c r="G321" s="363">
        <f t="shared" si="53"/>
        <v>168143.46580000001</v>
      </c>
      <c r="H321" s="364">
        <f t="shared" si="51"/>
        <v>-0.3952117049796175</v>
      </c>
      <c r="I321" s="363"/>
    </row>
    <row r="322" spans="2:14" x14ac:dyDescent="0.25">
      <c r="B322" s="620">
        <v>42465</v>
      </c>
      <c r="C322" s="362">
        <v>9678</v>
      </c>
      <c r="D322" s="621">
        <v>17.262699999999999</v>
      </c>
      <c r="E322" s="363">
        <v>10.63</v>
      </c>
      <c r="F322" s="363">
        <f t="shared" si="52"/>
        <v>-64191.270599999982</v>
      </c>
      <c r="G322" s="363">
        <f t="shared" si="53"/>
        <v>167068.4106</v>
      </c>
      <c r="H322" s="364">
        <f t="shared" si="51"/>
        <v>-0.38422147172806098</v>
      </c>
      <c r="I322" s="363"/>
    </row>
    <row r="323" spans="2:14" x14ac:dyDescent="0.25">
      <c r="B323" s="620">
        <v>42469</v>
      </c>
      <c r="C323" s="362">
        <v>8678</v>
      </c>
      <c r="D323" s="621">
        <v>17.895700000000001</v>
      </c>
      <c r="E323" s="363">
        <v>11.78</v>
      </c>
      <c r="F323" s="363">
        <f t="shared" si="52"/>
        <v>-53072.044600000016</v>
      </c>
      <c r="G323" s="363">
        <f t="shared" si="53"/>
        <v>155298.88460000002</v>
      </c>
      <c r="H323" s="364">
        <f t="shared" si="51"/>
        <v>-0.34174131215878684</v>
      </c>
      <c r="I323" s="363"/>
    </row>
    <row r="324" spans="2:14" x14ac:dyDescent="0.25">
      <c r="B324" s="620">
        <v>42471</v>
      </c>
      <c r="C324" s="362">
        <v>9678</v>
      </c>
      <c r="D324" s="621">
        <v>17.2514</v>
      </c>
      <c r="E324" s="363">
        <v>11.67</v>
      </c>
      <c r="F324" s="363">
        <f t="shared" si="52"/>
        <v>-54016.789200000007</v>
      </c>
      <c r="G324" s="363">
        <f t="shared" si="53"/>
        <v>166959.04920000001</v>
      </c>
      <c r="H324" s="364">
        <f t="shared" si="51"/>
        <v>-0.32353316252593994</v>
      </c>
      <c r="I324" s="363"/>
    </row>
    <row r="325" spans="2:14" x14ac:dyDescent="0.25">
      <c r="B325" s="620">
        <v>42472</v>
      </c>
      <c r="C325" s="362">
        <v>8288</v>
      </c>
      <c r="D325" s="621">
        <v>17.96</v>
      </c>
      <c r="E325" s="363">
        <v>13.05</v>
      </c>
      <c r="F325" s="363">
        <f t="shared" si="52"/>
        <v>-40694.080000000002</v>
      </c>
      <c r="G325" s="363">
        <f t="shared" si="53"/>
        <v>148852.48000000001</v>
      </c>
      <c r="H325" s="364">
        <f t="shared" si="51"/>
        <v>-0.27338530066815142</v>
      </c>
      <c r="I325" s="363"/>
    </row>
    <row r="326" spans="2:14" x14ac:dyDescent="0.25">
      <c r="B326" s="620">
        <v>42473</v>
      </c>
      <c r="C326" s="362">
        <v>9258</v>
      </c>
      <c r="D326" s="621">
        <v>17.415800000000001</v>
      </c>
      <c r="E326" s="363">
        <v>12.92</v>
      </c>
      <c r="F326" s="363">
        <f t="shared" si="52"/>
        <v>-41622.116400000006</v>
      </c>
      <c r="G326" s="363">
        <f t="shared" si="53"/>
        <v>161235.47640000001</v>
      </c>
      <c r="H326" s="364">
        <f t="shared" si="51"/>
        <v>-0.2581449029042594</v>
      </c>
      <c r="I326" s="363"/>
    </row>
    <row r="327" spans="2:14" x14ac:dyDescent="0.25">
      <c r="B327" s="620">
        <v>42474</v>
      </c>
      <c r="C327" s="362">
        <v>9678</v>
      </c>
      <c r="D327" s="621">
        <v>17.2135</v>
      </c>
      <c r="E327" s="363">
        <v>13.11</v>
      </c>
      <c r="F327" s="363">
        <f t="shared" si="52"/>
        <v>-39713.673000000003</v>
      </c>
      <c r="G327" s="363">
        <f t="shared" si="53"/>
        <v>166592.253</v>
      </c>
      <c r="H327" s="364">
        <f t="shared" si="51"/>
        <v>-0.23838847416272113</v>
      </c>
      <c r="I327" s="363"/>
    </row>
    <row r="328" spans="2:14" x14ac:dyDescent="0.25">
      <c r="B328" s="620">
        <v>42474</v>
      </c>
      <c r="C328" s="362">
        <v>9178</v>
      </c>
      <c r="D328" s="621">
        <v>17.433299999999999</v>
      </c>
      <c r="E328" s="363">
        <v>13.11</v>
      </c>
      <c r="F328" s="363">
        <f t="shared" si="52"/>
        <v>-39679.2474</v>
      </c>
      <c r="G328" s="363">
        <f t="shared" si="53"/>
        <v>160002.82739999998</v>
      </c>
      <c r="H328" s="364">
        <f t="shared" si="51"/>
        <v>-0.24799091394056202</v>
      </c>
      <c r="I328" s="363"/>
    </row>
    <row r="329" spans="2:14" x14ac:dyDescent="0.25">
      <c r="B329" s="620">
        <v>42475</v>
      </c>
      <c r="C329" s="362">
        <v>9678</v>
      </c>
      <c r="D329" s="621">
        <v>17.205100000000002</v>
      </c>
      <c r="E329" s="363">
        <v>13.01</v>
      </c>
      <c r="F329" s="363">
        <f t="shared" si="52"/>
        <v>-40600.177800000019</v>
      </c>
      <c r="G329" s="363">
        <f t="shared" si="53"/>
        <v>166510.9578</v>
      </c>
      <c r="H329" s="364">
        <f t="shared" si="51"/>
        <v>-0.24382886469709572</v>
      </c>
      <c r="I329" s="363"/>
    </row>
    <row r="330" spans="2:14" x14ac:dyDescent="0.25">
      <c r="B330" s="620">
        <v>42478</v>
      </c>
      <c r="C330" s="362">
        <v>9178</v>
      </c>
      <c r="D330" s="621">
        <v>17.412400000000002</v>
      </c>
      <c r="E330" s="363">
        <v>13.36</v>
      </c>
      <c r="F330" s="363">
        <f t="shared" si="52"/>
        <v>-37192.92720000002</v>
      </c>
      <c r="G330" s="363">
        <f t="shared" si="53"/>
        <v>159811.00720000002</v>
      </c>
      <c r="H330" s="364">
        <f t="shared" si="51"/>
        <v>-0.232730697663734</v>
      </c>
      <c r="I330" s="363"/>
    </row>
    <row r="331" spans="2:14" x14ac:dyDescent="0.25">
      <c r="B331" s="620">
        <v>42484</v>
      </c>
      <c r="C331" s="383">
        <v>9178</v>
      </c>
      <c r="D331" s="622">
        <v>17.412400000000002</v>
      </c>
      <c r="E331" s="363">
        <v>14.34</v>
      </c>
      <c r="F331" s="363">
        <f t="shared" si="52"/>
        <v>-28198.487200000018</v>
      </c>
      <c r="G331" s="363">
        <f t="shared" si="53"/>
        <v>159811.00720000002</v>
      </c>
      <c r="H331" s="364">
        <f t="shared" si="51"/>
        <v>-0.17644896740254082</v>
      </c>
      <c r="I331" s="363"/>
    </row>
    <row r="332" spans="2:14" x14ac:dyDescent="0.25">
      <c r="B332" s="620">
        <v>42485</v>
      </c>
      <c r="C332" s="383">
        <v>9678</v>
      </c>
      <c r="D332" s="622">
        <v>17.233499999999999</v>
      </c>
      <c r="E332" s="363">
        <v>13.83</v>
      </c>
      <c r="F332" s="363">
        <f t="shared" si="52"/>
        <v>-32939.072999999997</v>
      </c>
      <c r="G332" s="363">
        <f t="shared" si="53"/>
        <v>166785.81299999999</v>
      </c>
      <c r="H332" s="364">
        <f t="shared" si="51"/>
        <v>-0.19749325441726867</v>
      </c>
      <c r="I332" s="363"/>
    </row>
    <row r="333" spans="2:14" x14ac:dyDescent="0.25">
      <c r="B333" s="620">
        <v>42486</v>
      </c>
      <c r="C333" s="362">
        <v>9178</v>
      </c>
      <c r="D333" s="621">
        <v>17.390599999999999</v>
      </c>
      <c r="E333" s="363">
        <v>14.44</v>
      </c>
      <c r="F333" s="363">
        <f t="shared" si="52"/>
        <v>-27080.606799999998</v>
      </c>
      <c r="G333" s="363">
        <f t="shared" si="53"/>
        <v>159610.92679999999</v>
      </c>
      <c r="H333" s="365">
        <f t="shared" si="51"/>
        <v>-0.16966637148804525</v>
      </c>
      <c r="I333" s="363"/>
    </row>
    <row r="334" spans="2:14" x14ac:dyDescent="0.25">
      <c r="B334" s="620">
        <v>42487</v>
      </c>
      <c r="C334" s="362">
        <v>9178</v>
      </c>
      <c r="D334" s="621">
        <v>17.376300000000001</v>
      </c>
      <c r="E334" s="363">
        <v>14.84</v>
      </c>
      <c r="F334" s="363">
        <f t="shared" si="52"/>
        <v>-23278.161400000005</v>
      </c>
      <c r="G334" s="363">
        <f t="shared" si="53"/>
        <v>159479.6814</v>
      </c>
      <c r="H334" s="365">
        <f t="shared" si="51"/>
        <v>-0.14596317973331496</v>
      </c>
      <c r="I334" s="363"/>
    </row>
    <row r="335" spans="2:14" x14ac:dyDescent="0.25">
      <c r="B335" s="620">
        <v>42488</v>
      </c>
      <c r="C335" s="362">
        <v>9678</v>
      </c>
      <c r="D335" s="621">
        <v>17.2287</v>
      </c>
      <c r="E335" s="363">
        <v>14.35</v>
      </c>
      <c r="F335" s="363">
        <f t="shared" si="52"/>
        <v>-27860.058600000004</v>
      </c>
      <c r="G335" s="363">
        <f t="shared" si="53"/>
        <v>166739.35860000001</v>
      </c>
      <c r="H335" s="365">
        <f t="shared" si="51"/>
        <v>-0.16708747612994598</v>
      </c>
      <c r="I335" s="363"/>
      <c r="N335" s="70"/>
    </row>
    <row r="336" spans="2:14" x14ac:dyDescent="0.25">
      <c r="B336" s="620">
        <v>42489</v>
      </c>
      <c r="C336" s="362">
        <v>9678</v>
      </c>
      <c r="D336" s="621">
        <v>17.179200000000002</v>
      </c>
      <c r="E336" s="363">
        <v>14.09</v>
      </c>
      <c r="F336" s="363">
        <f t="shared" si="52"/>
        <v>-29897.277600000016</v>
      </c>
      <c r="G336" s="363">
        <f t="shared" si="53"/>
        <v>166260.29760000002</v>
      </c>
      <c r="H336" s="365">
        <f t="shared" si="51"/>
        <v>-0.17982211045916</v>
      </c>
      <c r="I336" s="363"/>
    </row>
    <row r="337" spans="2:9" x14ac:dyDescent="0.25">
      <c r="B337" s="620">
        <v>42492</v>
      </c>
      <c r="C337" s="362">
        <v>9678</v>
      </c>
      <c r="D337" s="621">
        <v>17.136399999999998</v>
      </c>
      <c r="E337" s="363">
        <v>13.55</v>
      </c>
      <c r="F337" s="363">
        <f t="shared" si="52"/>
        <v>-34709.179199999977</v>
      </c>
      <c r="G337" s="363">
        <f t="shared" si="53"/>
        <v>165846.07919999998</v>
      </c>
      <c r="H337" s="365">
        <f t="shared" si="51"/>
        <v>-0.20928549753740563</v>
      </c>
      <c r="I337" s="363"/>
    </row>
    <row r="338" spans="2:9" x14ac:dyDescent="0.25">
      <c r="B338" s="620">
        <v>42493</v>
      </c>
      <c r="C338" s="362">
        <v>9678</v>
      </c>
      <c r="D338" s="621">
        <v>17.1221</v>
      </c>
      <c r="E338" s="363">
        <v>12.79</v>
      </c>
      <c r="F338" s="363">
        <f t="shared" si="52"/>
        <v>-41926.063800000004</v>
      </c>
      <c r="G338" s="363">
        <f t="shared" si="53"/>
        <v>165707.6838</v>
      </c>
      <c r="H338" s="365">
        <f t="shared" si="51"/>
        <v>-0.25301218892542388</v>
      </c>
      <c r="I338" s="363"/>
    </row>
    <row r="339" spans="2:9" x14ac:dyDescent="0.25">
      <c r="B339" s="620">
        <v>42494</v>
      </c>
      <c r="C339" s="362">
        <v>11678</v>
      </c>
      <c r="D339" s="621">
        <v>16.316800000000001</v>
      </c>
      <c r="E339" s="363">
        <v>12.17</v>
      </c>
      <c r="F339" s="363">
        <f t="shared" si="52"/>
        <v>-48426.330400000006</v>
      </c>
      <c r="G339" s="363">
        <f t="shared" si="53"/>
        <v>190547.59040000002</v>
      </c>
      <c r="H339" s="365">
        <f t="shared" si="51"/>
        <v>-0.25414296920964896</v>
      </c>
      <c r="I339" s="363"/>
    </row>
    <row r="340" spans="2:9" x14ac:dyDescent="0.25">
      <c r="B340" s="620">
        <v>42495</v>
      </c>
      <c r="C340" s="362">
        <v>9678</v>
      </c>
      <c r="D340" s="621">
        <v>17.0684</v>
      </c>
      <c r="E340" s="363">
        <v>12.07</v>
      </c>
      <c r="F340" s="363">
        <f t="shared" si="52"/>
        <v>-48374.515200000002</v>
      </c>
      <c r="G340" s="363">
        <f t="shared" si="53"/>
        <v>165187.97520000002</v>
      </c>
      <c r="H340" s="364">
        <f t="shared" si="51"/>
        <v>-0.29284525790349419</v>
      </c>
      <c r="I340" s="363"/>
    </row>
    <row r="341" spans="2:9" x14ac:dyDescent="0.25">
      <c r="B341" s="620">
        <v>42499</v>
      </c>
      <c r="C341" s="362">
        <v>10678</v>
      </c>
      <c r="D341" s="621">
        <v>16.537600000000001</v>
      </c>
      <c r="E341" s="363">
        <v>11.44</v>
      </c>
      <c r="F341" s="363">
        <f t="shared" si="52"/>
        <v>-54432.172800000015</v>
      </c>
      <c r="G341" s="363">
        <f t="shared" si="53"/>
        <v>176588.49280000001</v>
      </c>
      <c r="H341" s="364">
        <f t="shared" si="51"/>
        <v>-0.30824303405572762</v>
      </c>
      <c r="I341" s="363"/>
    </row>
    <row r="342" spans="2:9" x14ac:dyDescent="0.25">
      <c r="B342" s="620">
        <v>42500</v>
      </c>
      <c r="C342" s="362">
        <v>9678</v>
      </c>
      <c r="D342" s="621">
        <v>17.042100000000001</v>
      </c>
      <c r="E342" s="363">
        <v>11.94</v>
      </c>
      <c r="F342" s="363">
        <f t="shared" si="52"/>
        <v>-49378.123800000016</v>
      </c>
      <c r="G342" s="363">
        <f t="shared" si="53"/>
        <v>164933.44380000001</v>
      </c>
      <c r="H342" s="364">
        <f t="shared" si="51"/>
        <v>-0.2993821184009014</v>
      </c>
      <c r="I342" s="363"/>
    </row>
    <row r="343" spans="2:9" x14ac:dyDescent="0.25">
      <c r="B343" s="620">
        <v>42502</v>
      </c>
      <c r="C343" s="362">
        <v>10678</v>
      </c>
      <c r="D343" s="621">
        <v>16.601800000000001</v>
      </c>
      <c r="E343" s="363">
        <v>12.33</v>
      </c>
      <c r="F343" s="363">
        <f t="shared" si="52"/>
        <v>-45614.280400000011</v>
      </c>
      <c r="G343" s="363">
        <f t="shared" si="53"/>
        <v>177274.02040000001</v>
      </c>
      <c r="H343" s="364">
        <f t="shared" si="51"/>
        <v>-0.25730944837306802</v>
      </c>
      <c r="I343" s="363"/>
    </row>
    <row r="344" spans="2:9" x14ac:dyDescent="0.25">
      <c r="B344" s="620">
        <v>42502</v>
      </c>
      <c r="C344" s="362">
        <v>9678</v>
      </c>
      <c r="D344" s="621">
        <v>17.0334</v>
      </c>
      <c r="E344" s="363">
        <v>12.33</v>
      </c>
      <c r="F344" s="363">
        <f t="shared" si="52"/>
        <v>-45519.5052</v>
      </c>
      <c r="G344" s="363">
        <f t="shared" si="53"/>
        <v>164849.2452</v>
      </c>
      <c r="H344" s="364">
        <f t="shared" si="51"/>
        <v>-0.27612807777660364</v>
      </c>
      <c r="I344" s="363"/>
    </row>
    <row r="345" spans="2:9" x14ac:dyDescent="0.25">
      <c r="B345" s="620">
        <v>42503</v>
      </c>
      <c r="C345" s="362">
        <v>9678</v>
      </c>
      <c r="D345" s="621">
        <v>17.029299999999999</v>
      </c>
      <c r="E345" s="363">
        <v>12.3</v>
      </c>
      <c r="F345" s="363">
        <f t="shared" si="52"/>
        <v>-45770.165399999983</v>
      </c>
      <c r="G345" s="363">
        <f t="shared" si="53"/>
        <v>164809.56539999999</v>
      </c>
      <c r="H345" s="364">
        <f t="shared" si="51"/>
        <v>-0.27771546687180321</v>
      </c>
      <c r="I345" s="363"/>
    </row>
    <row r="346" spans="2:9" x14ac:dyDescent="0.25">
      <c r="B346" s="620">
        <v>42506</v>
      </c>
      <c r="C346" s="362">
        <v>9678</v>
      </c>
      <c r="D346" s="621">
        <v>17.027699999999999</v>
      </c>
      <c r="E346" s="363">
        <v>12.78</v>
      </c>
      <c r="F346" s="363">
        <f t="shared" si="52"/>
        <v>-41109.240599999997</v>
      </c>
      <c r="G346" s="363">
        <f t="shared" si="53"/>
        <v>164794.08059999999</v>
      </c>
      <c r="H346" s="364">
        <f t="shared" si="51"/>
        <v>-0.24945823569830336</v>
      </c>
      <c r="I346" s="363"/>
    </row>
    <row r="347" spans="2:9" x14ac:dyDescent="0.25">
      <c r="B347" s="620">
        <v>42513</v>
      </c>
      <c r="C347" s="362">
        <v>9178</v>
      </c>
      <c r="D347" s="621">
        <v>17.244399999999999</v>
      </c>
      <c r="E347" s="363">
        <v>13.19</v>
      </c>
      <c r="F347" s="363">
        <f t="shared" si="52"/>
        <v>-37211.283199999991</v>
      </c>
      <c r="G347" s="363">
        <f t="shared" si="53"/>
        <v>158269.10319999998</v>
      </c>
      <c r="H347" s="364">
        <f t="shared" si="51"/>
        <v>-0.23511400802579385</v>
      </c>
      <c r="I347" s="363"/>
    </row>
    <row r="348" spans="2:9" x14ac:dyDescent="0.25">
      <c r="B348" s="620">
        <v>42514</v>
      </c>
      <c r="C348" s="362">
        <v>9678</v>
      </c>
      <c r="D348" s="621">
        <v>17.026</v>
      </c>
      <c r="E348" s="363">
        <v>13.02</v>
      </c>
      <c r="F348" s="363">
        <f t="shared" si="52"/>
        <v>-38770.067999999999</v>
      </c>
      <c r="G348" s="363">
        <f t="shared" si="53"/>
        <v>164777.628</v>
      </c>
      <c r="H348" s="364">
        <f t="shared" si="51"/>
        <v>-0.23528720779983556</v>
      </c>
      <c r="I348" s="363"/>
    </row>
    <row r="349" spans="2:9" x14ac:dyDescent="0.25">
      <c r="B349" s="620">
        <v>42515</v>
      </c>
      <c r="C349" s="362">
        <v>9178</v>
      </c>
      <c r="D349" s="621">
        <v>17.206800000000001</v>
      </c>
      <c r="E349" s="363">
        <v>13.54</v>
      </c>
      <c r="F349" s="363">
        <f t="shared" si="52"/>
        <v>-33653.890400000018</v>
      </c>
      <c r="G349" s="363">
        <f t="shared" si="53"/>
        <v>157924.0104</v>
      </c>
      <c r="H349" s="364">
        <f t="shared" si="51"/>
        <v>-0.21310179696399109</v>
      </c>
      <c r="I349" s="363"/>
    </row>
    <row r="350" spans="2:9" x14ac:dyDescent="0.25">
      <c r="B350" s="620">
        <v>42516</v>
      </c>
      <c r="C350" s="362">
        <v>9678</v>
      </c>
      <c r="D350" s="621">
        <v>17.003799999999998</v>
      </c>
      <c r="E350" s="363">
        <v>13.17</v>
      </c>
      <c r="F350" s="363">
        <f t="shared" si="52"/>
        <v>-37103.516399999986</v>
      </c>
      <c r="G350" s="363">
        <f t="shared" si="53"/>
        <v>164562.77639999997</v>
      </c>
      <c r="H350" s="364">
        <f t="shared" si="51"/>
        <v>-0.22546724849739463</v>
      </c>
      <c r="I350" s="363"/>
    </row>
    <row r="351" spans="2:9" x14ac:dyDescent="0.25">
      <c r="B351" s="620">
        <v>42517</v>
      </c>
      <c r="C351" s="362">
        <v>9678</v>
      </c>
      <c r="D351" s="621">
        <v>16.999700000000001</v>
      </c>
      <c r="E351" s="363">
        <v>12.9</v>
      </c>
      <c r="F351" s="363">
        <f t="shared" si="52"/>
        <v>-39676.8966</v>
      </c>
      <c r="G351" s="363">
        <f t="shared" si="53"/>
        <v>164523.09660000002</v>
      </c>
      <c r="H351" s="364">
        <f t="shared" si="51"/>
        <v>-0.2411630793484591</v>
      </c>
      <c r="I351" s="363"/>
    </row>
    <row r="352" spans="2:9" x14ac:dyDescent="0.25">
      <c r="B352" s="620">
        <v>42525</v>
      </c>
      <c r="C352" s="362">
        <v>9678</v>
      </c>
      <c r="D352" s="621">
        <v>16.9956</v>
      </c>
      <c r="E352" s="363">
        <v>13.32</v>
      </c>
      <c r="F352" s="363">
        <f t="shared" si="52"/>
        <v>-35572.456799999993</v>
      </c>
      <c r="G352" s="363">
        <f t="shared" si="53"/>
        <v>164483.41680000001</v>
      </c>
      <c r="H352" s="364">
        <f t="shared" si="51"/>
        <v>-0.21626773988561743</v>
      </c>
      <c r="I352" s="363"/>
    </row>
    <row r="353" spans="2:14" ht="15" customHeight="1" x14ac:dyDescent="0.25">
      <c r="B353" s="620">
        <v>42527</v>
      </c>
      <c r="C353" s="362">
        <v>8178</v>
      </c>
      <c r="D353" s="621">
        <v>17.568999999999999</v>
      </c>
      <c r="E353" s="363">
        <v>13.96</v>
      </c>
      <c r="F353" s="363">
        <f t="shared" si="52"/>
        <v>-29514.401999999984</v>
      </c>
      <c r="G353" s="363">
        <f t="shared" si="53"/>
        <v>143679.28200000001</v>
      </c>
      <c r="H353" s="364">
        <f t="shared" si="51"/>
        <v>-0.20541863509590746</v>
      </c>
      <c r="I353" s="363"/>
    </row>
    <row r="354" spans="2:14" x14ac:dyDescent="0.25">
      <c r="B354" s="620">
        <v>42528</v>
      </c>
      <c r="C354" s="362">
        <v>7678</v>
      </c>
      <c r="D354" s="621">
        <v>17.759599999999999</v>
      </c>
      <c r="E354" s="363">
        <v>14.62</v>
      </c>
      <c r="F354" s="363">
        <f t="shared" si="52"/>
        <v>-24105.848799999996</v>
      </c>
      <c r="G354" s="363">
        <f t="shared" si="53"/>
        <v>136358.20879999999</v>
      </c>
      <c r="H354" s="364">
        <f t="shared" si="51"/>
        <v>-0.17678326088425414</v>
      </c>
      <c r="I354" s="363"/>
    </row>
    <row r="355" spans="2:14" x14ac:dyDescent="0.25">
      <c r="B355" s="620">
        <v>42529</v>
      </c>
      <c r="C355" s="362">
        <v>8178</v>
      </c>
      <c r="D355" s="621">
        <v>17.5654</v>
      </c>
      <c r="E355" s="363">
        <v>14.53</v>
      </c>
      <c r="F355" s="363">
        <f t="shared" si="52"/>
        <v>-24823.50120000001</v>
      </c>
      <c r="G355" s="363">
        <f t="shared" si="53"/>
        <v>143649.8412</v>
      </c>
      <c r="H355" s="364">
        <f t="shared" si="51"/>
        <v>-0.17280562924840887</v>
      </c>
      <c r="I355" s="363"/>
    </row>
    <row r="356" spans="2:14" x14ac:dyDescent="0.25">
      <c r="B356" s="620">
        <v>42531</v>
      </c>
      <c r="C356" s="362">
        <v>8978</v>
      </c>
      <c r="D356" s="621">
        <v>17.1751</v>
      </c>
      <c r="E356" s="363">
        <v>13.42</v>
      </c>
      <c r="F356" s="363">
        <f t="shared" ref="F356:F364" si="54">C356*(E356-D356)</f>
        <v>-33713.287800000006</v>
      </c>
      <c r="G356" s="363">
        <f t="shared" ref="G356:G364" si="55">IF(C356=0, 0,D356*C356)</f>
        <v>154198.0478</v>
      </c>
      <c r="H356" s="364">
        <f t="shared" ref="H356:H364" si="56">IF(C356=0, D356, (E356-D356)/D356)</f>
        <v>-0.21863628159370255</v>
      </c>
      <c r="I356" s="363"/>
    </row>
    <row r="357" spans="2:14" x14ac:dyDescent="0.25">
      <c r="B357" s="620">
        <v>42531</v>
      </c>
      <c r="C357" s="383">
        <v>9278</v>
      </c>
      <c r="D357" s="622">
        <v>17.1052</v>
      </c>
      <c r="E357" s="363">
        <v>13.42</v>
      </c>
      <c r="F357" s="363">
        <f t="shared" si="54"/>
        <v>-34191.285600000003</v>
      </c>
      <c r="G357" s="363">
        <f t="shared" si="55"/>
        <v>158702.04560000001</v>
      </c>
      <c r="H357" s="364">
        <f t="shared" si="56"/>
        <v>-0.21544325702125669</v>
      </c>
      <c r="I357" s="363"/>
    </row>
    <row r="358" spans="2:14" x14ac:dyDescent="0.25">
      <c r="B358" s="620">
        <v>42532</v>
      </c>
      <c r="C358" s="362">
        <v>9278</v>
      </c>
      <c r="D358" s="621">
        <v>17.053000000000001</v>
      </c>
      <c r="E358" s="363">
        <v>13.42</v>
      </c>
      <c r="F358" s="363">
        <f t="shared" si="54"/>
        <v>-33706.974000000009</v>
      </c>
      <c r="G358" s="363">
        <f t="shared" si="55"/>
        <v>158217.734</v>
      </c>
      <c r="H358" s="364">
        <f t="shared" si="56"/>
        <v>-0.21304169354365804</v>
      </c>
      <c r="I358" s="363" t="s">
        <v>182</v>
      </c>
    </row>
    <row r="359" spans="2:14" x14ac:dyDescent="0.25">
      <c r="B359" s="620">
        <v>42535</v>
      </c>
      <c r="C359" s="362">
        <v>9678</v>
      </c>
      <c r="D359" s="621">
        <v>16.879300000000001</v>
      </c>
      <c r="E359" s="363">
        <v>13.23</v>
      </c>
      <c r="F359" s="363">
        <f t="shared" si="54"/>
        <v>-35317.9254</v>
      </c>
      <c r="G359" s="363">
        <f t="shared" si="55"/>
        <v>163357.86540000001</v>
      </c>
      <c r="H359" s="364">
        <f t="shared" si="56"/>
        <v>-0.21619972392220058</v>
      </c>
      <c r="I359" s="363" t="s">
        <v>217</v>
      </c>
    </row>
    <row r="360" spans="2:14" x14ac:dyDescent="0.25">
      <c r="B360" s="620">
        <v>42536</v>
      </c>
      <c r="C360" s="362">
        <v>9278</v>
      </c>
      <c r="D360" s="621">
        <v>17.027999999999999</v>
      </c>
      <c r="E360" s="363">
        <v>13.06</v>
      </c>
      <c r="F360" s="363">
        <f t="shared" si="54"/>
        <v>-36815.103999999985</v>
      </c>
      <c r="G360" s="363">
        <f t="shared" si="55"/>
        <v>157985.78399999999</v>
      </c>
      <c r="H360" s="364">
        <f t="shared" si="56"/>
        <v>-0.23302795395818643</v>
      </c>
      <c r="I360" s="363"/>
    </row>
    <row r="361" spans="2:14" x14ac:dyDescent="0.25">
      <c r="B361" s="620">
        <v>42537</v>
      </c>
      <c r="C361" s="383">
        <v>9278</v>
      </c>
      <c r="D361" s="622">
        <v>17.0168</v>
      </c>
      <c r="E361" s="363">
        <v>12.67</v>
      </c>
      <c r="F361" s="363">
        <f t="shared" si="54"/>
        <v>-40329.610399999998</v>
      </c>
      <c r="G361" s="363">
        <f t="shared" si="55"/>
        <v>157881.87039999999</v>
      </c>
      <c r="H361" s="364">
        <f t="shared" si="56"/>
        <v>-0.25544168116214566</v>
      </c>
      <c r="I361" s="363"/>
    </row>
    <row r="362" spans="2:14" x14ac:dyDescent="0.25">
      <c r="B362" s="620">
        <v>42538</v>
      </c>
      <c r="C362" s="383">
        <v>9278</v>
      </c>
      <c r="D362" s="622">
        <v>17.0061</v>
      </c>
      <c r="E362" s="363">
        <v>13.16</v>
      </c>
      <c r="F362" s="363">
        <f t="shared" si="54"/>
        <v>-35684.1158</v>
      </c>
      <c r="G362" s="363">
        <f t="shared" si="55"/>
        <v>157782.59580000001</v>
      </c>
      <c r="H362" s="364">
        <f t="shared" si="56"/>
        <v>-0.2261600249322302</v>
      </c>
      <c r="I362" s="363"/>
    </row>
    <row r="363" spans="2:14" x14ac:dyDescent="0.25">
      <c r="B363" s="620">
        <v>42541</v>
      </c>
      <c r="C363" s="362">
        <v>7678</v>
      </c>
      <c r="D363" s="621">
        <v>17.568000000000001</v>
      </c>
      <c r="E363" s="363">
        <v>14.48</v>
      </c>
      <c r="F363" s="363">
        <f t="shared" si="54"/>
        <v>-23709.664000000008</v>
      </c>
      <c r="G363" s="363">
        <f t="shared" si="55"/>
        <v>134887.10400000002</v>
      </c>
      <c r="H363" s="365">
        <f t="shared" si="56"/>
        <v>-0.17577413479052828</v>
      </c>
      <c r="I363" s="363"/>
    </row>
    <row r="364" spans="2:14" ht="15" customHeight="1" x14ac:dyDescent="0.25">
      <c r="B364" s="620">
        <v>42542</v>
      </c>
      <c r="C364" s="362">
        <v>6800</v>
      </c>
      <c r="D364" s="621">
        <v>17.892099999999999</v>
      </c>
      <c r="E364" s="363">
        <v>15.09</v>
      </c>
      <c r="F364" s="363">
        <f t="shared" si="54"/>
        <v>-19054.279999999995</v>
      </c>
      <c r="G364" s="363">
        <f t="shared" si="55"/>
        <v>121666.28</v>
      </c>
      <c r="H364" s="365">
        <f t="shared" si="56"/>
        <v>-0.15661101827063337</v>
      </c>
      <c r="I364" s="363"/>
    </row>
    <row r="365" spans="2:14" x14ac:dyDescent="0.25">
      <c r="B365" s="620">
        <v>42543</v>
      </c>
      <c r="C365" s="362">
        <v>7300</v>
      </c>
      <c r="D365" s="621">
        <v>17.6769</v>
      </c>
      <c r="E365" s="363">
        <v>14.75</v>
      </c>
      <c r="F365" s="363">
        <f t="shared" ref="F365:F373" si="57">C365*(E365-D365)</f>
        <v>-21366.37</v>
      </c>
      <c r="G365" s="363">
        <f t="shared" ref="G365:G373" si="58">IF(C365=0, 0,D365*C365)</f>
        <v>129041.37</v>
      </c>
      <c r="H365" s="365">
        <f t="shared" ref="H365:H373" si="59">IF(C365=0, D365, (E365-D365)/D365)</f>
        <v>-0.16557767481854849</v>
      </c>
      <c r="I365" s="363"/>
    </row>
    <row r="366" spans="2:14" x14ac:dyDescent="0.25">
      <c r="B366" s="620">
        <v>42544</v>
      </c>
      <c r="C366" s="362">
        <v>6800</v>
      </c>
      <c r="D366" s="621">
        <v>17.856100000000001</v>
      </c>
      <c r="E366" s="363">
        <v>15.27</v>
      </c>
      <c r="F366" s="363">
        <f t="shared" si="57"/>
        <v>-17585.480000000014</v>
      </c>
      <c r="G366" s="363">
        <f t="shared" si="58"/>
        <v>121421.48000000001</v>
      </c>
      <c r="H366" s="365">
        <f t="shared" si="59"/>
        <v>-0.1448300580753917</v>
      </c>
      <c r="I366" s="363"/>
      <c r="N366" s="29"/>
    </row>
    <row r="367" spans="2:14" x14ac:dyDescent="0.25">
      <c r="B367" s="620">
        <v>42545</v>
      </c>
      <c r="C367" s="362">
        <v>7678</v>
      </c>
      <c r="D367" s="621">
        <v>17.462</v>
      </c>
      <c r="E367" s="363">
        <v>14.41</v>
      </c>
      <c r="F367" s="363">
        <f t="shared" si="57"/>
        <v>-23433.255999999998</v>
      </c>
      <c r="G367" s="363">
        <f t="shared" si="58"/>
        <v>134073.236</v>
      </c>
      <c r="H367" s="365">
        <f t="shared" si="59"/>
        <v>-0.17477952124613444</v>
      </c>
      <c r="I367" s="363"/>
    </row>
    <row r="368" spans="2:14" x14ac:dyDescent="0.25">
      <c r="B368" s="620">
        <v>42545</v>
      </c>
      <c r="C368" s="362">
        <v>8013</v>
      </c>
      <c r="D368" s="621">
        <v>17.32</v>
      </c>
      <c r="E368" s="363">
        <v>14.68</v>
      </c>
      <c r="F368" s="363">
        <f t="shared" si="57"/>
        <v>-21154.320000000003</v>
      </c>
      <c r="G368" s="363">
        <f t="shared" si="58"/>
        <v>138785.16</v>
      </c>
      <c r="H368" s="365">
        <f t="shared" si="59"/>
        <v>-0.15242494226327949</v>
      </c>
      <c r="I368" s="363"/>
    </row>
    <row r="369" spans="2:9" x14ac:dyDescent="0.25">
      <c r="B369" s="620">
        <v>42548</v>
      </c>
      <c r="C369" s="362">
        <v>8978</v>
      </c>
      <c r="D369" s="621">
        <v>16.943300000000001</v>
      </c>
      <c r="E369" s="363">
        <v>13.66</v>
      </c>
      <c r="F369" s="363">
        <f t="shared" si="57"/>
        <v>-29477.467400000005</v>
      </c>
      <c r="G369" s="363">
        <f t="shared" si="58"/>
        <v>152116.9474</v>
      </c>
      <c r="H369" s="365">
        <f t="shared" si="59"/>
        <v>-0.19378161279089673</v>
      </c>
      <c r="I369" s="363"/>
    </row>
    <row r="370" spans="2:9" x14ac:dyDescent="0.25">
      <c r="B370" s="620">
        <v>42548</v>
      </c>
      <c r="C370" s="362">
        <v>9278</v>
      </c>
      <c r="D370" s="621">
        <v>16.834599999999998</v>
      </c>
      <c r="E370" s="363">
        <v>13.66</v>
      </c>
      <c r="F370" s="363">
        <f t="shared" si="57"/>
        <v>-29453.938799999982</v>
      </c>
      <c r="G370" s="363">
        <f t="shared" si="58"/>
        <v>156191.41879999998</v>
      </c>
      <c r="H370" s="364">
        <f t="shared" si="59"/>
        <v>-0.18857590913951019</v>
      </c>
      <c r="I370" s="363"/>
    </row>
    <row r="371" spans="2:9" x14ac:dyDescent="0.25">
      <c r="B371" s="620">
        <v>42549</v>
      </c>
      <c r="C371" s="362">
        <v>8178</v>
      </c>
      <c r="D371" s="621">
        <v>17.124400000000001</v>
      </c>
      <c r="E371" s="363">
        <v>14.78</v>
      </c>
      <c r="F371" s="363">
        <f t="shared" si="57"/>
        <v>-19172.503200000017</v>
      </c>
      <c r="G371" s="363">
        <f t="shared" si="58"/>
        <v>140043.3432</v>
      </c>
      <c r="H371" s="364">
        <f t="shared" si="59"/>
        <v>-0.13690406671182651</v>
      </c>
      <c r="I371" s="363">
        <v>17</v>
      </c>
    </row>
    <row r="372" spans="2:9" x14ac:dyDescent="0.25">
      <c r="B372" s="620">
        <v>42552</v>
      </c>
      <c r="C372" s="362">
        <v>7678</v>
      </c>
      <c r="D372" s="621">
        <v>17.2315</v>
      </c>
      <c r="E372" s="363">
        <v>15.48</v>
      </c>
      <c r="F372" s="363">
        <f t="shared" si="57"/>
        <v>-13448.017</v>
      </c>
      <c r="G372" s="363">
        <f t="shared" si="58"/>
        <v>132303.45699999999</v>
      </c>
      <c r="H372" s="364">
        <f t="shared" si="59"/>
        <v>-0.1016452427240809</v>
      </c>
      <c r="I372" s="363">
        <v>17</v>
      </c>
    </row>
    <row r="373" spans="2:9" x14ac:dyDescent="0.25">
      <c r="B373" s="620">
        <v>42552</v>
      </c>
      <c r="C373" s="362">
        <v>7300</v>
      </c>
      <c r="D373" s="621">
        <v>17.313400000000001</v>
      </c>
      <c r="E373" s="363">
        <v>15.65</v>
      </c>
      <c r="F373" s="363">
        <f t="shared" si="57"/>
        <v>-12142.820000000009</v>
      </c>
      <c r="G373" s="363">
        <f t="shared" si="58"/>
        <v>126387.82</v>
      </c>
      <c r="H373" s="364">
        <f t="shared" si="59"/>
        <v>-9.6075871868032903E-2</v>
      </c>
      <c r="I373" s="363"/>
    </row>
    <row r="374" spans="2:9" x14ac:dyDescent="0.25">
      <c r="B374" s="620">
        <v>42552</v>
      </c>
      <c r="C374" s="362">
        <v>6800</v>
      </c>
      <c r="D374" s="621">
        <v>17.446100000000001</v>
      </c>
      <c r="E374" s="363">
        <v>15.7</v>
      </c>
      <c r="F374" s="363">
        <f t="shared" ref="F374:F395" si="60">C374*(E374-D374)</f>
        <v>-11873.480000000014</v>
      </c>
      <c r="G374" s="363">
        <f t="shared" ref="G374:G395" si="61">IF(C374=0, 0,D374*C374)</f>
        <v>118633.48000000001</v>
      </c>
      <c r="H374" s="364">
        <f t="shared" ref="H374:H395" si="62">IF(C374=0, D374, (E374-D374)/D374)</f>
        <v>-0.10008540590733757</v>
      </c>
      <c r="I374" s="363"/>
    </row>
    <row r="375" spans="2:9" x14ac:dyDescent="0.25">
      <c r="B375" s="620">
        <v>42552</v>
      </c>
      <c r="C375" s="362">
        <v>6000</v>
      </c>
      <c r="D375" s="621">
        <v>17.668199999999999</v>
      </c>
      <c r="E375" s="363">
        <v>15.68</v>
      </c>
      <c r="F375" s="363">
        <f t="shared" si="60"/>
        <v>-11929.199999999995</v>
      </c>
      <c r="G375" s="363">
        <f t="shared" si="61"/>
        <v>106009.2</v>
      </c>
      <c r="H375" s="364">
        <f t="shared" si="62"/>
        <v>-0.11252985589929926</v>
      </c>
      <c r="I375" s="363"/>
    </row>
    <row r="376" spans="2:9" x14ac:dyDescent="0.25">
      <c r="B376" s="620">
        <v>42556</v>
      </c>
      <c r="C376" s="362">
        <v>8178</v>
      </c>
      <c r="D376" s="621">
        <v>16.978899999999999</v>
      </c>
      <c r="E376" s="363">
        <v>14.72</v>
      </c>
      <c r="F376" s="363">
        <f t="shared" si="60"/>
        <v>-18473.284199999991</v>
      </c>
      <c r="G376" s="363">
        <f t="shared" si="61"/>
        <v>138853.4442</v>
      </c>
      <c r="H376" s="364">
        <f t="shared" si="62"/>
        <v>-0.13304159869013887</v>
      </c>
      <c r="I376" s="363">
        <v>16.75</v>
      </c>
    </row>
    <row r="377" spans="2:9" x14ac:dyDescent="0.25">
      <c r="B377" s="620">
        <v>42556</v>
      </c>
      <c r="C377" s="362">
        <v>8678</v>
      </c>
      <c r="D377" s="621">
        <v>16.843</v>
      </c>
      <c r="E377" s="363">
        <v>14.72</v>
      </c>
      <c r="F377" s="363">
        <f t="shared" si="60"/>
        <v>-18423.393999999993</v>
      </c>
      <c r="G377" s="363">
        <f t="shared" si="61"/>
        <v>146163.554</v>
      </c>
      <c r="H377" s="364">
        <f t="shared" si="62"/>
        <v>-0.12604642878347083</v>
      </c>
      <c r="I377" s="363"/>
    </row>
    <row r="378" spans="2:9" x14ac:dyDescent="0.25">
      <c r="B378" s="620">
        <v>42557</v>
      </c>
      <c r="C378" s="362">
        <v>8178</v>
      </c>
      <c r="D378" s="621">
        <v>16.960599999999999</v>
      </c>
      <c r="E378" s="363">
        <v>14.84</v>
      </c>
      <c r="F378" s="363">
        <f t="shared" si="60"/>
        <v>-17342.266799999998</v>
      </c>
      <c r="G378" s="363">
        <f t="shared" si="61"/>
        <v>138703.7868</v>
      </c>
      <c r="H378" s="364">
        <f t="shared" si="62"/>
        <v>-0.12503095409360515</v>
      </c>
      <c r="I378" s="363">
        <v>16.75</v>
      </c>
    </row>
    <row r="379" spans="2:9" x14ac:dyDescent="0.25">
      <c r="B379" s="620">
        <v>42557</v>
      </c>
      <c r="C379" s="362">
        <v>8678</v>
      </c>
      <c r="D379" s="621">
        <v>16.835000000000001</v>
      </c>
      <c r="E379" s="363">
        <v>14.84</v>
      </c>
      <c r="F379" s="363">
        <f t="shared" si="60"/>
        <v>-17312.610000000008</v>
      </c>
      <c r="G379" s="363">
        <f t="shared" si="61"/>
        <v>146094.13</v>
      </c>
      <c r="H379" s="364">
        <f t="shared" si="62"/>
        <v>-0.11850311850311855</v>
      </c>
      <c r="I379" s="363"/>
    </row>
    <row r="380" spans="2:9" x14ac:dyDescent="0.25">
      <c r="B380" s="620">
        <v>42559</v>
      </c>
      <c r="C380" s="362">
        <v>8678</v>
      </c>
      <c r="D380" s="621">
        <v>16.835000000000001</v>
      </c>
      <c r="E380" s="363">
        <v>14.92</v>
      </c>
      <c r="F380" s="363">
        <f t="shared" si="60"/>
        <v>-16618.370000000006</v>
      </c>
      <c r="G380" s="363">
        <f t="shared" si="61"/>
        <v>146094.13</v>
      </c>
      <c r="H380" s="364">
        <f t="shared" si="62"/>
        <v>-0.1137511137511138</v>
      </c>
      <c r="I380" s="363"/>
    </row>
    <row r="381" spans="2:9" x14ac:dyDescent="0.25">
      <c r="B381" s="620">
        <v>42562</v>
      </c>
      <c r="C381" s="362">
        <v>8678</v>
      </c>
      <c r="D381" s="621">
        <v>16.835000000000001</v>
      </c>
      <c r="E381" s="363">
        <v>14.69</v>
      </c>
      <c r="F381" s="363">
        <f t="shared" si="60"/>
        <v>-18614.310000000012</v>
      </c>
      <c r="G381" s="363">
        <f t="shared" si="61"/>
        <v>146094.13</v>
      </c>
      <c r="H381" s="364">
        <f t="shared" si="62"/>
        <v>-0.12741312741312749</v>
      </c>
      <c r="I381" s="363"/>
    </row>
    <row r="382" spans="2:9" x14ac:dyDescent="0.25">
      <c r="B382" s="620">
        <v>42563</v>
      </c>
      <c r="C382" s="362">
        <v>8678</v>
      </c>
      <c r="D382" s="621">
        <v>16.835000000000001</v>
      </c>
      <c r="E382" s="363">
        <v>15.6</v>
      </c>
      <c r="F382" s="363">
        <f t="shared" si="60"/>
        <v>-10717.330000000011</v>
      </c>
      <c r="G382" s="363">
        <f t="shared" si="61"/>
        <v>146094.13</v>
      </c>
      <c r="H382" s="364">
        <f t="shared" si="62"/>
        <v>-7.3359073359073421E-2</v>
      </c>
      <c r="I382" s="363"/>
    </row>
    <row r="383" spans="2:9" x14ac:dyDescent="0.25">
      <c r="B383" s="620">
        <v>42564</v>
      </c>
      <c r="C383" s="362">
        <v>8738</v>
      </c>
      <c r="D383" s="621">
        <v>16.816099999999999</v>
      </c>
      <c r="E383" s="363">
        <v>15.29</v>
      </c>
      <c r="F383" s="363">
        <f t="shared" si="60"/>
        <v>-13335.061799999996</v>
      </c>
      <c r="G383" s="363">
        <f t="shared" si="61"/>
        <v>146939.08179999999</v>
      </c>
      <c r="H383" s="364">
        <f t="shared" si="62"/>
        <v>-9.0752314745987453E-2</v>
      </c>
      <c r="I383" s="363"/>
    </row>
    <row r="384" spans="2:9" x14ac:dyDescent="0.25">
      <c r="B384" s="620">
        <v>42566</v>
      </c>
      <c r="C384" s="362">
        <v>8738</v>
      </c>
      <c r="D384" s="621">
        <v>16.816099999999999</v>
      </c>
      <c r="E384" s="363">
        <v>15.21</v>
      </c>
      <c r="F384" s="363">
        <f t="shared" si="60"/>
        <v>-14034.101799999982</v>
      </c>
      <c r="G384" s="363">
        <f t="shared" si="61"/>
        <v>146939.08179999999</v>
      </c>
      <c r="H384" s="364">
        <f t="shared" si="62"/>
        <v>-9.5509660384988079E-2</v>
      </c>
      <c r="I384" s="363"/>
    </row>
    <row r="385" spans="2:9" ht="15" customHeight="1" x14ac:dyDescent="0.25">
      <c r="B385" s="620">
        <v>42570</v>
      </c>
      <c r="C385" s="362">
        <v>9138</v>
      </c>
      <c r="D385" s="621">
        <v>16.733499999999999</v>
      </c>
      <c r="E385" s="363">
        <v>14.75</v>
      </c>
      <c r="F385" s="363">
        <f t="shared" si="60"/>
        <v>-18125.222999999994</v>
      </c>
      <c r="G385" s="363">
        <f t="shared" si="61"/>
        <v>152910.723</v>
      </c>
      <c r="H385" s="364">
        <f t="shared" si="62"/>
        <v>-0.1185346759494427</v>
      </c>
      <c r="I385" s="363"/>
    </row>
    <row r="386" spans="2:9" x14ac:dyDescent="0.25">
      <c r="B386" s="620">
        <v>42571</v>
      </c>
      <c r="C386" s="383">
        <v>9138</v>
      </c>
      <c r="D386" s="622">
        <v>16.7227</v>
      </c>
      <c r="E386" s="363">
        <v>14.84</v>
      </c>
      <c r="F386" s="363">
        <f t="shared" si="60"/>
        <v>-17204.112599999997</v>
      </c>
      <c r="G386" s="363">
        <f t="shared" si="61"/>
        <v>152812.03260000001</v>
      </c>
      <c r="H386" s="364">
        <f t="shared" si="62"/>
        <v>-0.11258349429218965</v>
      </c>
      <c r="I386" s="363"/>
    </row>
    <row r="387" spans="2:9" x14ac:dyDescent="0.25">
      <c r="B387" s="620">
        <v>42572</v>
      </c>
      <c r="C387" s="362">
        <v>9138</v>
      </c>
      <c r="D387" s="621">
        <v>16.718900000000001</v>
      </c>
      <c r="E387" s="363">
        <v>14.42</v>
      </c>
      <c r="F387" s="363">
        <f t="shared" si="60"/>
        <v>-21007.348200000015</v>
      </c>
      <c r="G387" s="363">
        <f t="shared" si="61"/>
        <v>152777.3082</v>
      </c>
      <c r="H387" s="364">
        <f t="shared" si="62"/>
        <v>-0.13750306539305823</v>
      </c>
      <c r="I387" s="363"/>
    </row>
    <row r="388" spans="2:9" x14ac:dyDescent="0.25">
      <c r="B388" s="620">
        <v>42573</v>
      </c>
      <c r="C388" s="362">
        <v>9278</v>
      </c>
      <c r="D388" s="621">
        <v>16.679099999999998</v>
      </c>
      <c r="E388" s="363">
        <v>14.11</v>
      </c>
      <c r="F388" s="363">
        <f t="shared" si="60"/>
        <v>-23836.109799999987</v>
      </c>
      <c r="G388" s="363">
        <f t="shared" si="61"/>
        <v>154748.68979999999</v>
      </c>
      <c r="H388" s="364">
        <f t="shared" si="62"/>
        <v>-0.15403109280476759</v>
      </c>
      <c r="I388" s="363"/>
    </row>
    <row r="389" spans="2:9" x14ac:dyDescent="0.25">
      <c r="B389" s="620">
        <v>42576</v>
      </c>
      <c r="C389" s="362">
        <v>9478</v>
      </c>
      <c r="D389" s="621">
        <v>16.613099999999999</v>
      </c>
      <c r="E389" s="363">
        <v>13.58</v>
      </c>
      <c r="F389" s="363">
        <f t="shared" si="60"/>
        <v>-28747.721799999992</v>
      </c>
      <c r="G389" s="363">
        <f t="shared" si="61"/>
        <v>157458.96179999999</v>
      </c>
      <c r="H389" s="364">
        <f t="shared" si="62"/>
        <v>-0.18257278894366491</v>
      </c>
      <c r="I389" s="363"/>
    </row>
    <row r="390" spans="2:9" x14ac:dyDescent="0.25">
      <c r="B390" s="620">
        <v>42577</v>
      </c>
      <c r="C390" s="383">
        <v>9278</v>
      </c>
      <c r="D390" s="622">
        <v>16.674199999999999</v>
      </c>
      <c r="E390" s="363">
        <v>13.78</v>
      </c>
      <c r="F390" s="363">
        <f t="shared" si="60"/>
        <v>-26852.387599999998</v>
      </c>
      <c r="G390" s="363">
        <f t="shared" si="61"/>
        <v>154703.22759999998</v>
      </c>
      <c r="H390" s="364">
        <f t="shared" si="62"/>
        <v>-0.17357354475776948</v>
      </c>
      <c r="I390" s="363">
        <v>16.53</v>
      </c>
    </row>
    <row r="391" spans="2:9" x14ac:dyDescent="0.25">
      <c r="B391" s="620">
        <v>42578</v>
      </c>
      <c r="C391" s="383">
        <v>9478</v>
      </c>
      <c r="D391" s="622">
        <v>16.6004</v>
      </c>
      <c r="E391" s="363">
        <v>13.13</v>
      </c>
      <c r="F391" s="363">
        <f t="shared" si="60"/>
        <v>-32892.451199999996</v>
      </c>
      <c r="G391" s="363">
        <f t="shared" si="61"/>
        <v>157338.5912</v>
      </c>
      <c r="H391" s="364">
        <f t="shared" si="62"/>
        <v>-0.20905520348907253</v>
      </c>
      <c r="I391" s="363"/>
    </row>
    <row r="392" spans="2:9" x14ac:dyDescent="0.25">
      <c r="B392" s="620">
        <v>42580</v>
      </c>
      <c r="C392" s="362">
        <v>9478</v>
      </c>
      <c r="D392" s="621">
        <v>16.599</v>
      </c>
      <c r="E392" s="363">
        <v>13.64</v>
      </c>
      <c r="F392" s="363">
        <f t="shared" si="60"/>
        <v>-28045.401999999998</v>
      </c>
      <c r="G392" s="363">
        <f t="shared" si="61"/>
        <v>157325.32200000001</v>
      </c>
      <c r="H392" s="365">
        <f t="shared" si="62"/>
        <v>-0.17826375082836313</v>
      </c>
      <c r="I392" s="363"/>
    </row>
    <row r="393" spans="2:9" x14ac:dyDescent="0.25">
      <c r="B393" s="620">
        <v>42580</v>
      </c>
      <c r="C393" s="362">
        <v>9278</v>
      </c>
      <c r="D393" s="621">
        <v>16.664000000000001</v>
      </c>
      <c r="E393" s="363">
        <v>13.64</v>
      </c>
      <c r="F393" s="363">
        <f t="shared" si="60"/>
        <v>-28056.67200000001</v>
      </c>
      <c r="G393" s="363">
        <f t="shared" si="61"/>
        <v>154608.592</v>
      </c>
      <c r="H393" s="365">
        <f t="shared" si="62"/>
        <v>-0.18146903504560732</v>
      </c>
      <c r="I393" s="363">
        <v>16.53</v>
      </c>
    </row>
    <row r="394" spans="2:9" x14ac:dyDescent="0.25">
      <c r="B394" s="620">
        <v>42583</v>
      </c>
      <c r="C394" s="362">
        <v>9478</v>
      </c>
      <c r="D394" s="621">
        <v>16.5871</v>
      </c>
      <c r="E394" s="363">
        <v>12.92</v>
      </c>
      <c r="F394" s="363">
        <f t="shared" si="60"/>
        <v>-34756.773799999995</v>
      </c>
      <c r="G394" s="363">
        <f t="shared" si="61"/>
        <v>157212.5338</v>
      </c>
      <c r="H394" s="365">
        <f t="shared" si="62"/>
        <v>-0.22108144280796521</v>
      </c>
      <c r="I394" s="363"/>
    </row>
    <row r="395" spans="2:9" x14ac:dyDescent="0.25">
      <c r="B395" s="620">
        <v>42584</v>
      </c>
      <c r="C395" s="362">
        <v>9678</v>
      </c>
      <c r="D395" s="621">
        <v>16.5063</v>
      </c>
      <c r="E395" s="363">
        <v>12.9</v>
      </c>
      <c r="F395" s="363">
        <f t="shared" si="60"/>
        <v>-34901.771399999991</v>
      </c>
      <c r="G395" s="363">
        <f t="shared" si="61"/>
        <v>159747.97140000001</v>
      </c>
      <c r="H395" s="365">
        <f t="shared" si="62"/>
        <v>-0.21848021664455386</v>
      </c>
      <c r="I395" s="363"/>
    </row>
    <row r="396" spans="2:9" x14ac:dyDescent="0.25">
      <c r="B396" s="620">
        <v>42585</v>
      </c>
      <c r="C396" s="362">
        <v>10078</v>
      </c>
      <c r="D396" s="621">
        <v>16.5063</v>
      </c>
      <c r="E396" s="363">
        <v>12.9</v>
      </c>
      <c r="F396" s="363">
        <f t="shared" ref="F396:F411" si="63">C396*(E396-D396)</f>
        <v>-36344.291399999995</v>
      </c>
      <c r="G396" s="363">
        <f t="shared" ref="G396:G411" si="64">IF(C396=0, 0,D396*C396)</f>
        <v>166350.4914</v>
      </c>
      <c r="H396" s="365">
        <f t="shared" ref="H396:H411" si="65">IF(C396=0, D396, (E396-D396)/D396)</f>
        <v>-0.21848021664455386</v>
      </c>
      <c r="I396" s="363"/>
    </row>
    <row r="397" spans="2:9" x14ac:dyDescent="0.25">
      <c r="B397" s="620">
        <v>42586</v>
      </c>
      <c r="C397" s="362">
        <v>9678</v>
      </c>
      <c r="D397" s="621">
        <v>16.489799999999999</v>
      </c>
      <c r="E397" s="363">
        <v>13.41</v>
      </c>
      <c r="F397" s="363">
        <f t="shared" si="63"/>
        <v>-29806.304399999986</v>
      </c>
      <c r="G397" s="363">
        <f t="shared" si="64"/>
        <v>159588.28439999997</v>
      </c>
      <c r="H397" s="365">
        <f t="shared" si="65"/>
        <v>-0.1867700032747516</v>
      </c>
      <c r="I397" s="363"/>
    </row>
    <row r="398" spans="2:9" x14ac:dyDescent="0.25">
      <c r="B398" s="620">
        <v>42586</v>
      </c>
      <c r="C398" s="362">
        <v>9278</v>
      </c>
      <c r="D398" s="621">
        <v>16.609200000000001</v>
      </c>
      <c r="E398" s="363">
        <v>13.66</v>
      </c>
      <c r="F398" s="363">
        <f t="shared" si="63"/>
        <v>-27362.67760000001</v>
      </c>
      <c r="G398" s="363">
        <f t="shared" si="64"/>
        <v>154100.15760000001</v>
      </c>
      <c r="H398" s="365">
        <f t="shared" si="65"/>
        <v>-0.17756424150470829</v>
      </c>
      <c r="I398" s="363">
        <v>16.53</v>
      </c>
    </row>
    <row r="399" spans="2:9" x14ac:dyDescent="0.25">
      <c r="B399" s="620">
        <v>42586</v>
      </c>
      <c r="C399" s="362">
        <v>9138</v>
      </c>
      <c r="D399" s="621">
        <v>16.6511</v>
      </c>
      <c r="E399" s="363">
        <v>13.87</v>
      </c>
      <c r="F399" s="363">
        <f t="shared" si="63"/>
        <v>-25413.691800000004</v>
      </c>
      <c r="G399" s="363">
        <f t="shared" si="64"/>
        <v>152157.7518</v>
      </c>
      <c r="H399" s="364">
        <f t="shared" si="65"/>
        <v>-0.1670219985466426</v>
      </c>
      <c r="I399" s="363"/>
    </row>
    <row r="400" spans="2:9" x14ac:dyDescent="0.25">
      <c r="B400" s="620">
        <v>42593</v>
      </c>
      <c r="C400" s="362">
        <v>8678</v>
      </c>
      <c r="D400" s="621">
        <v>16.760300000000001</v>
      </c>
      <c r="E400" s="363">
        <v>14.61</v>
      </c>
      <c r="F400" s="363">
        <f t="shared" si="63"/>
        <v>-18660.303400000012</v>
      </c>
      <c r="G400" s="363">
        <f t="shared" si="64"/>
        <v>145445.88340000002</v>
      </c>
      <c r="H400" s="364">
        <f t="shared" si="65"/>
        <v>-0.12829722618330228</v>
      </c>
      <c r="I400" s="363"/>
    </row>
    <row r="401" spans="2:9" x14ac:dyDescent="0.25">
      <c r="B401" s="620">
        <v>42597</v>
      </c>
      <c r="C401" s="362">
        <v>8678</v>
      </c>
      <c r="D401" s="621">
        <v>16.7471</v>
      </c>
      <c r="E401" s="363">
        <v>14.9</v>
      </c>
      <c r="F401" s="363">
        <f t="shared" si="63"/>
        <v>-16029.133799999994</v>
      </c>
      <c r="G401" s="363">
        <f t="shared" si="64"/>
        <v>145331.33379999999</v>
      </c>
      <c r="H401" s="364">
        <f t="shared" si="65"/>
        <v>-0.11029372249523794</v>
      </c>
      <c r="I401" s="363"/>
    </row>
    <row r="402" spans="2:9" x14ac:dyDescent="0.25">
      <c r="B402" s="620">
        <v>42598</v>
      </c>
      <c r="C402" s="362">
        <v>8178</v>
      </c>
      <c r="D402" s="621">
        <v>16.8429</v>
      </c>
      <c r="E402" s="363">
        <v>15.17</v>
      </c>
      <c r="F402" s="363">
        <f t="shared" si="63"/>
        <v>-13680.976200000003</v>
      </c>
      <c r="G402" s="363">
        <f t="shared" si="64"/>
        <v>137741.23620000001</v>
      </c>
      <c r="H402" s="364">
        <f t="shared" si="65"/>
        <v>-9.9323750660515728E-2</v>
      </c>
      <c r="I402" s="363">
        <v>16.75</v>
      </c>
    </row>
    <row r="403" spans="2:9" x14ac:dyDescent="0.25">
      <c r="B403" s="620">
        <v>42599</v>
      </c>
      <c r="C403" s="362">
        <v>7178</v>
      </c>
      <c r="D403" s="621">
        <v>17.009899999999998</v>
      </c>
      <c r="E403" s="363">
        <v>15.7</v>
      </c>
      <c r="F403" s="363">
        <f t="shared" si="63"/>
        <v>-9402.4621999999927</v>
      </c>
      <c r="G403" s="363">
        <f t="shared" si="64"/>
        <v>122097.06219999999</v>
      </c>
      <c r="H403" s="364">
        <f t="shared" si="65"/>
        <v>-7.7008095285686515E-2</v>
      </c>
      <c r="I403" s="363"/>
    </row>
    <row r="404" spans="2:9" x14ac:dyDescent="0.25">
      <c r="B404" s="620">
        <v>42600</v>
      </c>
      <c r="C404" s="362">
        <v>5500</v>
      </c>
      <c r="D404" s="621">
        <v>17.185600000000001</v>
      </c>
      <c r="E404" s="363">
        <v>16.68</v>
      </c>
      <c r="F404" s="363">
        <f t="shared" si="63"/>
        <v>-2780.8000000000065</v>
      </c>
      <c r="G404" s="363">
        <f t="shared" si="64"/>
        <v>94520.8</v>
      </c>
      <c r="H404" s="364">
        <f t="shared" si="65"/>
        <v>-2.9419979517735846E-2</v>
      </c>
      <c r="I404" s="363"/>
    </row>
    <row r="405" spans="2:9" x14ac:dyDescent="0.25">
      <c r="B405" s="620">
        <v>42601</v>
      </c>
      <c r="C405" s="362">
        <v>5000</v>
      </c>
      <c r="D405" s="621">
        <v>17.222200000000001</v>
      </c>
      <c r="E405" s="363">
        <v>16.8</v>
      </c>
      <c r="F405" s="363">
        <f t="shared" si="63"/>
        <v>-2111.0000000000005</v>
      </c>
      <c r="G405" s="363">
        <f t="shared" si="64"/>
        <v>86111</v>
      </c>
      <c r="H405" s="364">
        <f t="shared" si="65"/>
        <v>-2.4514870341768188E-2</v>
      </c>
      <c r="I405" s="363"/>
    </row>
    <row r="406" spans="2:9" x14ac:dyDescent="0.25">
      <c r="B406" s="620">
        <v>42604</v>
      </c>
      <c r="C406" s="362">
        <v>6000</v>
      </c>
      <c r="D406" s="621">
        <v>16.9651</v>
      </c>
      <c r="E406" s="363">
        <v>15.64</v>
      </c>
      <c r="F406" s="363">
        <f t="shared" si="63"/>
        <v>-7950.599999999994</v>
      </c>
      <c r="G406" s="363">
        <f t="shared" si="64"/>
        <v>101790.59999999999</v>
      </c>
      <c r="H406" s="364">
        <f t="shared" si="65"/>
        <v>-7.8107408739117312E-2</v>
      </c>
      <c r="I406" s="363"/>
    </row>
    <row r="407" spans="2:9" ht="15" customHeight="1" x14ac:dyDescent="0.25">
      <c r="B407" s="620">
        <v>42604</v>
      </c>
      <c r="C407" s="362">
        <v>6500</v>
      </c>
      <c r="D407" s="621">
        <v>16.850899999999999</v>
      </c>
      <c r="E407" s="363">
        <v>15.64</v>
      </c>
      <c r="F407" s="363">
        <f t="shared" si="63"/>
        <v>-7870.8499999999922</v>
      </c>
      <c r="G407" s="363">
        <f t="shared" si="64"/>
        <v>109530.84999999999</v>
      </c>
      <c r="H407" s="364">
        <f t="shared" si="65"/>
        <v>-7.1859663282079822E-2</v>
      </c>
      <c r="I407" s="363"/>
    </row>
    <row r="408" spans="2:9" x14ac:dyDescent="0.25">
      <c r="B408" s="620">
        <v>42605</v>
      </c>
      <c r="C408" s="362">
        <v>6000</v>
      </c>
      <c r="D408" s="621">
        <v>16.923500000000001</v>
      </c>
      <c r="E408" s="363">
        <v>16.43</v>
      </c>
      <c r="F408" s="363">
        <f t="shared" si="63"/>
        <v>-2961.0000000000055</v>
      </c>
      <c r="G408" s="363">
        <f t="shared" si="64"/>
        <v>101541</v>
      </c>
      <c r="H408" s="364">
        <f t="shared" si="65"/>
        <v>-2.9160634620498178E-2</v>
      </c>
      <c r="I408" s="363"/>
    </row>
    <row r="409" spans="2:9" x14ac:dyDescent="0.25">
      <c r="B409" s="620">
        <v>42605</v>
      </c>
      <c r="C409" s="362">
        <v>5500</v>
      </c>
      <c r="D409" s="621">
        <v>16.9848</v>
      </c>
      <c r="E409" s="363">
        <v>16.43</v>
      </c>
      <c r="F409" s="363">
        <f t="shared" si="63"/>
        <v>-3051.400000000001</v>
      </c>
      <c r="G409" s="363">
        <f t="shared" si="64"/>
        <v>93416.4</v>
      </c>
      <c r="H409" s="364">
        <f t="shared" si="65"/>
        <v>-3.266450002355048E-2</v>
      </c>
      <c r="I409" s="363"/>
    </row>
    <row r="410" spans="2:9" x14ac:dyDescent="0.25">
      <c r="B410" s="620">
        <v>42605</v>
      </c>
      <c r="C410" s="362">
        <v>5000</v>
      </c>
      <c r="D410" s="621">
        <v>17.035299999999999</v>
      </c>
      <c r="E410" s="363">
        <v>16.43</v>
      </c>
      <c r="F410" s="363">
        <f t="shared" si="63"/>
        <v>-3026.4999999999986</v>
      </c>
      <c r="G410" s="363">
        <f t="shared" si="64"/>
        <v>85176.5</v>
      </c>
      <c r="H410" s="364">
        <f t="shared" si="65"/>
        <v>-3.5532100990296606E-2</v>
      </c>
      <c r="I410" s="363"/>
    </row>
    <row r="411" spans="2:9" x14ac:dyDescent="0.25">
      <c r="B411" s="620">
        <v>42606</v>
      </c>
      <c r="C411" s="362">
        <v>5178</v>
      </c>
      <c r="D411" s="621">
        <v>17.0017</v>
      </c>
      <c r="E411" s="363">
        <v>16.059999999999999</v>
      </c>
      <c r="F411" s="363">
        <f t="shared" si="63"/>
        <v>-4876.1226000000042</v>
      </c>
      <c r="G411" s="363">
        <f t="shared" si="64"/>
        <v>88034.802599999995</v>
      </c>
      <c r="H411" s="364">
        <f t="shared" si="65"/>
        <v>-5.5388578789179958E-2</v>
      </c>
      <c r="I411" s="363"/>
    </row>
    <row r="412" spans="2:9" x14ac:dyDescent="0.25">
      <c r="B412" s="620">
        <v>42607</v>
      </c>
      <c r="C412" s="362">
        <v>5178</v>
      </c>
      <c r="D412" s="621">
        <v>17.0017</v>
      </c>
      <c r="E412" s="363">
        <v>16.010000000000002</v>
      </c>
      <c r="F412" s="363">
        <f>C412*(E412-D412)</f>
        <v>-5135.0225999999902</v>
      </c>
      <c r="G412" s="363">
        <f>IF(C412=0, 0,D412*C412)</f>
        <v>88034.802599999995</v>
      </c>
      <c r="H412" s="364">
        <f>IF(C412=0, D412, (E412-D412)/D412)</f>
        <v>-5.8329461171529789E-2</v>
      </c>
      <c r="I412" s="363"/>
    </row>
    <row r="413" spans="2:9" x14ac:dyDescent="0.25">
      <c r="B413" s="620">
        <v>42608</v>
      </c>
      <c r="C413" s="362">
        <v>6178</v>
      </c>
      <c r="D413" s="621">
        <v>16.825800000000001</v>
      </c>
      <c r="E413" s="363">
        <v>15.95</v>
      </c>
      <c r="F413" s="363">
        <f>C413*(E413-D413)</f>
        <v>-5410.6924000000108</v>
      </c>
      <c r="G413" s="363">
        <f>IF(C413=0, 0,D413*C413)</f>
        <v>103949.79240000001</v>
      </c>
      <c r="H413" s="364">
        <f>IF(C413=0, D413, (E413-D413)/D413)</f>
        <v>-5.2051016890727435E-2</v>
      </c>
      <c r="I413" s="363"/>
    </row>
    <row r="414" spans="2:9" ht="15" customHeight="1" x14ac:dyDescent="0.25">
      <c r="B414" s="620">
        <v>42611</v>
      </c>
      <c r="C414" s="362">
        <v>6178</v>
      </c>
      <c r="D414" s="621">
        <v>16.825800000000001</v>
      </c>
      <c r="E414" s="363">
        <v>15.99</v>
      </c>
      <c r="F414" s="363">
        <f t="shared" ref="F414:F419" si="66">C414*(E414-D414)</f>
        <v>-5163.5724000000046</v>
      </c>
      <c r="G414" s="363">
        <f t="shared" ref="G414:G419" si="67">IF(C414=0, 0,D414*C414)</f>
        <v>103949.79240000001</v>
      </c>
      <c r="H414" s="364">
        <f t="shared" ref="H414:H419" si="68">IF(C414=0, D414, (E414-D414)/D414)</f>
        <v>-4.9673715365688452E-2</v>
      </c>
      <c r="I414" s="363"/>
    </row>
    <row r="415" spans="2:9" x14ac:dyDescent="0.25">
      <c r="B415" s="620">
        <v>42612</v>
      </c>
      <c r="C415" s="362">
        <v>6678</v>
      </c>
      <c r="D415" s="621">
        <v>16.739999999999998</v>
      </c>
      <c r="E415" s="363">
        <v>15.55</v>
      </c>
      <c r="F415" s="443">
        <f t="shared" si="66"/>
        <v>-7946.8199999999852</v>
      </c>
      <c r="G415" s="363">
        <f t="shared" si="67"/>
        <v>111789.71999999999</v>
      </c>
      <c r="H415" s="365">
        <f t="shared" si="68"/>
        <v>-7.1087216248506446E-2</v>
      </c>
      <c r="I415" s="382"/>
    </row>
    <row r="416" spans="2:9" x14ac:dyDescent="0.25">
      <c r="B416" s="620">
        <v>42612</v>
      </c>
      <c r="C416" s="362">
        <v>7178</v>
      </c>
      <c r="D416" s="621">
        <v>16.6571</v>
      </c>
      <c r="E416" s="363">
        <v>15.55</v>
      </c>
      <c r="F416" s="363">
        <f t="shared" si="66"/>
        <v>-7946.7637999999934</v>
      </c>
      <c r="G416" s="363">
        <f t="shared" si="67"/>
        <v>119564.66379999999</v>
      </c>
      <c r="H416" s="364">
        <f t="shared" si="68"/>
        <v>-6.6464150422342369E-2</v>
      </c>
      <c r="I416" s="363"/>
    </row>
    <row r="417" spans="2:9" x14ac:dyDescent="0.25">
      <c r="B417" s="620">
        <v>42613</v>
      </c>
      <c r="C417" s="362">
        <v>7678</v>
      </c>
      <c r="D417" s="621">
        <v>16.565200000000001</v>
      </c>
      <c r="E417" s="363">
        <v>15.02</v>
      </c>
      <c r="F417" s="363">
        <f t="shared" si="66"/>
        <v>-11864.04560000001</v>
      </c>
      <c r="G417" s="363">
        <f t="shared" si="67"/>
        <v>127187.60560000001</v>
      </c>
      <c r="H417" s="364">
        <f t="shared" si="68"/>
        <v>-9.3279887957887692E-2</v>
      </c>
      <c r="I417" s="363" t="s">
        <v>257</v>
      </c>
    </row>
    <row r="418" spans="2:9" x14ac:dyDescent="0.25">
      <c r="B418" s="620">
        <v>42613</v>
      </c>
      <c r="C418" s="362">
        <v>8178</v>
      </c>
      <c r="D418" s="621">
        <v>16.474399999999999</v>
      </c>
      <c r="E418" s="363">
        <v>15.02</v>
      </c>
      <c r="F418" s="363">
        <f t="shared" si="66"/>
        <v>-11894.083199999997</v>
      </c>
      <c r="G418" s="363">
        <f t="shared" si="67"/>
        <v>134727.64319999999</v>
      </c>
      <c r="H418" s="364">
        <f t="shared" si="68"/>
        <v>-8.8282426067110162E-2</v>
      </c>
      <c r="I418" s="363" t="s">
        <v>258</v>
      </c>
    </row>
    <row r="419" spans="2:9" x14ac:dyDescent="0.25">
      <c r="B419" s="620">
        <v>42615</v>
      </c>
      <c r="C419" s="362">
        <v>7678</v>
      </c>
      <c r="D419" s="621">
        <v>16.528099999999998</v>
      </c>
      <c r="E419" s="363">
        <v>15.49</v>
      </c>
      <c r="F419" s="363">
        <f t="shared" si="66"/>
        <v>-7970.5317999999861</v>
      </c>
      <c r="G419" s="363">
        <f t="shared" si="67"/>
        <v>126902.75179999998</v>
      </c>
      <c r="H419" s="364">
        <f t="shared" si="68"/>
        <v>-6.2808187268953986E-2</v>
      </c>
      <c r="I419" s="363">
        <v>16.350000000000001</v>
      </c>
    </row>
    <row r="420" spans="2:9" x14ac:dyDescent="0.25">
      <c r="B420" s="620">
        <v>42616</v>
      </c>
      <c r="C420" s="362">
        <v>7678</v>
      </c>
      <c r="D420" s="621">
        <v>16.528099999999998</v>
      </c>
      <c r="E420" s="363">
        <v>15.64</v>
      </c>
      <c r="F420" s="363">
        <f>C420*(E420-D420)</f>
        <v>-6818.8317999999836</v>
      </c>
      <c r="G420" s="363">
        <f>IF(C420=0, 0,D420*C420)</f>
        <v>126902.75179999998</v>
      </c>
      <c r="H420" s="364">
        <f>IF(C420=0, D420, (E420-D420)/D420)</f>
        <v>-5.3732733950060681E-2</v>
      </c>
      <c r="I420" s="363"/>
    </row>
    <row r="421" spans="2:9" x14ac:dyDescent="0.25">
      <c r="B421" s="620">
        <v>42621</v>
      </c>
      <c r="C421" s="362">
        <v>7178</v>
      </c>
      <c r="D421" s="621">
        <v>16.545400000000001</v>
      </c>
      <c r="E421" s="363">
        <v>16.739999999999998</v>
      </c>
      <c r="F421" s="363">
        <f>C421*(E421-D421)</f>
        <v>1396.8387999999832</v>
      </c>
      <c r="G421" s="363">
        <f>IF(C421=0, 0,D421*C421)</f>
        <v>118762.8812</v>
      </c>
      <c r="H421" s="364">
        <f>IF(C421=0, D421, (E421-D421)/D421)</f>
        <v>1.1761577235968768E-2</v>
      </c>
      <c r="I421" s="363"/>
    </row>
    <row r="422" spans="2:9" x14ac:dyDescent="0.25">
      <c r="B422" s="620">
        <v>42621</v>
      </c>
      <c r="C422" s="383">
        <v>6678</v>
      </c>
      <c r="D422" s="622">
        <v>16.532299999999999</v>
      </c>
      <c r="E422" s="363">
        <v>16.739999999999998</v>
      </c>
      <c r="F422" s="363">
        <f>C422*(E422-D422)</f>
        <v>1387.0205999999941</v>
      </c>
      <c r="G422" s="363">
        <f>IF(C422=0, 0,D422*C422)</f>
        <v>110402.6994</v>
      </c>
      <c r="H422" s="364">
        <f>IF(C422=0, D422, (E422-D422)/D422)</f>
        <v>1.256328520532528E-2</v>
      </c>
      <c r="I422" s="363"/>
    </row>
    <row r="423" spans="2:9" x14ac:dyDescent="0.25">
      <c r="B423" s="620">
        <v>42621</v>
      </c>
      <c r="C423" s="362">
        <v>6458</v>
      </c>
      <c r="D423" s="621">
        <v>16.524263999999999</v>
      </c>
      <c r="E423" s="363">
        <v>16.739999999999998</v>
      </c>
      <c r="F423" s="363">
        <f>C423*(E423-D423)</f>
        <v>1393.2230879999981</v>
      </c>
      <c r="G423" s="363">
        <f>IF(C423=0, 0,D423*C423)</f>
        <v>106713.69691199998</v>
      </c>
      <c r="H423" s="364">
        <f>IF(C423=0, D423, (E423-D423)/D423)</f>
        <v>1.3055710075801242E-2</v>
      </c>
      <c r="I423" s="363"/>
    </row>
    <row r="424" spans="2:9" ht="15" customHeight="1" x14ac:dyDescent="0.25">
      <c r="B424" s="620">
        <v>42622</v>
      </c>
      <c r="C424" s="362">
        <v>7178</v>
      </c>
      <c r="D424" s="621">
        <v>16.477945999999999</v>
      </c>
      <c r="E424" s="363">
        <v>15.67</v>
      </c>
      <c r="F424" s="363">
        <f>C424*(E424-D424)</f>
        <v>-5799.4363879999955</v>
      </c>
      <c r="G424" s="363">
        <f>IF(C424=0, 0,D424*C424)</f>
        <v>118278.696388</v>
      </c>
      <c r="H424" s="364">
        <f>IF(C424=0, D424, (E424-D424)/D424)</f>
        <v>-4.9031960658203359E-2</v>
      </c>
      <c r="I424" s="363"/>
    </row>
    <row r="425" spans="2:9" x14ac:dyDescent="0.25">
      <c r="B425" s="620">
        <v>42622</v>
      </c>
      <c r="C425" s="362">
        <v>7678</v>
      </c>
      <c r="D425" s="621">
        <v>16.430541999999999</v>
      </c>
      <c r="E425" s="363">
        <v>15.67</v>
      </c>
      <c r="F425" s="363">
        <f t="shared" ref="F425:F431" si="69">C425*(E425-D425)</f>
        <v>-5839.4414759999936</v>
      </c>
      <c r="G425" s="363">
        <f t="shared" ref="G425:G431" si="70">IF(C425=0, 0,D425*C425)</f>
        <v>126153.70147599999</v>
      </c>
      <c r="H425" s="364">
        <f t="shared" ref="H425:H431" si="71">IF(C425=0, D425, (E425-D425)/D425)</f>
        <v>-4.6288308687564853E-2</v>
      </c>
      <c r="I425" s="363">
        <v>16.350000000000001</v>
      </c>
    </row>
    <row r="426" spans="2:9" x14ac:dyDescent="0.25">
      <c r="B426" s="620">
        <v>42625</v>
      </c>
      <c r="C426" s="383">
        <v>7678</v>
      </c>
      <c r="D426" s="622">
        <v>16.412330000000001</v>
      </c>
      <c r="E426" s="363">
        <v>15.47</v>
      </c>
      <c r="F426" s="363">
        <f t="shared" si="69"/>
        <v>-7235.2097400000011</v>
      </c>
      <c r="G426" s="363">
        <f t="shared" si="70"/>
        <v>126013.86974000001</v>
      </c>
      <c r="H426" s="364">
        <f t="shared" si="71"/>
        <v>-5.7415979327737135E-2</v>
      </c>
      <c r="I426" s="363"/>
    </row>
    <row r="427" spans="2:9" x14ac:dyDescent="0.25">
      <c r="B427" s="620">
        <v>42625</v>
      </c>
      <c r="C427" s="383">
        <v>7678</v>
      </c>
      <c r="D427" s="622">
        <v>16.355817999999999</v>
      </c>
      <c r="E427" s="363">
        <v>15.47</v>
      </c>
      <c r="F427" s="363">
        <f t="shared" si="69"/>
        <v>-6801.3106039999893</v>
      </c>
      <c r="G427" s="363">
        <f t="shared" si="70"/>
        <v>125579.970604</v>
      </c>
      <c r="H427" s="364">
        <f t="shared" si="71"/>
        <v>-5.4159198885680847E-2</v>
      </c>
      <c r="I427" s="363" t="s">
        <v>272</v>
      </c>
    </row>
    <row r="428" spans="2:9" x14ac:dyDescent="0.25">
      <c r="B428" s="620">
        <v>42626</v>
      </c>
      <c r="C428" s="362">
        <v>8278</v>
      </c>
      <c r="D428" s="621">
        <v>16.25066</v>
      </c>
      <c r="E428" s="363">
        <v>14.34</v>
      </c>
      <c r="F428" s="363">
        <f t="shared" si="69"/>
        <v>-15816.44348</v>
      </c>
      <c r="G428" s="363">
        <f t="shared" si="70"/>
        <v>134522.96348000001</v>
      </c>
      <c r="H428" s="365">
        <f t="shared" si="71"/>
        <v>-0.11757430159759666</v>
      </c>
      <c r="I428" s="363"/>
    </row>
    <row r="429" spans="2:9" x14ac:dyDescent="0.25">
      <c r="B429" s="620">
        <v>42626</v>
      </c>
      <c r="C429" s="362">
        <v>8678</v>
      </c>
      <c r="D429" s="621">
        <v>16.18149</v>
      </c>
      <c r="E429" s="363">
        <v>14.34</v>
      </c>
      <c r="F429" s="363">
        <f t="shared" si="69"/>
        <v>-15980.450220000002</v>
      </c>
      <c r="G429" s="363">
        <f t="shared" si="70"/>
        <v>140422.97021999999</v>
      </c>
      <c r="H429" s="365">
        <f t="shared" si="71"/>
        <v>-0.11380225183218605</v>
      </c>
      <c r="I429" s="363"/>
    </row>
    <row r="430" spans="2:9" x14ac:dyDescent="0.25">
      <c r="B430" s="620">
        <v>42626</v>
      </c>
      <c r="C430" s="362">
        <v>8978</v>
      </c>
      <c r="D430" s="621">
        <v>16.124635000000001</v>
      </c>
      <c r="E430" s="363">
        <v>14.34</v>
      </c>
      <c r="F430" s="363">
        <f t="shared" si="69"/>
        <v>-16022.453030000013</v>
      </c>
      <c r="G430" s="363">
        <f t="shared" si="70"/>
        <v>144766.97303000002</v>
      </c>
      <c r="H430" s="365">
        <f t="shared" si="71"/>
        <v>-0.11067754401882594</v>
      </c>
      <c r="I430" s="363"/>
    </row>
    <row r="431" spans="2:9" ht="15" customHeight="1" x14ac:dyDescent="0.25">
      <c r="B431" s="620">
        <v>42626</v>
      </c>
      <c r="C431" s="362">
        <v>9278</v>
      </c>
      <c r="D431" s="621">
        <v>16.064019999999999</v>
      </c>
      <c r="E431" s="363">
        <v>14.34</v>
      </c>
      <c r="F431" s="363">
        <f t="shared" si="69"/>
        <v>-15995.457559999995</v>
      </c>
      <c r="G431" s="363">
        <f t="shared" si="70"/>
        <v>149041.97756</v>
      </c>
      <c r="H431" s="365">
        <f t="shared" si="71"/>
        <v>-0.10732182853357998</v>
      </c>
      <c r="I431" s="363" t="s">
        <v>273</v>
      </c>
    </row>
    <row r="432" spans="2:9" x14ac:dyDescent="0.25">
      <c r="B432" s="620">
        <v>42627</v>
      </c>
      <c r="C432" s="362">
        <v>9478</v>
      </c>
      <c r="D432" s="621">
        <v>16.020790999999999</v>
      </c>
      <c r="E432" s="363">
        <v>14.01</v>
      </c>
      <c r="F432" s="363">
        <f t="shared" ref="F432:F439" si="72">C432*(E432-D432)</f>
        <v>-19058.277097999995</v>
      </c>
      <c r="G432" s="363">
        <f t="shared" ref="G432:G439" si="73">IF(C432=0, 0,D432*C432)</f>
        <v>151845.05709799999</v>
      </c>
      <c r="H432" s="365">
        <f t="shared" ref="H432:H439" si="74">IF(C432=0, D432, (E432-D432)/D432)</f>
        <v>-0.1255113433537707</v>
      </c>
      <c r="I432" s="363"/>
    </row>
    <row r="433" spans="2:9" x14ac:dyDescent="0.25">
      <c r="B433" s="620">
        <v>42628</v>
      </c>
      <c r="C433" s="362">
        <v>9478</v>
      </c>
      <c r="D433" s="621">
        <v>16.015726999999998</v>
      </c>
      <c r="E433" s="363">
        <v>14.26</v>
      </c>
      <c r="F433" s="363">
        <f t="shared" si="72"/>
        <v>-16640.780505999985</v>
      </c>
      <c r="G433" s="363">
        <f t="shared" si="73"/>
        <v>151797.06050599998</v>
      </c>
      <c r="H433" s="365">
        <f t="shared" si="74"/>
        <v>-0.1096251827968845</v>
      </c>
      <c r="I433" s="363"/>
    </row>
    <row r="434" spans="2:9" x14ac:dyDescent="0.25">
      <c r="B434" s="620">
        <v>42629</v>
      </c>
      <c r="C434" s="362">
        <v>9478</v>
      </c>
      <c r="D434" s="621">
        <v>16.015726999999998</v>
      </c>
      <c r="E434" s="363">
        <v>14.24</v>
      </c>
      <c r="F434" s="363">
        <f t="shared" si="72"/>
        <v>-16830.340505999982</v>
      </c>
      <c r="G434" s="363">
        <f t="shared" si="73"/>
        <v>151797.06050599998</v>
      </c>
      <c r="H434" s="365">
        <f t="shared" si="74"/>
        <v>-0.1108739553315312</v>
      </c>
      <c r="I434" s="363"/>
    </row>
    <row r="435" spans="2:9" x14ac:dyDescent="0.25">
      <c r="B435" s="620">
        <v>42632</v>
      </c>
      <c r="C435" s="362">
        <v>9678</v>
      </c>
      <c r="D435" s="621">
        <v>15.975311</v>
      </c>
      <c r="E435" s="363">
        <v>14.09</v>
      </c>
      <c r="F435" s="363">
        <f t="shared" si="72"/>
        <v>-18246.039857999996</v>
      </c>
      <c r="G435" s="363">
        <f t="shared" si="73"/>
        <v>154609.05985799999</v>
      </c>
      <c r="H435" s="364">
        <f t="shared" si="74"/>
        <v>-0.11801404054043141</v>
      </c>
      <c r="I435" s="363"/>
    </row>
    <row r="436" spans="2:9" x14ac:dyDescent="0.25">
      <c r="B436" s="620">
        <v>42633</v>
      </c>
      <c r="C436" s="362">
        <v>9878</v>
      </c>
      <c r="D436" s="621">
        <v>15.937544000000001</v>
      </c>
      <c r="E436" s="363">
        <v>13.87</v>
      </c>
      <c r="F436" s="363">
        <f t="shared" si="72"/>
        <v>-20423.199632000014</v>
      </c>
      <c r="G436" s="363">
        <f t="shared" si="73"/>
        <v>157431.05963200002</v>
      </c>
      <c r="H436" s="364">
        <f t="shared" si="74"/>
        <v>-0.12972789282966068</v>
      </c>
      <c r="I436" s="363"/>
    </row>
    <row r="437" spans="2:9" ht="15" customHeight="1" x14ac:dyDescent="0.25">
      <c r="B437" s="620">
        <v>42633</v>
      </c>
      <c r="C437" s="362">
        <v>10000</v>
      </c>
      <c r="D437" s="621">
        <v>15.915126000000001</v>
      </c>
      <c r="E437" s="363">
        <v>13.87</v>
      </c>
      <c r="F437" s="363">
        <f t="shared" si="72"/>
        <v>-20451.260000000017</v>
      </c>
      <c r="G437" s="363">
        <f t="shared" si="73"/>
        <v>159151.26</v>
      </c>
      <c r="H437" s="364">
        <f t="shared" si="74"/>
        <v>-0.12850203008132022</v>
      </c>
      <c r="I437" s="363"/>
    </row>
    <row r="438" spans="2:9" x14ac:dyDescent="0.25">
      <c r="B438" s="620">
        <v>42634</v>
      </c>
      <c r="C438" s="362">
        <v>9678</v>
      </c>
      <c r="D438" s="621">
        <v>15.969538999999999</v>
      </c>
      <c r="E438" s="363">
        <v>14.65</v>
      </c>
      <c r="F438" s="363">
        <f t="shared" si="72"/>
        <v>-12770.498441999989</v>
      </c>
      <c r="G438" s="363">
        <f t="shared" si="73"/>
        <v>154553.19844199999</v>
      </c>
      <c r="H438" s="364">
        <f t="shared" si="74"/>
        <v>-8.2628496664806608E-2</v>
      </c>
      <c r="I438" s="363"/>
    </row>
    <row r="439" spans="2:9" x14ac:dyDescent="0.25">
      <c r="B439" s="620">
        <v>42634</v>
      </c>
      <c r="C439" s="362">
        <v>9278</v>
      </c>
      <c r="D439" s="621">
        <v>16.026872999999998</v>
      </c>
      <c r="E439" s="363">
        <v>14.65</v>
      </c>
      <c r="F439" s="363">
        <f t="shared" si="72"/>
        <v>-12774.627693999981</v>
      </c>
      <c r="G439" s="363">
        <f t="shared" si="73"/>
        <v>148697.32769399998</v>
      </c>
      <c r="H439" s="364">
        <f t="shared" si="74"/>
        <v>-8.5910270830747718E-2</v>
      </c>
      <c r="I439" s="363">
        <v>16</v>
      </c>
    </row>
    <row r="440" spans="2:9" x14ac:dyDescent="0.25">
      <c r="B440" s="620">
        <v>42635</v>
      </c>
      <c r="C440" s="362">
        <v>9278</v>
      </c>
      <c r="D440" s="621">
        <v>16.026872999999998</v>
      </c>
      <c r="E440" s="363">
        <v>14.87</v>
      </c>
      <c r="F440" s="363">
        <f t="shared" ref="F440:F451" si="75">C440*(E440-D440)</f>
        <v>-10733.467693999992</v>
      </c>
      <c r="G440" s="363">
        <f t="shared" ref="G440:G451" si="76">IF(C440=0, 0,D440*C440)</f>
        <v>148697.32769399998</v>
      </c>
      <c r="H440" s="364">
        <f t="shared" ref="H440:H451" si="77">IF(C440=0, D440, (E440-D440)/D440)</f>
        <v>-7.2183326092369937E-2</v>
      </c>
      <c r="I440" s="363"/>
    </row>
    <row r="441" spans="2:9" x14ac:dyDescent="0.25">
      <c r="B441" s="620">
        <v>42636</v>
      </c>
      <c r="C441" s="362">
        <v>9478</v>
      </c>
      <c r="D441" s="621">
        <v>15.992122</v>
      </c>
      <c r="E441" s="363">
        <v>14.49</v>
      </c>
      <c r="F441" s="363">
        <f t="shared" si="75"/>
        <v>-14237.112315999999</v>
      </c>
      <c r="G441" s="363">
        <f t="shared" si="76"/>
        <v>151573.33231600001</v>
      </c>
      <c r="H441" s="364">
        <f t="shared" si="77"/>
        <v>-9.39288732289561E-2</v>
      </c>
      <c r="I441" s="363"/>
    </row>
    <row r="442" spans="2:9" x14ac:dyDescent="0.25">
      <c r="B442" s="620">
        <v>42639</v>
      </c>
      <c r="C442" s="362">
        <v>9278</v>
      </c>
      <c r="D442" s="621">
        <v>16.019549999999999</v>
      </c>
      <c r="E442" s="363">
        <v>14.41</v>
      </c>
      <c r="F442" s="363">
        <f t="shared" si="75"/>
        <v>-14933.404899999989</v>
      </c>
      <c r="G442" s="363">
        <f t="shared" si="76"/>
        <v>148629.38489999998</v>
      </c>
      <c r="H442" s="364">
        <f t="shared" si="77"/>
        <v>-0.10047410819904422</v>
      </c>
      <c r="I442" s="363">
        <v>16</v>
      </c>
    </row>
    <row r="443" spans="2:9" x14ac:dyDescent="0.25">
      <c r="B443" s="620">
        <v>42639</v>
      </c>
      <c r="C443" s="362">
        <v>9478</v>
      </c>
      <c r="D443" s="621">
        <v>15.987468</v>
      </c>
      <c r="E443" s="363">
        <v>14.41</v>
      </c>
      <c r="F443" s="363">
        <f t="shared" si="75"/>
        <v>-14951.241703999996</v>
      </c>
      <c r="G443" s="363">
        <f t="shared" si="76"/>
        <v>151529.221704</v>
      </c>
      <c r="H443" s="364">
        <f t="shared" si="77"/>
        <v>-9.8669032519721048E-2</v>
      </c>
      <c r="I443" s="363"/>
    </row>
    <row r="444" spans="2:9" x14ac:dyDescent="0.25">
      <c r="B444" s="620">
        <v>42639</v>
      </c>
      <c r="C444" s="362">
        <v>9678</v>
      </c>
      <c r="D444" s="621">
        <v>15.954266000000001</v>
      </c>
      <c r="E444" s="363">
        <v>14.41</v>
      </c>
      <c r="F444" s="363">
        <f t="shared" si="75"/>
        <v>-14945.406348000004</v>
      </c>
      <c r="G444" s="363">
        <f t="shared" si="76"/>
        <v>154405.386348</v>
      </c>
      <c r="H444" s="364">
        <f t="shared" si="77"/>
        <v>-9.6793296538994669E-2</v>
      </c>
      <c r="I444" s="363"/>
    </row>
    <row r="445" spans="2:9" x14ac:dyDescent="0.25">
      <c r="B445" s="620">
        <v>42640</v>
      </c>
      <c r="C445" s="362">
        <v>10000</v>
      </c>
      <c r="D445" s="621">
        <v>15.890373</v>
      </c>
      <c r="E445" s="363">
        <v>14.06</v>
      </c>
      <c r="F445" s="363">
        <f t="shared" si="75"/>
        <v>-18303.73</v>
      </c>
      <c r="G445" s="363">
        <f t="shared" si="76"/>
        <v>158903.73000000001</v>
      </c>
      <c r="H445" s="364">
        <f t="shared" si="77"/>
        <v>-0.11518754153851517</v>
      </c>
      <c r="I445" s="363"/>
    </row>
    <row r="446" spans="2:9" x14ac:dyDescent="0.25">
      <c r="B446" s="620">
        <v>42641</v>
      </c>
      <c r="C446" s="362">
        <v>9278</v>
      </c>
      <c r="D446" s="621">
        <v>15.968</v>
      </c>
      <c r="E446" s="363">
        <v>15.18</v>
      </c>
      <c r="F446" s="363">
        <f t="shared" si="75"/>
        <v>-7311.0640000000021</v>
      </c>
      <c r="G446" s="363">
        <f t="shared" si="76"/>
        <v>148151.10399999999</v>
      </c>
      <c r="H446" s="364">
        <f t="shared" si="77"/>
        <v>-4.9348697394789594E-2</v>
      </c>
      <c r="I446" s="363" t="s">
        <v>285</v>
      </c>
    </row>
    <row r="447" spans="2:9" x14ac:dyDescent="0.25">
      <c r="B447" s="620">
        <v>42641</v>
      </c>
      <c r="C447" s="362">
        <v>8978</v>
      </c>
      <c r="D447" s="621">
        <v>15.991466000000001</v>
      </c>
      <c r="E447" s="363">
        <v>15.18</v>
      </c>
      <c r="F447" s="363">
        <f t="shared" si="75"/>
        <v>-7285.3417480000098</v>
      </c>
      <c r="G447" s="363">
        <f t="shared" si="76"/>
        <v>143571.38174800001</v>
      </c>
      <c r="H447" s="364">
        <f t="shared" si="77"/>
        <v>-5.0743690415875634E-2</v>
      </c>
      <c r="I447" s="363"/>
    </row>
    <row r="448" spans="2:9" x14ac:dyDescent="0.25">
      <c r="B448" s="620">
        <v>42642</v>
      </c>
      <c r="C448" s="362">
        <v>8678</v>
      </c>
      <c r="D448" s="621">
        <v>16.016100000000002</v>
      </c>
      <c r="E448" s="363">
        <v>15.9</v>
      </c>
      <c r="F448" s="363">
        <f t="shared" si="75"/>
        <v>-1007.5158000000105</v>
      </c>
      <c r="G448" s="363">
        <f t="shared" si="76"/>
        <v>138987.71580000001</v>
      </c>
      <c r="H448" s="364">
        <f t="shared" si="77"/>
        <v>-7.2489557382884214E-3</v>
      </c>
      <c r="I448" s="363"/>
    </row>
    <row r="449" spans="2:9" x14ac:dyDescent="0.25">
      <c r="B449" s="620">
        <v>42642</v>
      </c>
      <c r="C449" s="362">
        <v>7978</v>
      </c>
      <c r="D449" s="621">
        <v>16.036825</v>
      </c>
      <c r="E449" s="363">
        <v>15.9</v>
      </c>
      <c r="F449" s="363">
        <f t="shared" si="75"/>
        <v>-1091.5898499999998</v>
      </c>
      <c r="G449" s="363">
        <f t="shared" si="76"/>
        <v>127941.78985</v>
      </c>
      <c r="H449" s="364">
        <f t="shared" si="77"/>
        <v>-8.5319257396648009E-3</v>
      </c>
      <c r="I449" s="363"/>
    </row>
    <row r="450" spans="2:9" x14ac:dyDescent="0.25">
      <c r="B450" s="620">
        <v>42642</v>
      </c>
      <c r="C450" s="362">
        <v>7764</v>
      </c>
      <c r="D450" s="621">
        <v>16.038399999999999</v>
      </c>
      <c r="E450" s="363">
        <v>15.9</v>
      </c>
      <c r="F450" s="363">
        <f t="shared" si="75"/>
        <v>-1074.5375999999919</v>
      </c>
      <c r="G450" s="363">
        <f t="shared" si="76"/>
        <v>124522.1376</v>
      </c>
      <c r="H450" s="364">
        <f t="shared" si="77"/>
        <v>-8.6292897047086353E-3</v>
      </c>
      <c r="I450" s="363"/>
    </row>
    <row r="451" spans="2:9" x14ac:dyDescent="0.25">
      <c r="B451" s="620">
        <v>42642</v>
      </c>
      <c r="C451" s="362">
        <v>8178</v>
      </c>
      <c r="D451" s="621">
        <v>16.019235999999999</v>
      </c>
      <c r="E451" s="363">
        <v>15.9</v>
      </c>
      <c r="F451" s="363">
        <f t="shared" si="75"/>
        <v>-975.11200799999187</v>
      </c>
      <c r="G451" s="363">
        <f t="shared" si="76"/>
        <v>131005.31200799999</v>
      </c>
      <c r="H451" s="364">
        <f t="shared" si="77"/>
        <v>-7.4433012910228059E-3</v>
      </c>
      <c r="I451" s="363" t="s">
        <v>286</v>
      </c>
    </row>
    <row r="452" spans="2:9" x14ac:dyDescent="0.25">
      <c r="B452" s="620">
        <v>42643</v>
      </c>
      <c r="C452" s="362">
        <v>8178</v>
      </c>
      <c r="D452" s="621">
        <v>16.019235999999999</v>
      </c>
      <c r="E452" s="363">
        <v>15.81</v>
      </c>
      <c r="F452" s="363">
        <f>C452*(E452-D452)</f>
        <v>-1711.1320079999907</v>
      </c>
      <c r="G452" s="363">
        <f>IF(C452=0, 0,D452*C452)</f>
        <v>131005.31200799999</v>
      </c>
      <c r="H452" s="364">
        <f>IF(C452=0, D452, (E452-D452)/D452)</f>
        <v>-1.3061546755413234E-2</v>
      </c>
      <c r="I452" s="363"/>
    </row>
    <row r="453" spans="2:9" x14ac:dyDescent="0.25">
      <c r="B453" s="620">
        <v>42646</v>
      </c>
      <c r="C453" s="362">
        <v>8178</v>
      </c>
      <c r="D453" s="621">
        <v>16.019235999999999</v>
      </c>
      <c r="E453" s="363">
        <v>15.98</v>
      </c>
      <c r="F453" s="363">
        <f t="shared" ref="F453:F462" si="78">C453*(E453-D453)</f>
        <v>-320.8720079999913</v>
      </c>
      <c r="G453" s="363">
        <f t="shared" ref="G453:G462" si="79">IF(C453=0, 0,D453*C453)</f>
        <v>131005.31200799999</v>
      </c>
      <c r="H453" s="364">
        <f t="shared" ref="H453:H462" si="80">IF(C453=0, D453, (E453-D453)/D453)</f>
        <v>-2.4493053226757469E-3</v>
      </c>
      <c r="I453" s="363"/>
    </row>
    <row r="454" spans="2:9" x14ac:dyDescent="0.25">
      <c r="B454" s="620">
        <v>42647</v>
      </c>
      <c r="C454" s="362">
        <v>8678</v>
      </c>
      <c r="D454" s="621">
        <v>16.010061</v>
      </c>
      <c r="E454" s="363">
        <v>15.63</v>
      </c>
      <c r="F454" s="363">
        <f t="shared" si="78"/>
        <v>-3298.169357999996</v>
      </c>
      <c r="G454" s="363">
        <f t="shared" si="79"/>
        <v>138935.309358</v>
      </c>
      <c r="H454" s="364">
        <f t="shared" si="80"/>
        <v>-2.3738885192255015E-2</v>
      </c>
      <c r="I454" s="363"/>
    </row>
    <row r="455" spans="2:9" x14ac:dyDescent="0.25">
      <c r="B455" s="620">
        <v>42647</v>
      </c>
      <c r="C455" s="362">
        <v>9178</v>
      </c>
      <c r="D455" s="621">
        <v>15.988811</v>
      </c>
      <c r="E455" s="363">
        <v>15.63</v>
      </c>
      <c r="F455" s="363">
        <f t="shared" si="78"/>
        <v>-3293.1673579999938</v>
      </c>
      <c r="G455" s="363">
        <f t="shared" si="79"/>
        <v>146745.30735799999</v>
      </c>
      <c r="H455" s="364">
        <f t="shared" si="80"/>
        <v>-2.2441381038277287E-2</v>
      </c>
      <c r="I455" s="363"/>
    </row>
    <row r="456" spans="2:9" x14ac:dyDescent="0.25">
      <c r="B456" s="620">
        <v>42648</v>
      </c>
      <c r="C456" s="362">
        <v>8178</v>
      </c>
      <c r="D456" s="621">
        <v>15.977725</v>
      </c>
      <c r="E456" s="363">
        <v>16.12</v>
      </c>
      <c r="F456" s="363">
        <f t="shared" si="78"/>
        <v>1163.524950000012</v>
      </c>
      <c r="G456" s="363">
        <f t="shared" si="79"/>
        <v>130665.83504999999</v>
      </c>
      <c r="H456" s="364">
        <f t="shared" si="80"/>
        <v>8.904584351026288E-3</v>
      </c>
      <c r="I456" s="363">
        <v>15.75</v>
      </c>
    </row>
    <row r="457" spans="2:9" x14ac:dyDescent="0.25">
      <c r="B457" s="620">
        <v>42648</v>
      </c>
      <c r="C457" s="383">
        <v>7678</v>
      </c>
      <c r="D457" s="622">
        <v>15.951529000000001</v>
      </c>
      <c r="E457" s="363">
        <v>16.12</v>
      </c>
      <c r="F457" s="363">
        <f t="shared" si="78"/>
        <v>1293.5203380000021</v>
      </c>
      <c r="G457" s="363">
        <f t="shared" si="79"/>
        <v>122475.839662</v>
      </c>
      <c r="H457" s="364">
        <f t="shared" si="80"/>
        <v>1.0561432700275958E-2</v>
      </c>
      <c r="I457" s="363" t="s">
        <v>290</v>
      </c>
    </row>
    <row r="458" spans="2:9" ht="15" customHeight="1" x14ac:dyDescent="0.25">
      <c r="B458" s="620">
        <v>42649</v>
      </c>
      <c r="C458" s="362">
        <v>8678</v>
      </c>
      <c r="D458" s="621">
        <v>15.941579000000001</v>
      </c>
      <c r="E458" s="363">
        <v>16.079999999999998</v>
      </c>
      <c r="F458" s="363">
        <f t="shared" si="78"/>
        <v>1201.2174379999781</v>
      </c>
      <c r="G458" s="363">
        <f t="shared" si="79"/>
        <v>138341.022562</v>
      </c>
      <c r="H458" s="364">
        <f t="shared" si="80"/>
        <v>8.683016908174369E-3</v>
      </c>
      <c r="I458" s="363"/>
    </row>
    <row r="459" spans="2:9" x14ac:dyDescent="0.25">
      <c r="B459" s="620">
        <v>42650</v>
      </c>
      <c r="C459" s="362">
        <v>8978</v>
      </c>
      <c r="D459" s="621">
        <v>15.935176999999999</v>
      </c>
      <c r="E459" s="363">
        <v>15.56</v>
      </c>
      <c r="F459" s="363">
        <f t="shared" si="78"/>
        <v>-3368.3391059999908</v>
      </c>
      <c r="G459" s="363">
        <f t="shared" si="79"/>
        <v>143066.01910599999</v>
      </c>
      <c r="H459" s="364">
        <f t="shared" si="80"/>
        <v>-2.354394933925108E-2</v>
      </c>
      <c r="I459" s="363"/>
    </row>
    <row r="460" spans="2:9" x14ac:dyDescent="0.25">
      <c r="B460" s="620">
        <v>42650</v>
      </c>
      <c r="C460" s="362">
        <v>9278</v>
      </c>
      <c r="D460" s="621">
        <v>15.923692000000001</v>
      </c>
      <c r="E460" s="363">
        <v>15.56</v>
      </c>
      <c r="F460" s="363">
        <f t="shared" si="78"/>
        <v>-3374.3343760000034</v>
      </c>
      <c r="G460" s="363">
        <f t="shared" si="79"/>
        <v>147740.01437600001</v>
      </c>
      <c r="H460" s="364">
        <f t="shared" si="80"/>
        <v>-2.2839678134945106E-2</v>
      </c>
      <c r="I460" s="363">
        <v>15.8</v>
      </c>
    </row>
    <row r="461" spans="2:9" x14ac:dyDescent="0.25">
      <c r="B461" s="620">
        <v>42653</v>
      </c>
      <c r="C461" s="383">
        <v>9678</v>
      </c>
      <c r="D461" s="622">
        <v>15.9153</v>
      </c>
      <c r="E461" s="363">
        <v>15.72</v>
      </c>
      <c r="F461" s="363">
        <f t="shared" si="78"/>
        <v>-1890.1133999999961</v>
      </c>
      <c r="G461" s="363">
        <f t="shared" si="79"/>
        <v>154028.27340000001</v>
      </c>
      <c r="H461" s="364">
        <f t="shared" si="80"/>
        <v>-1.2271210721758281E-2</v>
      </c>
      <c r="I461" s="363"/>
    </row>
    <row r="462" spans="2:9" x14ac:dyDescent="0.25">
      <c r="B462" s="620">
        <v>42661</v>
      </c>
      <c r="C462" s="383">
        <v>10000</v>
      </c>
      <c r="D462" s="622">
        <v>15.901258</v>
      </c>
      <c r="E462" s="363">
        <v>14.2</v>
      </c>
      <c r="F462" s="363">
        <f t="shared" si="78"/>
        <v>-17012.580000000009</v>
      </c>
      <c r="G462" s="363">
        <f t="shared" si="79"/>
        <v>159012.58000000002</v>
      </c>
      <c r="H462" s="364">
        <f t="shared" si="80"/>
        <v>-0.10698889358313669</v>
      </c>
      <c r="I462" s="363"/>
    </row>
    <row r="463" spans="2:9" x14ac:dyDescent="0.25">
      <c r="B463" s="620">
        <v>42663</v>
      </c>
      <c r="C463" s="362">
        <v>10000</v>
      </c>
      <c r="D463" s="621">
        <v>15.901258</v>
      </c>
      <c r="E463" s="363">
        <v>14.7</v>
      </c>
      <c r="F463" s="363">
        <f>C463*(E463-D463)</f>
        <v>-12012.580000000011</v>
      </c>
      <c r="G463" s="363">
        <f>IF(C463=0, 0,D463*C463)</f>
        <v>159012.58000000002</v>
      </c>
      <c r="H463" s="365">
        <f>IF(C463=0, D463, (E463-D463)/D463)</f>
        <v>-7.5544840540289399E-2</v>
      </c>
      <c r="I463" s="363"/>
    </row>
    <row r="464" spans="2:9" x14ac:dyDescent="0.25">
      <c r="B464" s="620">
        <v>42668</v>
      </c>
      <c r="C464" s="362">
        <v>11000</v>
      </c>
      <c r="D464" s="621">
        <v>15.74728</v>
      </c>
      <c r="E464" s="363">
        <v>14.18</v>
      </c>
      <c r="F464" s="363">
        <f>C464*(E464-D464)</f>
        <v>-17240.080000000002</v>
      </c>
      <c r="G464" s="363">
        <f>IF(C464=0, 0,D464*C464)</f>
        <v>173220.08</v>
      </c>
      <c r="H464" s="365">
        <f>IF(C464=0, D464, (E464-D464)/D464)</f>
        <v>-9.9527029429844413E-2</v>
      </c>
      <c r="I464" s="363"/>
    </row>
    <row r="465" spans="2:9" x14ac:dyDescent="0.25">
      <c r="B465" s="620">
        <v>42670</v>
      </c>
      <c r="C465" s="362">
        <v>11500</v>
      </c>
      <c r="D465" s="621">
        <v>15.679137000000001</v>
      </c>
      <c r="E465" s="363">
        <v>13.95</v>
      </c>
      <c r="F465" s="363">
        <f>C465*(E465-D465)</f>
        <v>-19885.075500000017</v>
      </c>
      <c r="G465" s="363">
        <f>IF(C465=0, 0,D465*C465)</f>
        <v>180310.07550000001</v>
      </c>
      <c r="H465" s="365">
        <f>IF(C465=0, D465, (E465-D465)/D465)</f>
        <v>-0.11028266415428357</v>
      </c>
      <c r="I465" s="363"/>
    </row>
    <row r="466" spans="2:9" x14ac:dyDescent="0.25">
      <c r="B466" s="620">
        <v>42670</v>
      </c>
      <c r="C466" s="362">
        <v>12000</v>
      </c>
      <c r="D466" s="621">
        <v>15.6113</v>
      </c>
      <c r="E466" s="363">
        <v>13.95</v>
      </c>
      <c r="F466" s="363">
        <f t="shared" ref="F466:F473" si="81">C466*(E466-D466)</f>
        <v>-19935.600000000009</v>
      </c>
      <c r="G466" s="363">
        <f t="shared" ref="G466:G473" si="82">IF(C466=0, 0,D466*C466)</f>
        <v>187335.6</v>
      </c>
      <c r="H466" s="365">
        <f t="shared" ref="H466:H473" si="83">IF(C466=0, D466, (E466-D466)/D466)</f>
        <v>-0.10641650599245422</v>
      </c>
      <c r="I466" s="363"/>
    </row>
    <row r="467" spans="2:9" x14ac:dyDescent="0.25">
      <c r="B467" s="620">
        <v>42670</v>
      </c>
      <c r="C467" s="362">
        <v>12500</v>
      </c>
      <c r="D467" s="621">
        <v>15.542006000000001</v>
      </c>
      <c r="E467" s="363">
        <v>13.95</v>
      </c>
      <c r="F467" s="363">
        <f t="shared" si="81"/>
        <v>-19900.075000000015</v>
      </c>
      <c r="G467" s="363">
        <f t="shared" si="82"/>
        <v>194275.07500000001</v>
      </c>
      <c r="H467" s="365">
        <f t="shared" si="83"/>
        <v>-0.10243246592492637</v>
      </c>
      <c r="I467" s="363"/>
    </row>
    <row r="468" spans="2:9" x14ac:dyDescent="0.25">
      <c r="B468" s="620">
        <v>42671</v>
      </c>
      <c r="C468" s="362">
        <v>12500</v>
      </c>
      <c r="D468" s="621">
        <v>15.536431</v>
      </c>
      <c r="E468" s="363">
        <v>13.72</v>
      </c>
      <c r="F468" s="363">
        <f t="shared" si="81"/>
        <v>-22705.387499999997</v>
      </c>
      <c r="G468" s="363">
        <f t="shared" si="82"/>
        <v>194205.38750000001</v>
      </c>
      <c r="H468" s="365">
        <f t="shared" si="83"/>
        <v>-0.11691430290521676</v>
      </c>
      <c r="I468" s="363"/>
    </row>
    <row r="469" spans="2:9" x14ac:dyDescent="0.25">
      <c r="B469" s="620">
        <v>42674</v>
      </c>
      <c r="C469" s="362">
        <v>12500</v>
      </c>
      <c r="D469" s="621">
        <v>15.5313</v>
      </c>
      <c r="E469" s="363">
        <v>13.18</v>
      </c>
      <c r="F469" s="363">
        <f t="shared" si="81"/>
        <v>-29391.250000000004</v>
      </c>
      <c r="G469" s="363">
        <f t="shared" si="82"/>
        <v>194141.25</v>
      </c>
      <c r="H469" s="365">
        <f t="shared" si="83"/>
        <v>-0.15139106192012261</v>
      </c>
      <c r="I469" s="363"/>
    </row>
    <row r="470" spans="2:9" x14ac:dyDescent="0.25">
      <c r="B470" s="620">
        <v>42676</v>
      </c>
      <c r="C470" s="362">
        <v>12500</v>
      </c>
      <c r="D470" s="621">
        <v>15.528746</v>
      </c>
      <c r="E470" s="363">
        <v>12.78</v>
      </c>
      <c r="F470" s="363">
        <f t="shared" si="81"/>
        <v>-34359.325000000004</v>
      </c>
      <c r="G470" s="363">
        <f t="shared" si="82"/>
        <v>194109.32500000001</v>
      </c>
      <c r="H470" s="364">
        <f t="shared" si="83"/>
        <v>-0.17701017197396368</v>
      </c>
      <c r="I470" s="363"/>
    </row>
    <row r="471" spans="2:9" x14ac:dyDescent="0.25">
      <c r="B471" s="620">
        <v>42677</v>
      </c>
      <c r="C471" s="362">
        <v>10000</v>
      </c>
      <c r="D471" s="621">
        <v>15.813000000000001</v>
      </c>
      <c r="E471" s="363">
        <v>14.15</v>
      </c>
      <c r="F471" s="363">
        <f t="shared" si="81"/>
        <v>-16630.000000000004</v>
      </c>
      <c r="G471" s="363">
        <f t="shared" si="82"/>
        <v>158130</v>
      </c>
      <c r="H471" s="364">
        <f t="shared" si="83"/>
        <v>-0.10516663504711314</v>
      </c>
      <c r="I471" s="363"/>
    </row>
    <row r="472" spans="2:9" x14ac:dyDescent="0.25">
      <c r="B472" s="620">
        <v>42678</v>
      </c>
      <c r="C472" s="362">
        <v>11000</v>
      </c>
      <c r="D472" s="621">
        <v>15.62</v>
      </c>
      <c r="E472" s="363">
        <v>13.69</v>
      </c>
      <c r="F472" s="363">
        <f t="shared" si="81"/>
        <v>-21229.999999999996</v>
      </c>
      <c r="G472" s="363">
        <f t="shared" si="82"/>
        <v>171820</v>
      </c>
      <c r="H472" s="364">
        <f t="shared" si="83"/>
        <v>-0.12355953905249678</v>
      </c>
      <c r="I472" s="363"/>
    </row>
    <row r="473" spans="2:9" x14ac:dyDescent="0.25">
      <c r="B473" s="620">
        <v>42701</v>
      </c>
      <c r="C473" s="362">
        <v>7678</v>
      </c>
      <c r="D473" s="621">
        <v>15.484220000000001</v>
      </c>
      <c r="E473" s="363">
        <v>16.28</v>
      </c>
      <c r="F473" s="363">
        <f t="shared" si="81"/>
        <v>6109.9988400000047</v>
      </c>
      <c r="G473" s="363">
        <f t="shared" si="82"/>
        <v>118887.84116000001</v>
      </c>
      <c r="H473" s="364">
        <f t="shared" si="83"/>
        <v>5.1392966516879801E-2</v>
      </c>
      <c r="I473" s="363" t="s">
        <v>301</v>
      </c>
    </row>
    <row r="474" spans="2:9" x14ac:dyDescent="0.25">
      <c r="B474" s="620">
        <v>42702</v>
      </c>
      <c r="C474" s="362">
        <v>8178</v>
      </c>
      <c r="D474" s="621">
        <v>15.519399999999999</v>
      </c>
      <c r="E474" s="363">
        <v>15.62</v>
      </c>
      <c r="F474" s="363">
        <f t="shared" ref="F474:F491" si="84">C474*(E474-D474)</f>
        <v>822.70680000000016</v>
      </c>
      <c r="G474" s="363">
        <f t="shared" ref="G474:G491" si="85">IF(C474=0, 0,D474*C474)</f>
        <v>126917.6532</v>
      </c>
      <c r="H474" s="364">
        <f t="shared" ref="H474:H491" si="86">IF(C474=0, D474, (E474-D474)/D474)</f>
        <v>6.4822093637640649E-3</v>
      </c>
      <c r="I474" s="363" t="s">
        <v>306</v>
      </c>
    </row>
    <row r="475" spans="2:9" x14ac:dyDescent="0.25">
      <c r="B475" s="620">
        <v>42702</v>
      </c>
      <c r="C475" s="362">
        <v>8678</v>
      </c>
      <c r="D475" s="621">
        <v>15.5304</v>
      </c>
      <c r="E475" s="363">
        <v>15.54</v>
      </c>
      <c r="F475" s="363">
        <f t="shared" si="84"/>
        <v>83.308799999990825</v>
      </c>
      <c r="G475" s="363">
        <f t="shared" si="85"/>
        <v>134772.8112</v>
      </c>
      <c r="H475" s="364">
        <f t="shared" si="86"/>
        <v>6.1814248184199655E-4</v>
      </c>
      <c r="I475" s="363"/>
    </row>
    <row r="476" spans="2:9" x14ac:dyDescent="0.25">
      <c r="B476" s="620">
        <v>42703</v>
      </c>
      <c r="C476" s="362">
        <v>8978</v>
      </c>
      <c r="D476" s="621">
        <v>15.5053</v>
      </c>
      <c r="E476" s="363">
        <v>14.95</v>
      </c>
      <c r="F476" s="363">
        <f t="shared" si="84"/>
        <v>-4985.4834000000074</v>
      </c>
      <c r="G476" s="363">
        <f t="shared" si="85"/>
        <v>139206.5834</v>
      </c>
      <c r="H476" s="364">
        <f t="shared" si="86"/>
        <v>-3.5813560524465882E-2</v>
      </c>
      <c r="I476" s="363"/>
    </row>
    <row r="477" spans="2:9" x14ac:dyDescent="0.25">
      <c r="B477" s="620">
        <v>42704</v>
      </c>
      <c r="C477" s="362">
        <v>5178</v>
      </c>
      <c r="D477" s="621">
        <v>14.3947</v>
      </c>
      <c r="E477" s="363">
        <v>18.059999999999999</v>
      </c>
      <c r="F477" s="363">
        <f t="shared" si="84"/>
        <v>18978.923399999992</v>
      </c>
      <c r="G477" s="363">
        <f t="shared" si="85"/>
        <v>74535.756600000008</v>
      </c>
      <c r="H477" s="364">
        <f t="shared" si="86"/>
        <v>0.25462843963403187</v>
      </c>
      <c r="I477" s="363"/>
    </row>
    <row r="478" spans="2:9" ht="15" customHeight="1" x14ac:dyDescent="0.25">
      <c r="B478" s="620">
        <v>42705</v>
      </c>
      <c r="C478" s="362">
        <v>4678</v>
      </c>
      <c r="D478" s="621">
        <v>13.905799999999999</v>
      </c>
      <c r="E478" s="363">
        <v>17.89</v>
      </c>
      <c r="F478" s="363">
        <f t="shared" si="84"/>
        <v>18638.087600000006</v>
      </c>
      <c r="G478" s="363">
        <f t="shared" si="85"/>
        <v>65051.332399999999</v>
      </c>
      <c r="H478" s="364">
        <f t="shared" si="86"/>
        <v>0.28651354111234173</v>
      </c>
      <c r="I478" s="363"/>
    </row>
    <row r="479" spans="2:9" x14ac:dyDescent="0.25">
      <c r="B479" s="620">
        <v>42705</v>
      </c>
      <c r="C479" s="362">
        <v>5000</v>
      </c>
      <c r="D479" s="621">
        <v>14.1645</v>
      </c>
      <c r="E479" s="363">
        <v>17.89</v>
      </c>
      <c r="F479" s="363">
        <f t="shared" si="84"/>
        <v>18627.5</v>
      </c>
      <c r="G479" s="363">
        <f t="shared" si="85"/>
        <v>70822.5</v>
      </c>
      <c r="H479" s="364">
        <f t="shared" si="86"/>
        <v>0.2630166966712556</v>
      </c>
      <c r="I479" s="363"/>
    </row>
    <row r="480" spans="2:9" x14ac:dyDescent="0.25">
      <c r="B480" s="620">
        <v>42708</v>
      </c>
      <c r="C480" s="362">
        <v>5000</v>
      </c>
      <c r="D480" s="621">
        <v>14.1645</v>
      </c>
      <c r="E480" s="363">
        <v>18.2</v>
      </c>
      <c r="F480" s="363">
        <f t="shared" si="84"/>
        <v>20177.499999999996</v>
      </c>
      <c r="G480" s="363">
        <f t="shared" si="85"/>
        <v>70822.5</v>
      </c>
      <c r="H480" s="364">
        <f t="shared" si="86"/>
        <v>0.28490239683716323</v>
      </c>
      <c r="I480" s="363"/>
    </row>
    <row r="481" spans="1:10" x14ac:dyDescent="0.25">
      <c r="B481" s="620">
        <v>42711</v>
      </c>
      <c r="C481" s="362">
        <v>5000</v>
      </c>
      <c r="D481" s="621">
        <v>14.143514</v>
      </c>
      <c r="E481" s="363">
        <v>18.420000000000002</v>
      </c>
      <c r="F481" s="363">
        <f t="shared" si="84"/>
        <v>21382.430000000011</v>
      </c>
      <c r="G481" s="363">
        <f t="shared" si="85"/>
        <v>70717.569999999992</v>
      </c>
      <c r="H481" s="364">
        <f t="shared" si="86"/>
        <v>0.3023637548631834</v>
      </c>
      <c r="I481" s="363"/>
    </row>
    <row r="482" spans="1:10" x14ac:dyDescent="0.25">
      <c r="B482" s="620">
        <v>42713</v>
      </c>
      <c r="C482" s="362">
        <v>5000</v>
      </c>
      <c r="D482" s="621">
        <v>14.127554</v>
      </c>
      <c r="E482" s="363">
        <v>18.25</v>
      </c>
      <c r="F482" s="363">
        <f t="shared" si="84"/>
        <v>20612.23</v>
      </c>
      <c r="G482" s="363">
        <f t="shared" si="85"/>
        <v>70637.77</v>
      </c>
      <c r="H482" s="364">
        <f t="shared" si="86"/>
        <v>0.29180182216964096</v>
      </c>
      <c r="I482" s="363"/>
    </row>
    <row r="483" spans="1:10" x14ac:dyDescent="0.25">
      <c r="B483" s="620">
        <v>42716</v>
      </c>
      <c r="C483" s="362">
        <v>5000</v>
      </c>
      <c r="D483" s="621">
        <v>14.0276</v>
      </c>
      <c r="E483" s="363">
        <v>18.489999999999998</v>
      </c>
      <c r="F483" s="363">
        <f t="shared" si="84"/>
        <v>22311.999999999993</v>
      </c>
      <c r="G483" s="363">
        <f t="shared" si="85"/>
        <v>70138</v>
      </c>
      <c r="H483" s="364">
        <f t="shared" si="86"/>
        <v>0.3181157147338104</v>
      </c>
      <c r="I483" s="363" t="s">
        <v>185</v>
      </c>
    </row>
    <row r="484" spans="1:10" x14ac:dyDescent="0.25">
      <c r="B484" s="620">
        <v>42718</v>
      </c>
      <c r="C484" s="362">
        <v>5000</v>
      </c>
      <c r="D484" s="621">
        <v>14.025399999999999</v>
      </c>
      <c r="E484" s="363">
        <v>18.2</v>
      </c>
      <c r="F484" s="363">
        <f t="shared" si="84"/>
        <v>20873</v>
      </c>
      <c r="G484" s="363">
        <f t="shared" si="85"/>
        <v>70127</v>
      </c>
      <c r="H484" s="364">
        <f t="shared" si="86"/>
        <v>0.29764569994438661</v>
      </c>
      <c r="I484" s="363">
        <v>13.8</v>
      </c>
    </row>
    <row r="485" spans="1:10" x14ac:dyDescent="0.25">
      <c r="B485" s="620">
        <v>42726</v>
      </c>
      <c r="C485" s="362">
        <v>5000</v>
      </c>
      <c r="D485" s="621">
        <v>14.025399999999999</v>
      </c>
      <c r="E485" s="363">
        <v>18.04</v>
      </c>
      <c r="F485" s="363">
        <f t="shared" si="84"/>
        <v>20073</v>
      </c>
      <c r="G485" s="363">
        <f t="shared" si="85"/>
        <v>70127</v>
      </c>
      <c r="H485" s="364">
        <f t="shared" si="86"/>
        <v>0.28623782565916123</v>
      </c>
      <c r="I485" s="363"/>
    </row>
    <row r="486" spans="1:10" x14ac:dyDescent="0.25">
      <c r="B486" s="620">
        <v>42733</v>
      </c>
      <c r="C486" s="362">
        <v>6000</v>
      </c>
      <c r="D486" s="621">
        <v>14.627558000000001</v>
      </c>
      <c r="E486" s="363">
        <v>17.57</v>
      </c>
      <c r="F486" s="443">
        <f t="shared" si="84"/>
        <v>17654.651999999998</v>
      </c>
      <c r="G486" s="363">
        <f t="shared" si="85"/>
        <v>87765.347999999998</v>
      </c>
      <c r="H486" s="365">
        <f t="shared" si="86"/>
        <v>0.20115743174629694</v>
      </c>
      <c r="I486" s="363"/>
      <c r="J486" s="3"/>
    </row>
    <row r="487" spans="1:10" ht="15" customHeight="1" x14ac:dyDescent="0.25">
      <c r="B487" s="620">
        <v>42734</v>
      </c>
      <c r="C487" s="362">
        <v>6000</v>
      </c>
      <c r="D487" s="621">
        <v>14.562623</v>
      </c>
      <c r="E487" s="363">
        <v>17.309999999999999</v>
      </c>
      <c r="F487" s="443">
        <f t="shared" si="84"/>
        <v>16484.261999999992</v>
      </c>
      <c r="G487" s="363">
        <f t="shared" si="85"/>
        <v>87375.737999999998</v>
      </c>
      <c r="H487" s="365">
        <f t="shared" si="86"/>
        <v>0.18865948806063293</v>
      </c>
      <c r="I487" s="363"/>
    </row>
    <row r="488" spans="1:10" x14ac:dyDescent="0.25">
      <c r="B488" s="620">
        <v>42739</v>
      </c>
      <c r="C488" s="362">
        <v>5500</v>
      </c>
      <c r="D488" s="621">
        <v>14.242898</v>
      </c>
      <c r="E488" s="363">
        <v>18.05</v>
      </c>
      <c r="F488" s="443">
        <f t="shared" si="84"/>
        <v>20939.061000000002</v>
      </c>
      <c r="G488" s="363">
        <f t="shared" si="85"/>
        <v>78335.938999999998</v>
      </c>
      <c r="H488" s="365">
        <f t="shared" si="86"/>
        <v>0.26729827033796072</v>
      </c>
      <c r="I488" s="363"/>
    </row>
    <row r="489" spans="1:10" x14ac:dyDescent="0.25">
      <c r="B489" s="620">
        <v>42741</v>
      </c>
      <c r="C489" s="362">
        <v>6000</v>
      </c>
      <c r="D489" s="621">
        <v>14.54599</v>
      </c>
      <c r="E489" s="363">
        <v>17.98</v>
      </c>
      <c r="F489" s="443">
        <f t="shared" si="84"/>
        <v>20604.060000000005</v>
      </c>
      <c r="G489" s="363">
        <f t="shared" si="85"/>
        <v>87275.94</v>
      </c>
      <c r="H489" s="365">
        <f t="shared" si="86"/>
        <v>0.23607949682352322</v>
      </c>
      <c r="I489" s="363"/>
    </row>
    <row r="490" spans="1:10" x14ac:dyDescent="0.25">
      <c r="B490" s="620">
        <v>42748</v>
      </c>
      <c r="C490" s="362">
        <v>6000</v>
      </c>
      <c r="D490" s="621">
        <v>14.527687999999999</v>
      </c>
      <c r="E490" s="363">
        <v>17.46</v>
      </c>
      <c r="F490" s="443">
        <f t="shared" si="84"/>
        <v>17593.872000000007</v>
      </c>
      <c r="G490" s="363">
        <f t="shared" si="85"/>
        <v>87166.127999999997</v>
      </c>
      <c r="H490" s="365">
        <f t="shared" si="86"/>
        <v>0.20184299112150547</v>
      </c>
      <c r="I490" s="363"/>
    </row>
    <row r="491" spans="1:10" x14ac:dyDescent="0.25">
      <c r="A491" s="226" t="s">
        <v>330</v>
      </c>
      <c r="B491" s="620">
        <v>42754</v>
      </c>
      <c r="C491" s="362">
        <v>6000</v>
      </c>
      <c r="D491" s="621">
        <v>14.527687999999999</v>
      </c>
      <c r="E491" s="363">
        <v>17.27</v>
      </c>
      <c r="F491" s="443">
        <f t="shared" si="84"/>
        <v>16453.871999999999</v>
      </c>
      <c r="G491" s="363">
        <f t="shared" si="85"/>
        <v>87166.127999999997</v>
      </c>
      <c r="H491" s="365">
        <f t="shared" si="86"/>
        <v>0.1887645164185795</v>
      </c>
      <c r="I491" s="363"/>
    </row>
    <row r="492" spans="1:10" x14ac:dyDescent="0.25">
      <c r="A492" t="s">
        <v>330</v>
      </c>
      <c r="B492" s="620">
        <v>42760</v>
      </c>
      <c r="C492" s="362">
        <v>6000</v>
      </c>
      <c r="D492" s="621">
        <v>14.527687999999999</v>
      </c>
      <c r="E492" s="363">
        <v>17.75</v>
      </c>
      <c r="F492" s="443">
        <f t="shared" ref="F492:F506" si="87">C492*(E492-D492)</f>
        <v>19333.872000000003</v>
      </c>
      <c r="G492" s="363">
        <f t="shared" ref="G492:G506" si="88">IF(C492=0, 0,D492*C492)</f>
        <v>87166.127999999997</v>
      </c>
      <c r="H492" s="365">
        <f t="shared" ref="H492:H506" si="89">IF(C492=0, D492, (E492-D492)/D492)</f>
        <v>0.22180487356281334</v>
      </c>
      <c r="I492" s="363"/>
    </row>
    <row r="493" spans="1:10" x14ac:dyDescent="0.25">
      <c r="A493" t="s">
        <v>362</v>
      </c>
      <c r="B493" s="620">
        <v>42761</v>
      </c>
      <c r="C493" s="362">
        <v>6000</v>
      </c>
      <c r="D493" s="621">
        <v>14.50817</v>
      </c>
      <c r="E493" s="363">
        <v>17.75</v>
      </c>
      <c r="F493" s="443">
        <f t="shared" si="87"/>
        <v>19450.98</v>
      </c>
      <c r="G493" s="363">
        <f t="shared" si="88"/>
        <v>87049.02</v>
      </c>
      <c r="H493" s="365">
        <f t="shared" si="89"/>
        <v>0.22344858104088938</v>
      </c>
      <c r="I493" s="363"/>
    </row>
    <row r="494" spans="1:10" x14ac:dyDescent="0.25">
      <c r="A494" t="s">
        <v>365</v>
      </c>
      <c r="B494" s="620">
        <v>42762</v>
      </c>
      <c r="C494" s="362">
        <v>6100</v>
      </c>
      <c r="D494" s="621">
        <v>14.553610000000001</v>
      </c>
      <c r="E494" s="363">
        <v>17.41</v>
      </c>
      <c r="F494" s="443">
        <f t="shared" si="87"/>
        <v>17423.978999999996</v>
      </c>
      <c r="G494" s="363">
        <f t="shared" si="88"/>
        <v>88777.021000000008</v>
      </c>
      <c r="H494" s="365">
        <f t="shared" si="89"/>
        <v>0.19626676817641803</v>
      </c>
      <c r="I494" s="363"/>
    </row>
    <row r="495" spans="1:10" x14ac:dyDescent="0.25">
      <c r="A495" t="s">
        <v>375</v>
      </c>
      <c r="B495" s="620">
        <v>42765</v>
      </c>
      <c r="C495" s="362">
        <v>6900</v>
      </c>
      <c r="D495" s="621">
        <v>14.793915999999999</v>
      </c>
      <c r="E495" s="363">
        <v>16.53</v>
      </c>
      <c r="F495" s="443">
        <f t="shared" si="87"/>
        <v>11978.979600000011</v>
      </c>
      <c r="G495" s="363">
        <f t="shared" si="88"/>
        <v>102078.02039999999</v>
      </c>
      <c r="H495" s="365">
        <f t="shared" si="89"/>
        <v>0.11735121383682331</v>
      </c>
      <c r="I495" s="363"/>
    </row>
    <row r="496" spans="1:10" x14ac:dyDescent="0.25">
      <c r="A496" t="s">
        <v>376</v>
      </c>
      <c r="B496" s="620">
        <v>42766</v>
      </c>
      <c r="C496" s="362">
        <v>6900</v>
      </c>
      <c r="D496" s="621">
        <v>14.783497000000001</v>
      </c>
      <c r="E496" s="363">
        <v>16.75</v>
      </c>
      <c r="F496" s="443">
        <f t="shared" si="87"/>
        <v>13568.870699999996</v>
      </c>
      <c r="G496" s="363">
        <f t="shared" si="88"/>
        <v>102006.1293</v>
      </c>
      <c r="H496" s="365">
        <f t="shared" si="89"/>
        <v>0.13302015078029233</v>
      </c>
      <c r="I496" s="363"/>
    </row>
    <row r="497" spans="1:9" x14ac:dyDescent="0.25">
      <c r="B497" s="620">
        <v>42767</v>
      </c>
      <c r="C497" s="362">
        <v>6000</v>
      </c>
      <c r="D497" s="621">
        <v>14.442175000000001</v>
      </c>
      <c r="E497" s="363">
        <v>16.59</v>
      </c>
      <c r="F497" s="443">
        <f t="shared" si="87"/>
        <v>12886.949999999995</v>
      </c>
      <c r="G497" s="363">
        <f t="shared" si="88"/>
        <v>86653.05</v>
      </c>
      <c r="H497" s="365">
        <f t="shared" si="89"/>
        <v>0.14871894295699914</v>
      </c>
      <c r="I497" s="363"/>
    </row>
    <row r="498" spans="1:9" x14ac:dyDescent="0.25">
      <c r="B498" s="620">
        <v>42767</v>
      </c>
      <c r="C498" s="362">
        <v>7000</v>
      </c>
      <c r="D498" s="621">
        <v>14.725436</v>
      </c>
      <c r="E498" s="363">
        <v>16.59</v>
      </c>
      <c r="F498" s="443">
        <f t="shared" si="87"/>
        <v>13051.947999999999</v>
      </c>
      <c r="G498" s="363">
        <f t="shared" si="88"/>
        <v>103078.052</v>
      </c>
      <c r="H498" s="365">
        <f t="shared" si="89"/>
        <v>0.1266219893251378</v>
      </c>
      <c r="I498" s="363"/>
    </row>
    <row r="499" spans="1:9" x14ac:dyDescent="0.25">
      <c r="B499" s="620">
        <v>42767</v>
      </c>
      <c r="C499" s="362">
        <v>7200</v>
      </c>
      <c r="D499" s="621">
        <v>14.771951</v>
      </c>
      <c r="E499" s="363">
        <v>16.59</v>
      </c>
      <c r="F499" s="443">
        <f t="shared" si="87"/>
        <v>13089.952800000001</v>
      </c>
      <c r="G499" s="363">
        <f t="shared" si="88"/>
        <v>106358.0472</v>
      </c>
      <c r="H499" s="365">
        <f t="shared" si="89"/>
        <v>0.12307439958337259</v>
      </c>
      <c r="I499" s="363"/>
    </row>
    <row r="500" spans="1:9" x14ac:dyDescent="0.25">
      <c r="A500" t="s">
        <v>380</v>
      </c>
      <c r="B500" s="620">
        <v>42767</v>
      </c>
      <c r="C500" s="362">
        <v>6500</v>
      </c>
      <c r="D500" s="621">
        <v>14.578353999999999</v>
      </c>
      <c r="E500" s="363">
        <v>16.59</v>
      </c>
      <c r="F500" s="443">
        <f t="shared" si="87"/>
        <v>13075.699000000004</v>
      </c>
      <c r="G500" s="363">
        <f t="shared" si="88"/>
        <v>94759.300999999992</v>
      </c>
      <c r="H500" s="365">
        <f t="shared" si="89"/>
        <v>0.13798855481215511</v>
      </c>
      <c r="I500" s="363"/>
    </row>
    <row r="501" spans="1:9" x14ac:dyDescent="0.25">
      <c r="A501" t="s">
        <v>382</v>
      </c>
      <c r="B501" s="620">
        <v>42768</v>
      </c>
      <c r="C501" s="362">
        <v>6000</v>
      </c>
      <c r="D501" s="621">
        <v>14.368788</v>
      </c>
      <c r="E501" s="363">
        <v>16.68</v>
      </c>
      <c r="F501" s="443">
        <f t="shared" si="87"/>
        <v>13867.271999999995</v>
      </c>
      <c r="G501" s="363">
        <f>IF(C501=0, 0,D501*C501)</f>
        <v>86212.728000000003</v>
      </c>
      <c r="H501" s="365">
        <f t="shared" si="89"/>
        <v>0.16084947456946261</v>
      </c>
      <c r="I501" s="363"/>
    </row>
    <row r="502" spans="1:9" x14ac:dyDescent="0.25">
      <c r="A502" t="s">
        <v>389</v>
      </c>
      <c r="B502" s="620">
        <v>42769</v>
      </c>
      <c r="C502" s="362">
        <v>5300</v>
      </c>
      <c r="D502" s="621">
        <v>14.006677</v>
      </c>
      <c r="E502" s="363">
        <v>17.23</v>
      </c>
      <c r="F502" s="443">
        <f t="shared" si="87"/>
        <v>17083.611900000004</v>
      </c>
      <c r="G502" s="363">
        <f t="shared" si="88"/>
        <v>74235.388099999996</v>
      </c>
      <c r="H502" s="365">
        <f t="shared" si="89"/>
        <v>0.2301276027140485</v>
      </c>
      <c r="I502" s="363"/>
    </row>
    <row r="503" spans="1:9" x14ac:dyDescent="0.25">
      <c r="A503" t="s">
        <v>399</v>
      </c>
      <c r="B503" s="620">
        <v>42772</v>
      </c>
      <c r="C503" s="362">
        <v>6000</v>
      </c>
      <c r="D503" s="621">
        <v>14.311230999999999</v>
      </c>
      <c r="E503" s="363">
        <v>16.52</v>
      </c>
      <c r="F503" s="443">
        <f t="shared" si="87"/>
        <v>13252.614000000001</v>
      </c>
      <c r="G503" s="363">
        <f t="shared" si="88"/>
        <v>85867.385999999999</v>
      </c>
      <c r="H503" s="365">
        <f t="shared" si="89"/>
        <v>0.15433815581622576</v>
      </c>
      <c r="I503" s="363"/>
    </row>
    <row r="504" spans="1:9" x14ac:dyDescent="0.25">
      <c r="A504" t="s">
        <v>404</v>
      </c>
      <c r="B504" s="620">
        <v>42773</v>
      </c>
      <c r="C504" s="362">
        <v>6600</v>
      </c>
      <c r="D504" s="621">
        <v>14.461574000000001</v>
      </c>
      <c r="E504" s="363">
        <v>16.03</v>
      </c>
      <c r="F504" s="443">
        <f t="shared" si="87"/>
        <v>10351.611600000004</v>
      </c>
      <c r="G504" s="363">
        <f t="shared" si="88"/>
        <v>95446.388400000011</v>
      </c>
      <c r="H504" s="365">
        <f t="shared" si="89"/>
        <v>0.10845472283998965</v>
      </c>
      <c r="I504" s="363"/>
    </row>
    <row r="505" spans="1:9" x14ac:dyDescent="0.25">
      <c r="A505" t="s">
        <v>427</v>
      </c>
      <c r="B505" s="620">
        <v>42781</v>
      </c>
      <c r="C505" s="362">
        <v>5700</v>
      </c>
      <c r="D505" s="621">
        <v>14.140828000000001</v>
      </c>
      <c r="E505" s="363">
        <v>16.3</v>
      </c>
      <c r="F505" s="443">
        <f t="shared" si="87"/>
        <v>12307.2804</v>
      </c>
      <c r="G505" s="363">
        <f t="shared" si="88"/>
        <v>80602.719600000011</v>
      </c>
      <c r="H505" s="365">
        <f t="shared" si="89"/>
        <v>0.1526906345229572</v>
      </c>
      <c r="I505" s="363"/>
    </row>
    <row r="506" spans="1:9" x14ac:dyDescent="0.25">
      <c r="A506" t="s">
        <v>429</v>
      </c>
      <c r="B506" s="620">
        <v>42782</v>
      </c>
      <c r="C506" s="362">
        <v>5700</v>
      </c>
      <c r="D506" s="621">
        <v>14.103</v>
      </c>
      <c r="E506" s="363">
        <v>16.170000000000002</v>
      </c>
      <c r="F506" s="443">
        <f t="shared" si="87"/>
        <v>11781.900000000011</v>
      </c>
      <c r="G506" s="363">
        <f t="shared" si="88"/>
        <v>80387.100000000006</v>
      </c>
      <c r="H506" s="365">
        <f t="shared" si="89"/>
        <v>0.14656456073175933</v>
      </c>
      <c r="I506" s="363"/>
    </row>
    <row r="507" spans="1:9" x14ac:dyDescent="0.25">
      <c r="B507" s="620"/>
      <c r="C507" s="362"/>
      <c r="D507" s="621"/>
      <c r="E507" s="363"/>
      <c r="F507" s="443"/>
      <c r="G507" s="363"/>
      <c r="H507" s="365"/>
      <c r="I507" s="363"/>
    </row>
    <row r="508" spans="1:9" x14ac:dyDescent="0.25">
      <c r="B508" s="620"/>
      <c r="C508" s="362"/>
      <c r="D508" s="621"/>
      <c r="E508" s="363"/>
      <c r="F508" s="443"/>
      <c r="G508" s="363"/>
      <c r="H508" s="365"/>
      <c r="I508" s="363"/>
    </row>
    <row r="509" spans="1:9" x14ac:dyDescent="0.25">
      <c r="B509" s="620"/>
      <c r="C509" s="362"/>
      <c r="D509" s="621"/>
      <c r="E509" s="363"/>
      <c r="F509" s="443"/>
      <c r="G509" s="363"/>
      <c r="H509" s="365"/>
      <c r="I509" s="363"/>
    </row>
    <row r="510" spans="1:9" x14ac:dyDescent="0.25">
      <c r="B510" s="620"/>
      <c r="C510" s="362"/>
      <c r="D510" s="621"/>
      <c r="E510" s="363"/>
      <c r="F510" s="443"/>
      <c r="G510" s="363"/>
      <c r="H510" s="365"/>
      <c r="I510" s="363"/>
    </row>
    <row r="512" spans="1:9" ht="15" customHeight="1" x14ac:dyDescent="0.25"/>
    <row r="514" spans="1:13" x14ac:dyDescent="0.25">
      <c r="L514" t="s">
        <v>65</v>
      </c>
      <c r="M514" s="227">
        <f>K777+M777-F777</f>
        <v>14615.571000001626</v>
      </c>
    </row>
    <row r="515" spans="1:13" x14ac:dyDescent="0.25">
      <c r="A515" s="510" t="s">
        <v>1</v>
      </c>
      <c r="B515" s="587" t="s">
        <v>2</v>
      </c>
      <c r="C515" s="510" t="s">
        <v>4</v>
      </c>
      <c r="D515" s="588" t="s">
        <v>5</v>
      </c>
      <c r="E515" s="511" t="s">
        <v>90</v>
      </c>
      <c r="F515" s="511" t="s">
        <v>60</v>
      </c>
      <c r="G515" s="510" t="s">
        <v>3</v>
      </c>
      <c r="H515" s="589" t="s">
        <v>6</v>
      </c>
      <c r="I515" s="588" t="s">
        <v>7</v>
      </c>
      <c r="J515" s="511" t="s">
        <v>89</v>
      </c>
      <c r="K515" s="511" t="s">
        <v>61</v>
      </c>
      <c r="L515" s="510" t="s">
        <v>37</v>
      </c>
      <c r="M515" s="511" t="s">
        <v>38</v>
      </c>
    </row>
    <row r="516" spans="1:13" x14ac:dyDescent="0.25">
      <c r="A516" s="512" t="s">
        <v>50</v>
      </c>
      <c r="B516" s="545">
        <v>42187</v>
      </c>
      <c r="C516" s="497">
        <v>1000</v>
      </c>
      <c r="D516" s="498">
        <v>27.25</v>
      </c>
      <c r="E516" s="499">
        <v>0</v>
      </c>
      <c r="F516" s="499">
        <f>C516*D516+E516</f>
        <v>27250</v>
      </c>
      <c r="G516" s="496">
        <v>42187</v>
      </c>
      <c r="H516" s="513">
        <v>2000</v>
      </c>
      <c r="I516" s="498">
        <v>27.34</v>
      </c>
      <c r="J516" s="499">
        <v>-5.49</v>
      </c>
      <c r="K516" s="499">
        <f>H516*I516-J516</f>
        <v>54685.49</v>
      </c>
      <c r="L516" s="496">
        <v>42257</v>
      </c>
      <c r="M516" s="499">
        <v>850.5</v>
      </c>
    </row>
    <row r="517" spans="1:13" x14ac:dyDescent="0.25">
      <c r="A517" s="514" t="s">
        <v>71</v>
      </c>
      <c r="B517" s="545">
        <v>42187</v>
      </c>
      <c r="C517" s="497">
        <v>80</v>
      </c>
      <c r="D517" s="498">
        <v>27.152249999999999</v>
      </c>
      <c r="E517" s="499">
        <v>0</v>
      </c>
      <c r="F517" s="499">
        <f t="shared" ref="F517:F580" si="90">C517*D517+E517</f>
        <v>2172.1799999999998</v>
      </c>
      <c r="G517" s="496">
        <v>42199</v>
      </c>
      <c r="H517" s="513">
        <v>102</v>
      </c>
      <c r="I517" s="498">
        <v>25.28</v>
      </c>
      <c r="J517" s="499">
        <v>0.05</v>
      </c>
      <c r="K517" s="499">
        <f t="shared" ref="K517:K544" si="91">H517*I517-J517</f>
        <v>2578.5099999999998</v>
      </c>
      <c r="L517" s="496">
        <v>42439</v>
      </c>
      <c r="M517" s="499">
        <v>483.9</v>
      </c>
    </row>
    <row r="518" spans="1:13" x14ac:dyDescent="0.25">
      <c r="A518" s="497"/>
      <c r="B518" s="545">
        <v>42187</v>
      </c>
      <c r="C518" s="497">
        <v>1000</v>
      </c>
      <c r="D518" s="498">
        <v>27.1</v>
      </c>
      <c r="E518" s="499">
        <v>0</v>
      </c>
      <c r="F518" s="499">
        <f t="shared" si="90"/>
        <v>27100</v>
      </c>
      <c r="G518" s="496">
        <v>42227</v>
      </c>
      <c r="H518" s="513">
        <v>200</v>
      </c>
      <c r="I518" s="498">
        <v>19.649999999999999</v>
      </c>
      <c r="J518" s="499">
        <v>7.0000000000000007E-2</v>
      </c>
      <c r="K518" s="499">
        <f t="shared" si="91"/>
        <v>3929.9299999999994</v>
      </c>
      <c r="L518" s="496">
        <v>42531</v>
      </c>
      <c r="M518" s="499">
        <v>483.9</v>
      </c>
    </row>
    <row r="519" spans="1:13" x14ac:dyDescent="0.25">
      <c r="A519" s="497"/>
      <c r="B519" s="608">
        <v>42187</v>
      </c>
      <c r="C519" s="497">
        <v>500</v>
      </c>
      <c r="D519" s="498">
        <v>27.039332999999999</v>
      </c>
      <c r="E519" s="499">
        <v>0</v>
      </c>
      <c r="F519" s="499">
        <f t="shared" si="90"/>
        <v>13519.666499999999</v>
      </c>
      <c r="G519" s="496">
        <v>42227</v>
      </c>
      <c r="H519" s="513">
        <v>200</v>
      </c>
      <c r="I519" s="498">
        <v>18.7</v>
      </c>
      <c r="J519" s="499">
        <v>7.0000000000000007E-2</v>
      </c>
      <c r="K519" s="499">
        <f t="shared" si="91"/>
        <v>3739.93</v>
      </c>
      <c r="L519" s="496">
        <v>42625</v>
      </c>
      <c r="M519" s="499">
        <v>433.9</v>
      </c>
    </row>
    <row r="520" spans="1:13" x14ac:dyDescent="0.25">
      <c r="A520" s="497"/>
      <c r="B520" s="608"/>
      <c r="C520" s="497">
        <v>500</v>
      </c>
      <c r="D520" s="498">
        <v>27.039332999999999</v>
      </c>
      <c r="E520" s="499">
        <v>0</v>
      </c>
      <c r="F520" s="499">
        <f t="shared" si="90"/>
        <v>13519.666499999999</v>
      </c>
      <c r="G520" s="496">
        <v>42257</v>
      </c>
      <c r="H520" s="513">
        <v>1600</v>
      </c>
      <c r="I520" s="498">
        <v>16.445</v>
      </c>
      <c r="J520" s="499">
        <v>0.48</v>
      </c>
      <c r="K520" s="499">
        <f t="shared" si="91"/>
        <v>26311.52</v>
      </c>
      <c r="L520" s="496">
        <v>42716</v>
      </c>
      <c r="M520" s="499">
        <v>500</v>
      </c>
    </row>
    <row r="521" spans="1:13" x14ac:dyDescent="0.25">
      <c r="A521" s="497"/>
      <c r="B521" s="608"/>
      <c r="C521" s="497">
        <v>500</v>
      </c>
      <c r="D521" s="498">
        <v>27.039332999999999</v>
      </c>
      <c r="E521" s="499">
        <v>0</v>
      </c>
      <c r="F521" s="499">
        <f t="shared" si="90"/>
        <v>13519.666499999999</v>
      </c>
      <c r="G521" s="609">
        <v>42265</v>
      </c>
      <c r="H521" s="513">
        <v>200</v>
      </c>
      <c r="I521" s="498">
        <v>15.65</v>
      </c>
      <c r="J521" s="499">
        <v>0.05</v>
      </c>
      <c r="K521" s="499">
        <f t="shared" si="91"/>
        <v>3129.95</v>
      </c>
      <c r="L521" s="497"/>
      <c r="M521" s="499"/>
    </row>
    <row r="522" spans="1:13" x14ac:dyDescent="0.25">
      <c r="A522" s="497"/>
      <c r="B522" s="608"/>
      <c r="C522" s="497">
        <v>500</v>
      </c>
      <c r="D522" s="498">
        <v>27.039332999999999</v>
      </c>
      <c r="E522" s="499">
        <v>0</v>
      </c>
      <c r="F522" s="499">
        <f t="shared" si="90"/>
        <v>13519.666499999999</v>
      </c>
      <c r="G522" s="609"/>
      <c r="H522" s="513">
        <v>2400</v>
      </c>
      <c r="I522" s="498">
        <v>15.7</v>
      </c>
      <c r="J522" s="499">
        <v>0.7</v>
      </c>
      <c r="K522" s="499">
        <f t="shared" si="91"/>
        <v>37679.300000000003</v>
      </c>
      <c r="L522" s="497"/>
      <c r="M522" s="499"/>
    </row>
    <row r="523" spans="1:13" x14ac:dyDescent="0.25">
      <c r="A523" s="497"/>
      <c r="B523" s="608"/>
      <c r="C523" s="497">
        <v>1000</v>
      </c>
      <c r="D523" s="498">
        <v>27.039332999999999</v>
      </c>
      <c r="E523" s="499">
        <v>0</v>
      </c>
      <c r="F523" s="499">
        <f t="shared" si="90"/>
        <v>27039.332999999999</v>
      </c>
      <c r="G523" s="496">
        <v>42271</v>
      </c>
      <c r="H523" s="590">
        <v>918</v>
      </c>
      <c r="I523" s="591">
        <v>16.45</v>
      </c>
      <c r="J523" s="592">
        <v>0.28000000000000003</v>
      </c>
      <c r="K523" s="592">
        <f t="shared" si="91"/>
        <v>15100.819999999998</v>
      </c>
      <c r="L523" s="497"/>
      <c r="M523" s="499"/>
    </row>
    <row r="524" spans="1:13" ht="60" x14ac:dyDescent="0.25">
      <c r="A524" s="497"/>
      <c r="B524" s="545">
        <v>42198</v>
      </c>
      <c r="C524" s="497">
        <v>100</v>
      </c>
      <c r="D524" s="498">
        <v>24.77</v>
      </c>
      <c r="E524" s="499">
        <v>0</v>
      </c>
      <c r="F524" s="499">
        <f t="shared" si="90"/>
        <v>2477</v>
      </c>
      <c r="G524" s="610" t="s">
        <v>139</v>
      </c>
      <c r="H524" s="513">
        <v>500</v>
      </c>
      <c r="I524" s="498">
        <v>15.95</v>
      </c>
      <c r="J524" s="499">
        <v>0.15</v>
      </c>
      <c r="K524" s="592">
        <f t="shared" si="91"/>
        <v>7974.85</v>
      </c>
      <c r="L524" s="497"/>
      <c r="M524" s="499"/>
    </row>
    <row r="525" spans="1:13" x14ac:dyDescent="0.25">
      <c r="A525" s="497"/>
      <c r="B525" s="545">
        <v>42205</v>
      </c>
      <c r="C525" s="497">
        <v>50</v>
      </c>
      <c r="D525" s="498">
        <v>24.35</v>
      </c>
      <c r="E525" s="499">
        <v>0</v>
      </c>
      <c r="F525" s="499">
        <f t="shared" si="90"/>
        <v>1217.5</v>
      </c>
      <c r="G525" s="610"/>
      <c r="H525" s="513">
        <v>500</v>
      </c>
      <c r="I525" s="498">
        <v>16.100000000000001</v>
      </c>
      <c r="J525" s="499">
        <v>0.15</v>
      </c>
      <c r="K525" s="592">
        <f t="shared" si="91"/>
        <v>8049.8500000000013</v>
      </c>
      <c r="L525" s="497"/>
      <c r="M525" s="499"/>
    </row>
    <row r="526" spans="1:13" x14ac:dyDescent="0.25">
      <c r="A526" s="497"/>
      <c r="B526" s="545">
        <v>42207</v>
      </c>
      <c r="C526" s="497">
        <v>20</v>
      </c>
      <c r="D526" s="498">
        <v>24.02</v>
      </c>
      <c r="E526" s="499">
        <v>0</v>
      </c>
      <c r="F526" s="499">
        <f t="shared" si="90"/>
        <v>480.4</v>
      </c>
      <c r="G526" s="610"/>
      <c r="H526" s="513">
        <v>500</v>
      </c>
      <c r="I526" s="498">
        <v>16.170000000000002</v>
      </c>
      <c r="J526" s="499">
        <v>0.15</v>
      </c>
      <c r="K526" s="592">
        <f t="shared" si="91"/>
        <v>8084.8500000000013</v>
      </c>
      <c r="L526" s="497"/>
      <c r="M526" s="499"/>
    </row>
    <row r="527" spans="1:13" x14ac:dyDescent="0.25">
      <c r="A527" s="497"/>
      <c r="B527" s="545">
        <v>42207</v>
      </c>
      <c r="C527" s="497">
        <v>20</v>
      </c>
      <c r="D527" s="498">
        <v>23.91</v>
      </c>
      <c r="E527" s="499">
        <v>0</v>
      </c>
      <c r="F527" s="499">
        <f t="shared" si="90"/>
        <v>478.2</v>
      </c>
      <c r="G527" s="610"/>
      <c r="H527" s="513">
        <v>500</v>
      </c>
      <c r="I527" s="498">
        <v>16.28</v>
      </c>
      <c r="J527" s="499">
        <v>0.15</v>
      </c>
      <c r="K527" s="592">
        <f t="shared" si="91"/>
        <v>8139.8500000000013</v>
      </c>
      <c r="L527" s="499"/>
      <c r="M527" s="499"/>
    </row>
    <row r="528" spans="1:13" x14ac:dyDescent="0.25">
      <c r="A528" s="497"/>
      <c r="B528" s="545">
        <v>42207</v>
      </c>
      <c r="C528" s="497">
        <v>20</v>
      </c>
      <c r="D528" s="498">
        <v>23.7</v>
      </c>
      <c r="E528" s="499">
        <v>0</v>
      </c>
      <c r="F528" s="499">
        <f t="shared" si="90"/>
        <v>474</v>
      </c>
      <c r="G528" s="610"/>
      <c r="H528" s="513">
        <v>500</v>
      </c>
      <c r="I528" s="498">
        <v>16.39</v>
      </c>
      <c r="J528" s="499">
        <v>0.15</v>
      </c>
      <c r="K528" s="592">
        <f t="shared" si="91"/>
        <v>8194.85</v>
      </c>
      <c r="L528" s="497"/>
      <c r="M528" s="499"/>
    </row>
    <row r="529" spans="1:13" x14ac:dyDescent="0.25">
      <c r="A529" s="497"/>
      <c r="B529" s="545">
        <v>42207</v>
      </c>
      <c r="C529" s="497">
        <v>20</v>
      </c>
      <c r="D529" s="498">
        <v>23.6</v>
      </c>
      <c r="E529" s="499">
        <v>0</v>
      </c>
      <c r="F529" s="499">
        <f t="shared" si="90"/>
        <v>472</v>
      </c>
      <c r="G529" s="610"/>
      <c r="H529" s="513">
        <v>500</v>
      </c>
      <c r="I529" s="498">
        <v>16.55</v>
      </c>
      <c r="J529" s="499">
        <v>0.17</v>
      </c>
      <c r="K529" s="592">
        <f t="shared" si="91"/>
        <v>8274.83</v>
      </c>
      <c r="L529" s="497"/>
      <c r="M529" s="499"/>
    </row>
    <row r="530" spans="1:13" x14ac:dyDescent="0.25">
      <c r="A530" s="497"/>
      <c r="B530" s="545">
        <v>42209</v>
      </c>
      <c r="C530" s="497">
        <v>40</v>
      </c>
      <c r="D530" s="498">
        <v>22.3</v>
      </c>
      <c r="E530" s="499">
        <v>0</v>
      </c>
      <c r="F530" s="499">
        <f t="shared" si="90"/>
        <v>892</v>
      </c>
      <c r="G530" s="610"/>
      <c r="H530" s="513">
        <v>50</v>
      </c>
      <c r="I530" s="498">
        <v>16.55</v>
      </c>
      <c r="J530" s="499">
        <v>0</v>
      </c>
      <c r="K530" s="592">
        <f t="shared" si="91"/>
        <v>827.5</v>
      </c>
      <c r="L530" s="497"/>
      <c r="M530" s="499"/>
    </row>
    <row r="531" spans="1:13" x14ac:dyDescent="0.25">
      <c r="A531" s="499"/>
      <c r="B531" s="545">
        <v>42221</v>
      </c>
      <c r="C531" s="497">
        <v>12</v>
      </c>
      <c r="D531" s="498">
        <v>20.95</v>
      </c>
      <c r="E531" s="499">
        <v>0</v>
      </c>
      <c r="F531" s="499">
        <f t="shared" si="90"/>
        <v>251.39999999999998</v>
      </c>
      <c r="G531" s="610"/>
      <c r="H531" s="513">
        <v>28</v>
      </c>
      <c r="I531" s="498">
        <v>16.68</v>
      </c>
      <c r="J531" s="499">
        <v>0.01</v>
      </c>
      <c r="K531" s="592">
        <f t="shared" si="91"/>
        <v>467.03</v>
      </c>
      <c r="L531" s="513"/>
      <c r="M531" s="499"/>
    </row>
    <row r="532" spans="1:13" x14ac:dyDescent="0.25">
      <c r="A532" s="497"/>
      <c r="B532" s="545">
        <v>42223</v>
      </c>
      <c r="C532" s="497">
        <v>100</v>
      </c>
      <c r="D532" s="498">
        <v>20.399999999999999</v>
      </c>
      <c r="E532" s="499">
        <v>0</v>
      </c>
      <c r="F532" s="499">
        <f t="shared" si="90"/>
        <v>2039.9999999999998</v>
      </c>
      <c r="G532" s="496">
        <v>42285</v>
      </c>
      <c r="H532" s="513">
        <v>632</v>
      </c>
      <c r="I532" s="498">
        <v>17.850000000000001</v>
      </c>
      <c r="J532" s="499">
        <v>0.21</v>
      </c>
      <c r="K532" s="592">
        <f t="shared" si="91"/>
        <v>11280.990000000002</v>
      </c>
      <c r="L532" s="499"/>
      <c r="M532" s="499"/>
    </row>
    <row r="533" spans="1:13" x14ac:dyDescent="0.25">
      <c r="A533" s="499"/>
      <c r="B533" s="545">
        <v>42226</v>
      </c>
      <c r="C533" s="497">
        <v>200</v>
      </c>
      <c r="D533" s="498">
        <v>19.95</v>
      </c>
      <c r="E533" s="499">
        <v>0</v>
      </c>
      <c r="F533" s="499">
        <f t="shared" si="90"/>
        <v>3990</v>
      </c>
      <c r="G533" s="496">
        <v>42297</v>
      </c>
      <c r="H533" s="513">
        <v>500</v>
      </c>
      <c r="I533" s="498">
        <v>19.149999999999999</v>
      </c>
      <c r="J533" s="499">
        <v>0.18</v>
      </c>
      <c r="K533" s="592">
        <f t="shared" si="91"/>
        <v>9574.82</v>
      </c>
      <c r="L533" s="497"/>
      <c r="M533" s="499"/>
    </row>
    <row r="534" spans="1:13" x14ac:dyDescent="0.25">
      <c r="A534" s="497"/>
      <c r="B534" s="545">
        <v>42226</v>
      </c>
      <c r="C534" s="497">
        <v>50</v>
      </c>
      <c r="D534" s="498">
        <v>20.010000000000002</v>
      </c>
      <c r="E534" s="499">
        <v>0</v>
      </c>
      <c r="F534" s="499">
        <f t="shared" si="90"/>
        <v>1000.5000000000001</v>
      </c>
      <c r="G534" s="496">
        <v>42300</v>
      </c>
      <c r="H534" s="513">
        <v>1000</v>
      </c>
      <c r="I534" s="498">
        <v>18.62</v>
      </c>
      <c r="J534" s="499">
        <v>0.34</v>
      </c>
      <c r="K534" s="592">
        <f t="shared" si="91"/>
        <v>18619.66</v>
      </c>
      <c r="L534" s="497"/>
      <c r="M534" s="499"/>
    </row>
    <row r="535" spans="1:13" x14ac:dyDescent="0.25">
      <c r="A535" s="497"/>
      <c r="B535" s="545">
        <v>42226</v>
      </c>
      <c r="C535" s="497">
        <v>100</v>
      </c>
      <c r="D535" s="498">
        <v>20.2</v>
      </c>
      <c r="E535" s="499">
        <v>0</v>
      </c>
      <c r="F535" s="499">
        <f t="shared" si="90"/>
        <v>2020</v>
      </c>
      <c r="G535" s="496">
        <v>42312</v>
      </c>
      <c r="H535" s="513">
        <v>2500</v>
      </c>
      <c r="I535" s="498">
        <v>18.48</v>
      </c>
      <c r="J535" s="499">
        <v>7.8</v>
      </c>
      <c r="K535" s="499">
        <f t="shared" si="91"/>
        <v>46192.2</v>
      </c>
      <c r="L535" s="497"/>
      <c r="M535" s="499"/>
    </row>
    <row r="536" spans="1:13" x14ac:dyDescent="0.25">
      <c r="A536" s="497"/>
      <c r="B536" s="545">
        <v>42227</v>
      </c>
      <c r="C536" s="497">
        <v>200</v>
      </c>
      <c r="D536" s="498">
        <v>18.399999999999999</v>
      </c>
      <c r="E536" s="499">
        <v>0</v>
      </c>
      <c r="F536" s="499">
        <f t="shared" si="90"/>
        <v>3679.9999999999995</v>
      </c>
      <c r="G536" s="496">
        <v>42313</v>
      </c>
      <c r="H536" s="513">
        <v>3000</v>
      </c>
      <c r="I536" s="498">
        <v>19.059999999999999</v>
      </c>
      <c r="J536" s="499">
        <v>1.05</v>
      </c>
      <c r="K536" s="499">
        <f t="shared" si="91"/>
        <v>57178.94999999999</v>
      </c>
      <c r="L536" s="497"/>
      <c r="M536" s="499"/>
    </row>
    <row r="537" spans="1:13" x14ac:dyDescent="0.25">
      <c r="A537" s="497"/>
      <c r="B537" s="545">
        <v>42227</v>
      </c>
      <c r="C537" s="497">
        <v>200</v>
      </c>
      <c r="D537" s="498">
        <v>19.55</v>
      </c>
      <c r="E537" s="499">
        <v>0</v>
      </c>
      <c r="F537" s="499">
        <f t="shared" si="90"/>
        <v>3910</v>
      </c>
      <c r="G537" s="496">
        <v>42324</v>
      </c>
      <c r="H537" s="513">
        <v>2500</v>
      </c>
      <c r="I537" s="498">
        <v>18.8</v>
      </c>
      <c r="J537" s="499">
        <v>0.86</v>
      </c>
      <c r="K537" s="499">
        <f t="shared" si="91"/>
        <v>46999.14</v>
      </c>
      <c r="L537" s="499"/>
      <c r="M537" s="499"/>
    </row>
    <row r="538" spans="1:13" x14ac:dyDescent="0.25">
      <c r="A538" s="497"/>
      <c r="B538" s="545">
        <v>42234</v>
      </c>
      <c r="C538" s="497">
        <v>40</v>
      </c>
      <c r="D538" s="498">
        <v>18.149999999999999</v>
      </c>
      <c r="E538" s="499">
        <v>0</v>
      </c>
      <c r="F538" s="499">
        <f t="shared" si="90"/>
        <v>726</v>
      </c>
      <c r="G538" s="496">
        <v>42335</v>
      </c>
      <c r="H538" s="513">
        <v>3078</v>
      </c>
      <c r="I538" s="498">
        <v>17.649999999999999</v>
      </c>
      <c r="J538" s="499">
        <v>1</v>
      </c>
      <c r="K538" s="499">
        <f t="shared" si="91"/>
        <v>54325.7</v>
      </c>
      <c r="L538" s="497"/>
      <c r="M538" s="499"/>
    </row>
    <row r="539" spans="1:13" x14ac:dyDescent="0.25">
      <c r="A539" s="497"/>
      <c r="B539" s="545">
        <v>42234</v>
      </c>
      <c r="C539" s="497">
        <v>100</v>
      </c>
      <c r="D539" s="498">
        <v>18</v>
      </c>
      <c r="E539" s="499">
        <v>0</v>
      </c>
      <c r="F539" s="499">
        <f t="shared" si="90"/>
        <v>1800</v>
      </c>
      <c r="G539" s="496">
        <v>42347</v>
      </c>
      <c r="H539" s="513">
        <v>500</v>
      </c>
      <c r="I539" s="498">
        <v>16.149999999999999</v>
      </c>
      <c r="J539" s="499">
        <v>0.15</v>
      </c>
      <c r="K539" s="499">
        <f t="shared" si="91"/>
        <v>8074.8499999999995</v>
      </c>
      <c r="L539" s="497"/>
      <c r="M539" s="499"/>
    </row>
    <row r="540" spans="1:13" x14ac:dyDescent="0.25">
      <c r="A540" s="497"/>
      <c r="B540" s="545">
        <v>42235</v>
      </c>
      <c r="C540" s="497">
        <v>100</v>
      </c>
      <c r="D540" s="498">
        <v>17.78</v>
      </c>
      <c r="E540" s="499">
        <v>0</v>
      </c>
      <c r="F540" s="499">
        <f t="shared" si="90"/>
        <v>1778</v>
      </c>
      <c r="G540" s="496">
        <v>42353</v>
      </c>
      <c r="H540" s="513">
        <v>600</v>
      </c>
      <c r="I540" s="498">
        <v>14.95</v>
      </c>
      <c r="J540" s="499">
        <v>0.17</v>
      </c>
      <c r="K540" s="499">
        <f t="shared" si="91"/>
        <v>8969.83</v>
      </c>
      <c r="L540" s="497"/>
      <c r="M540" s="499"/>
    </row>
    <row r="541" spans="1:13" x14ac:dyDescent="0.25">
      <c r="A541" s="497"/>
      <c r="B541" s="545">
        <v>42235</v>
      </c>
      <c r="C541" s="497">
        <v>100</v>
      </c>
      <c r="D541" s="498">
        <v>17.68</v>
      </c>
      <c r="E541" s="499">
        <v>0</v>
      </c>
      <c r="F541" s="499">
        <f t="shared" si="90"/>
        <v>1768</v>
      </c>
      <c r="G541" s="496">
        <v>42354</v>
      </c>
      <c r="H541" s="513">
        <v>500</v>
      </c>
      <c r="I541" s="498">
        <v>14.32</v>
      </c>
      <c r="J541" s="499">
        <v>0.13</v>
      </c>
      <c r="K541" s="499">
        <f t="shared" si="91"/>
        <v>7159.87</v>
      </c>
      <c r="L541" s="497"/>
      <c r="M541" s="499"/>
    </row>
    <row r="542" spans="1:13" x14ac:dyDescent="0.25">
      <c r="A542" s="497"/>
      <c r="B542" s="545">
        <v>42240</v>
      </c>
      <c r="C542" s="497">
        <v>100</v>
      </c>
      <c r="D542" s="498">
        <v>16.649999999999999</v>
      </c>
      <c r="E542" s="499">
        <v>0</v>
      </c>
      <c r="F542" s="499">
        <f t="shared" si="90"/>
        <v>1664.9999999999998</v>
      </c>
      <c r="G542" s="496">
        <v>42361</v>
      </c>
      <c r="H542" s="513">
        <v>500</v>
      </c>
      <c r="I542" s="498">
        <v>12.83</v>
      </c>
      <c r="J542" s="499">
        <v>0.12</v>
      </c>
      <c r="K542" s="499">
        <f t="shared" si="91"/>
        <v>6414.88</v>
      </c>
      <c r="L542" s="497"/>
      <c r="M542" s="499"/>
    </row>
    <row r="543" spans="1:13" x14ac:dyDescent="0.25">
      <c r="A543" s="497"/>
      <c r="B543" s="545">
        <v>42240</v>
      </c>
      <c r="C543" s="497">
        <v>100</v>
      </c>
      <c r="D543" s="498">
        <v>16.100000000000001</v>
      </c>
      <c r="E543" s="499">
        <v>0</v>
      </c>
      <c r="F543" s="499">
        <f t="shared" si="90"/>
        <v>1610.0000000000002</v>
      </c>
      <c r="G543" s="496">
        <v>42362</v>
      </c>
      <c r="H543" s="513">
        <v>1222</v>
      </c>
      <c r="I543" s="498">
        <v>12.75</v>
      </c>
      <c r="J543" s="499">
        <v>0.28999999999999998</v>
      </c>
      <c r="K543" s="499">
        <f t="shared" si="91"/>
        <v>15580.21</v>
      </c>
      <c r="L543" s="497"/>
      <c r="M543" s="499"/>
    </row>
    <row r="544" spans="1:13" x14ac:dyDescent="0.25">
      <c r="A544" s="497"/>
      <c r="B544" s="545">
        <v>42257</v>
      </c>
      <c r="C544" s="497">
        <v>1500</v>
      </c>
      <c r="D544" s="498">
        <v>16.350000000000001</v>
      </c>
      <c r="E544" s="499">
        <v>0</v>
      </c>
      <c r="F544" s="499">
        <f t="shared" si="90"/>
        <v>24525.000000000004</v>
      </c>
      <c r="G544" s="496">
        <v>42367</v>
      </c>
      <c r="H544" s="513">
        <v>1000</v>
      </c>
      <c r="I544" s="498">
        <v>13.15</v>
      </c>
      <c r="J544" s="499">
        <v>0.24</v>
      </c>
      <c r="K544" s="499">
        <f t="shared" si="91"/>
        <v>13149.76</v>
      </c>
      <c r="L544" s="497"/>
      <c r="M544" s="499"/>
    </row>
    <row r="545" spans="1:13" x14ac:dyDescent="0.25">
      <c r="A545" s="497"/>
      <c r="B545" s="545">
        <v>42258</v>
      </c>
      <c r="C545" s="497">
        <v>100</v>
      </c>
      <c r="D545" s="498">
        <v>16.100000000000001</v>
      </c>
      <c r="E545" s="499">
        <v>0</v>
      </c>
      <c r="F545" s="499">
        <f t="shared" si="90"/>
        <v>1610.0000000000002</v>
      </c>
      <c r="G545" s="496">
        <v>42367</v>
      </c>
      <c r="H545" s="513">
        <v>2178</v>
      </c>
      <c r="I545" s="498">
        <v>13.75</v>
      </c>
      <c r="J545" s="499">
        <v>0.55000000000000004</v>
      </c>
      <c r="K545" s="499">
        <f>H545*I545-J545</f>
        <v>29946.95</v>
      </c>
      <c r="L545" s="497"/>
      <c r="M545" s="499"/>
    </row>
    <row r="546" spans="1:13" x14ac:dyDescent="0.25">
      <c r="A546" s="497"/>
      <c r="B546" s="545">
        <v>42261</v>
      </c>
      <c r="C546" s="497">
        <v>1000</v>
      </c>
      <c r="D546" s="498">
        <v>15.416</v>
      </c>
      <c r="E546" s="499">
        <v>0</v>
      </c>
      <c r="F546" s="499">
        <f t="shared" si="90"/>
        <v>15416</v>
      </c>
      <c r="G546" s="496">
        <v>42010</v>
      </c>
      <c r="H546" s="513">
        <v>1000</v>
      </c>
      <c r="I546" s="498">
        <v>12.63</v>
      </c>
      <c r="J546" s="499">
        <v>0.23</v>
      </c>
      <c r="K546" s="499">
        <f>H546*I546-J546</f>
        <v>12629.77</v>
      </c>
      <c r="L546" s="497"/>
      <c r="M546" s="499"/>
    </row>
    <row r="547" spans="1:13" x14ac:dyDescent="0.25">
      <c r="A547" s="497"/>
      <c r="B547" s="545">
        <v>42261</v>
      </c>
      <c r="C547" s="497">
        <v>1000</v>
      </c>
      <c r="D547" s="498">
        <v>15.1</v>
      </c>
      <c r="E547" s="499">
        <v>0</v>
      </c>
      <c r="F547" s="499">
        <f t="shared" si="90"/>
        <v>15100</v>
      </c>
      <c r="G547" s="593">
        <v>42374</v>
      </c>
      <c r="H547" s="513">
        <v>2000</v>
      </c>
      <c r="I547" s="498">
        <v>12.81</v>
      </c>
      <c r="J547" s="499">
        <v>0.47</v>
      </c>
      <c r="K547" s="499">
        <f t="shared" ref="K547:K559" si="92">H547*I547-J547</f>
        <v>25619.53</v>
      </c>
      <c r="L547" s="497"/>
      <c r="M547" s="499"/>
    </row>
    <row r="548" spans="1:13" x14ac:dyDescent="0.25">
      <c r="A548" s="497"/>
      <c r="B548" s="545">
        <v>42261</v>
      </c>
      <c r="C548" s="497">
        <v>200</v>
      </c>
      <c r="D548" s="498">
        <v>14.87</v>
      </c>
      <c r="E548" s="499">
        <v>0</v>
      </c>
      <c r="F548" s="499">
        <f t="shared" si="90"/>
        <v>2974</v>
      </c>
      <c r="G548" s="496">
        <v>42374</v>
      </c>
      <c r="H548" s="513">
        <v>1000</v>
      </c>
      <c r="I548" s="498">
        <v>12.82</v>
      </c>
      <c r="J548" s="499">
        <v>0.24</v>
      </c>
      <c r="K548" s="499">
        <f t="shared" si="92"/>
        <v>12819.76</v>
      </c>
      <c r="L548" s="497"/>
      <c r="M548" s="499"/>
    </row>
    <row r="549" spans="1:13" x14ac:dyDescent="0.25">
      <c r="A549" s="497"/>
      <c r="B549" s="545">
        <v>42261</v>
      </c>
      <c r="C549" s="497">
        <v>300</v>
      </c>
      <c r="D549" s="498">
        <v>14.87</v>
      </c>
      <c r="E549" s="499">
        <v>0</v>
      </c>
      <c r="F549" s="499">
        <f t="shared" si="90"/>
        <v>4461</v>
      </c>
      <c r="G549" s="496">
        <v>42398</v>
      </c>
      <c r="H549" s="513">
        <v>400</v>
      </c>
      <c r="I549" s="498">
        <v>9.5500000000000007</v>
      </c>
      <c r="J549" s="499">
        <v>7.0000000000000007E-2</v>
      </c>
      <c r="K549" s="499">
        <f t="shared" si="92"/>
        <v>3819.9300000000003</v>
      </c>
      <c r="L549" s="497"/>
      <c r="M549" s="499"/>
    </row>
    <row r="550" spans="1:13" x14ac:dyDescent="0.25">
      <c r="A550" s="497"/>
      <c r="B550" s="545">
        <v>42270</v>
      </c>
      <c r="C550" s="497">
        <v>478</v>
      </c>
      <c r="D550" s="498">
        <v>15.85</v>
      </c>
      <c r="E550" s="499">
        <v>0</v>
      </c>
      <c r="F550" s="499">
        <f t="shared" si="90"/>
        <v>7576.3</v>
      </c>
      <c r="G550" s="496">
        <v>42411</v>
      </c>
      <c r="H550" s="513">
        <v>500</v>
      </c>
      <c r="I550" s="498">
        <v>6.97</v>
      </c>
      <c r="J550" s="499">
        <v>0.08</v>
      </c>
      <c r="K550" s="499">
        <f t="shared" si="92"/>
        <v>3484.92</v>
      </c>
      <c r="L550" s="497"/>
      <c r="M550" s="499"/>
    </row>
    <row r="551" spans="1:13" x14ac:dyDescent="0.25">
      <c r="A551" s="497"/>
      <c r="B551" s="545">
        <v>42292</v>
      </c>
      <c r="C551" s="497">
        <v>500</v>
      </c>
      <c r="D551" s="498">
        <v>18.55</v>
      </c>
      <c r="E551" s="499">
        <v>0</v>
      </c>
      <c r="F551" s="499">
        <f t="shared" si="90"/>
        <v>9275</v>
      </c>
      <c r="G551" s="496">
        <v>42412</v>
      </c>
      <c r="H551" s="513">
        <v>200</v>
      </c>
      <c r="I551" s="498">
        <v>7.45</v>
      </c>
      <c r="J551" s="499">
        <v>0.03</v>
      </c>
      <c r="K551" s="499">
        <f t="shared" si="92"/>
        <v>1489.97</v>
      </c>
      <c r="L551" s="497"/>
      <c r="M551" s="499"/>
    </row>
    <row r="552" spans="1:13" x14ac:dyDescent="0.25">
      <c r="A552" s="497"/>
      <c r="B552" s="545">
        <v>42299</v>
      </c>
      <c r="C552" s="497">
        <v>500</v>
      </c>
      <c r="D552" s="498">
        <v>18.55</v>
      </c>
      <c r="E552" s="499">
        <v>0</v>
      </c>
      <c r="F552" s="499">
        <f t="shared" si="90"/>
        <v>9275</v>
      </c>
      <c r="G552" s="496">
        <v>42416</v>
      </c>
      <c r="H552" s="513">
        <v>500</v>
      </c>
      <c r="I552" s="498">
        <v>7.75</v>
      </c>
      <c r="J552" s="499">
        <v>0.08</v>
      </c>
      <c r="K552" s="499">
        <f t="shared" si="92"/>
        <v>3874.92</v>
      </c>
      <c r="L552" s="497"/>
      <c r="M552" s="499"/>
    </row>
    <row r="553" spans="1:13" x14ac:dyDescent="0.25">
      <c r="A553" s="497"/>
      <c r="B553" s="545">
        <v>42299</v>
      </c>
      <c r="C553" s="497">
        <v>500</v>
      </c>
      <c r="D553" s="498">
        <v>18.28</v>
      </c>
      <c r="E553" s="499">
        <v>0</v>
      </c>
      <c r="F553" s="499">
        <f t="shared" si="90"/>
        <v>9140</v>
      </c>
      <c r="G553" s="496">
        <v>42422</v>
      </c>
      <c r="H553" s="513">
        <v>2500</v>
      </c>
      <c r="I553" s="498">
        <v>7.47</v>
      </c>
      <c r="J553" s="499">
        <v>0.41</v>
      </c>
      <c r="K553" s="499">
        <f t="shared" si="92"/>
        <v>18674.59</v>
      </c>
      <c r="L553" s="497"/>
      <c r="M553" s="499"/>
    </row>
    <row r="554" spans="1:13" x14ac:dyDescent="0.25">
      <c r="A554" s="497"/>
      <c r="B554" s="545">
        <v>42299</v>
      </c>
      <c r="C554" s="497">
        <v>1000</v>
      </c>
      <c r="D554" s="498">
        <v>18.100000000000001</v>
      </c>
      <c r="E554" s="499">
        <v>0</v>
      </c>
      <c r="F554" s="499">
        <f t="shared" si="90"/>
        <v>18100</v>
      </c>
      <c r="G554" s="496">
        <v>42422</v>
      </c>
      <c r="H554" s="513">
        <v>1000</v>
      </c>
      <c r="I554" s="498">
        <v>7.49</v>
      </c>
      <c r="J554" s="499">
        <v>0.16</v>
      </c>
      <c r="K554" s="499">
        <f t="shared" si="92"/>
        <v>7489.84</v>
      </c>
      <c r="L554" s="497"/>
      <c r="M554" s="499"/>
    </row>
    <row r="555" spans="1:13" x14ac:dyDescent="0.25">
      <c r="A555" s="497"/>
      <c r="B555" s="608">
        <v>42306</v>
      </c>
      <c r="C555" s="497">
        <v>660</v>
      </c>
      <c r="D555" s="498">
        <v>17.8</v>
      </c>
      <c r="E555" s="499">
        <v>0</v>
      </c>
      <c r="F555" s="499">
        <f t="shared" si="90"/>
        <v>11748</v>
      </c>
      <c r="G555" s="496">
        <v>42426</v>
      </c>
      <c r="H555" s="513">
        <v>900</v>
      </c>
      <c r="I555" s="498">
        <v>7.7</v>
      </c>
      <c r="J555" s="499">
        <v>0.15</v>
      </c>
      <c r="K555" s="499">
        <f t="shared" si="92"/>
        <v>6929.85</v>
      </c>
      <c r="L555" s="497"/>
      <c r="M555" s="499"/>
    </row>
    <row r="556" spans="1:13" ht="30" x14ac:dyDescent="0.25">
      <c r="A556" s="497"/>
      <c r="B556" s="608"/>
      <c r="C556" s="497">
        <v>340</v>
      </c>
      <c r="D556" s="498">
        <v>17.8</v>
      </c>
      <c r="E556" s="499">
        <v>0</v>
      </c>
      <c r="F556" s="499">
        <f t="shared" si="90"/>
        <v>6052</v>
      </c>
      <c r="G556" s="611" t="s">
        <v>181</v>
      </c>
      <c r="H556" s="513">
        <v>500</v>
      </c>
      <c r="I556" s="498">
        <v>7.73</v>
      </c>
      <c r="J556" s="499">
        <v>0.08</v>
      </c>
      <c r="K556" s="499">
        <f t="shared" si="92"/>
        <v>3864.92</v>
      </c>
      <c r="L556" s="497"/>
      <c r="M556" s="499"/>
    </row>
    <row r="557" spans="1:13" x14ac:dyDescent="0.25">
      <c r="A557" s="497"/>
      <c r="B557" s="545">
        <v>42312</v>
      </c>
      <c r="C557" s="594">
        <v>500</v>
      </c>
      <c r="D557" s="591">
        <v>17.559999999999999</v>
      </c>
      <c r="E557" s="592">
        <v>6.95</v>
      </c>
      <c r="F557" s="592">
        <f t="shared" si="90"/>
        <v>8786.9500000000007</v>
      </c>
      <c r="G557" s="611"/>
      <c r="H557" s="513">
        <v>500</v>
      </c>
      <c r="I557" s="498">
        <v>7.96</v>
      </c>
      <c r="J557" s="499">
        <v>0.09</v>
      </c>
      <c r="K557" s="499">
        <f t="shared" si="92"/>
        <v>3979.91</v>
      </c>
      <c r="L557" s="497"/>
      <c r="M557" s="499"/>
    </row>
    <row r="558" spans="1:13" x14ac:dyDescent="0.25">
      <c r="A558" s="497"/>
      <c r="B558" s="545">
        <v>42313</v>
      </c>
      <c r="C558" s="497">
        <v>3000</v>
      </c>
      <c r="D558" s="498">
        <v>19.05</v>
      </c>
      <c r="E558" s="499">
        <v>0</v>
      </c>
      <c r="F558" s="499">
        <f t="shared" si="90"/>
        <v>57150</v>
      </c>
      <c r="G558" s="611"/>
      <c r="H558" s="513">
        <v>500</v>
      </c>
      <c r="I558" s="498">
        <v>8.0299999999999994</v>
      </c>
      <c r="J558" s="499">
        <v>0.09</v>
      </c>
      <c r="K558" s="499">
        <f t="shared" si="92"/>
        <v>4014.9099999999994</v>
      </c>
      <c r="L558" s="497"/>
      <c r="M558" s="498"/>
    </row>
    <row r="559" spans="1:13" x14ac:dyDescent="0.25">
      <c r="A559" s="497"/>
      <c r="B559" s="545">
        <v>42320</v>
      </c>
      <c r="C559" s="497">
        <v>500</v>
      </c>
      <c r="D559" s="498">
        <v>18.079999999999998</v>
      </c>
      <c r="E559" s="499">
        <v>0</v>
      </c>
      <c r="F559" s="499">
        <f t="shared" si="90"/>
        <v>9040</v>
      </c>
      <c r="G559" s="611"/>
      <c r="H559" s="513">
        <v>1500</v>
      </c>
      <c r="I559" s="498">
        <v>8.1</v>
      </c>
      <c r="J559" s="499">
        <v>0.26</v>
      </c>
      <c r="K559" s="499">
        <f t="shared" si="92"/>
        <v>12149.74</v>
      </c>
      <c r="L559" s="497"/>
      <c r="M559" s="499"/>
    </row>
    <row r="560" spans="1:13" x14ac:dyDescent="0.25">
      <c r="A560" s="497"/>
      <c r="B560" s="545">
        <v>42320</v>
      </c>
      <c r="C560" s="497">
        <v>1000</v>
      </c>
      <c r="D560" s="498">
        <v>18.05</v>
      </c>
      <c r="E560" s="499">
        <v>0</v>
      </c>
      <c r="F560" s="499">
        <f t="shared" si="90"/>
        <v>18050</v>
      </c>
      <c r="G560" s="496">
        <v>42429</v>
      </c>
      <c r="H560" s="513">
        <v>1000</v>
      </c>
      <c r="I560" s="498">
        <v>8.5399999999999991</v>
      </c>
      <c r="J560" s="499">
        <v>0.19</v>
      </c>
      <c r="K560" s="499">
        <f>H560*I560-J560</f>
        <v>8539.81</v>
      </c>
      <c r="L560" s="497"/>
      <c r="M560" s="595"/>
    </row>
    <row r="561" spans="1:13" x14ac:dyDescent="0.25">
      <c r="A561" s="497"/>
      <c r="B561" s="545">
        <v>42320</v>
      </c>
      <c r="C561" s="497">
        <v>1000</v>
      </c>
      <c r="D561" s="498">
        <v>17.82</v>
      </c>
      <c r="E561" s="499">
        <v>0</v>
      </c>
      <c r="F561" s="499">
        <f t="shared" si="90"/>
        <v>17820</v>
      </c>
      <c r="G561" s="496">
        <v>42429</v>
      </c>
      <c r="H561" s="513">
        <v>500</v>
      </c>
      <c r="I561" s="498">
        <v>7.95</v>
      </c>
      <c r="J561" s="499">
        <v>0.09</v>
      </c>
      <c r="K561" s="499">
        <f>H561*I561-J561</f>
        <v>3974.91</v>
      </c>
      <c r="L561" s="497"/>
      <c r="M561" s="499"/>
    </row>
    <row r="562" spans="1:13" x14ac:dyDescent="0.25">
      <c r="A562" s="497"/>
      <c r="B562" s="545">
        <v>42328</v>
      </c>
      <c r="C562" s="497">
        <v>3078</v>
      </c>
      <c r="D562" s="498">
        <v>17.47</v>
      </c>
      <c r="E562" s="499">
        <v>0</v>
      </c>
      <c r="F562" s="499">
        <f t="shared" si="90"/>
        <v>53772.659999999996</v>
      </c>
      <c r="G562" s="496">
        <v>42429</v>
      </c>
      <c r="H562" s="513">
        <v>500</v>
      </c>
      <c r="I562" s="498">
        <v>7.97</v>
      </c>
      <c r="J562" s="499">
        <v>0.09</v>
      </c>
      <c r="K562" s="499">
        <f t="shared" ref="K562:K621" si="93">H562*I562-J562</f>
        <v>3984.91</v>
      </c>
      <c r="L562" s="497"/>
      <c r="M562" s="499"/>
    </row>
    <row r="563" spans="1:13" x14ac:dyDescent="0.25">
      <c r="A563" s="497"/>
      <c r="B563" s="545">
        <v>42340</v>
      </c>
      <c r="C563" s="497">
        <v>3078</v>
      </c>
      <c r="D563" s="498">
        <v>17.739999999999998</v>
      </c>
      <c r="E563" s="499">
        <v>0</v>
      </c>
      <c r="F563" s="499">
        <f t="shared" si="90"/>
        <v>54603.719999999994</v>
      </c>
      <c r="G563" s="496">
        <v>42430</v>
      </c>
      <c r="H563" s="513">
        <v>500</v>
      </c>
      <c r="I563" s="498">
        <v>7.85</v>
      </c>
      <c r="J563" s="499">
        <v>0.09</v>
      </c>
      <c r="K563" s="499">
        <f t="shared" si="93"/>
        <v>3924.91</v>
      </c>
      <c r="L563" s="497"/>
      <c r="M563" s="499"/>
    </row>
    <row r="564" spans="1:13" x14ac:dyDescent="0.25">
      <c r="A564" s="497"/>
      <c r="B564" s="545">
        <v>42340</v>
      </c>
      <c r="C564" s="497">
        <v>500</v>
      </c>
      <c r="D564" s="498">
        <v>17.5</v>
      </c>
      <c r="E564" s="499">
        <v>0</v>
      </c>
      <c r="F564" s="499">
        <f t="shared" si="90"/>
        <v>8750</v>
      </c>
      <c r="G564" s="496">
        <v>42430</v>
      </c>
      <c r="H564" s="513">
        <v>500</v>
      </c>
      <c r="I564" s="498">
        <v>8.0299999999999994</v>
      </c>
      <c r="J564" s="499">
        <v>0.09</v>
      </c>
      <c r="K564" s="499">
        <f t="shared" si="93"/>
        <v>4014.9099999999994</v>
      </c>
      <c r="L564" s="499"/>
      <c r="M564" s="499"/>
    </row>
    <row r="565" spans="1:13" x14ac:dyDescent="0.25">
      <c r="A565" s="497"/>
      <c r="B565" s="545">
        <v>42345</v>
      </c>
      <c r="C565" s="497">
        <v>100</v>
      </c>
      <c r="D565" s="498">
        <v>16.7</v>
      </c>
      <c r="E565" s="499">
        <v>0</v>
      </c>
      <c r="F565" s="499">
        <f t="shared" si="90"/>
        <v>1670</v>
      </c>
      <c r="G565" s="496">
        <v>42431</v>
      </c>
      <c r="H565" s="513">
        <v>500</v>
      </c>
      <c r="I565" s="498">
        <v>8.3800000000000008</v>
      </c>
      <c r="J565" s="499">
        <v>0.09</v>
      </c>
      <c r="K565" s="499">
        <f t="shared" si="93"/>
        <v>4189.91</v>
      </c>
      <c r="L565" s="499"/>
      <c r="M565" s="499"/>
    </row>
    <row r="566" spans="1:13" x14ac:dyDescent="0.25">
      <c r="A566" s="497"/>
      <c r="B566" s="545">
        <v>42345</v>
      </c>
      <c r="C566" s="497">
        <v>500</v>
      </c>
      <c r="D566" s="498">
        <v>16.850000000000001</v>
      </c>
      <c r="E566" s="499">
        <v>0</v>
      </c>
      <c r="F566" s="499">
        <f t="shared" si="90"/>
        <v>8425</v>
      </c>
      <c r="G566" s="496">
        <v>42431</v>
      </c>
      <c r="H566" s="513">
        <v>500</v>
      </c>
      <c r="I566" s="498">
        <v>8.58</v>
      </c>
      <c r="J566" s="499">
        <v>0.09</v>
      </c>
      <c r="K566" s="499">
        <f t="shared" si="93"/>
        <v>4289.91</v>
      </c>
      <c r="L566" s="497"/>
      <c r="M566" s="499"/>
    </row>
    <row r="567" spans="1:13" ht="30" x14ac:dyDescent="0.25">
      <c r="A567" s="497"/>
      <c r="B567" s="545">
        <v>42347</v>
      </c>
      <c r="C567" s="497">
        <v>500</v>
      </c>
      <c r="D567" s="498">
        <v>15.84</v>
      </c>
      <c r="E567" s="499">
        <v>0</v>
      </c>
      <c r="F567" s="499">
        <f t="shared" si="90"/>
        <v>7920</v>
      </c>
      <c r="G567" s="610" t="s">
        <v>183</v>
      </c>
      <c r="H567" s="513">
        <v>400</v>
      </c>
      <c r="I567" s="498">
        <v>9.09</v>
      </c>
      <c r="J567" s="499">
        <v>0.1</v>
      </c>
      <c r="K567" s="499">
        <f t="shared" si="93"/>
        <v>3635.9</v>
      </c>
      <c r="L567" s="497"/>
      <c r="M567" s="499"/>
    </row>
    <row r="568" spans="1:13" x14ac:dyDescent="0.25">
      <c r="A568" s="497"/>
      <c r="B568" s="545">
        <v>42348</v>
      </c>
      <c r="C568" s="497">
        <v>500</v>
      </c>
      <c r="D568" s="498">
        <v>14.78</v>
      </c>
      <c r="E568" s="499">
        <v>0</v>
      </c>
      <c r="F568" s="499">
        <f t="shared" si="90"/>
        <v>7390</v>
      </c>
      <c r="G568" s="610"/>
      <c r="H568" s="513">
        <v>100</v>
      </c>
      <c r="I568" s="498">
        <v>9.09</v>
      </c>
      <c r="J568" s="499">
        <v>0</v>
      </c>
      <c r="K568" s="499">
        <f t="shared" si="93"/>
        <v>909</v>
      </c>
      <c r="L568" s="497"/>
      <c r="M568" s="499"/>
    </row>
    <row r="569" spans="1:13" x14ac:dyDescent="0.25">
      <c r="A569" s="497"/>
      <c r="B569" s="545">
        <v>42352</v>
      </c>
      <c r="C569" s="497">
        <v>100</v>
      </c>
      <c r="D569" s="498">
        <v>14.57</v>
      </c>
      <c r="E569" s="499">
        <v>0</v>
      </c>
      <c r="F569" s="499">
        <f t="shared" si="90"/>
        <v>1457</v>
      </c>
      <c r="G569" s="610"/>
      <c r="H569" s="513">
        <v>500</v>
      </c>
      <c r="I569" s="498">
        <v>8.81</v>
      </c>
      <c r="J569" s="499">
        <v>0.1</v>
      </c>
      <c r="K569" s="499">
        <f t="shared" si="93"/>
        <v>4404.8999999999996</v>
      </c>
      <c r="L569" s="497"/>
      <c r="M569" s="499"/>
    </row>
    <row r="570" spans="1:13" x14ac:dyDescent="0.25">
      <c r="A570" s="497"/>
      <c r="B570" s="545">
        <v>42355</v>
      </c>
      <c r="C570" s="497">
        <v>500</v>
      </c>
      <c r="D570" s="498">
        <v>13.89</v>
      </c>
      <c r="E570" s="499">
        <v>0</v>
      </c>
      <c r="F570" s="499">
        <f t="shared" si="90"/>
        <v>6945</v>
      </c>
      <c r="G570" s="496">
        <v>42432</v>
      </c>
      <c r="H570" s="513">
        <v>600</v>
      </c>
      <c r="I570" s="498">
        <v>9.65</v>
      </c>
      <c r="J570" s="499">
        <v>0.13</v>
      </c>
      <c r="K570" s="499">
        <f t="shared" si="93"/>
        <v>5789.87</v>
      </c>
      <c r="L570" s="497"/>
      <c r="M570" s="499"/>
    </row>
    <row r="571" spans="1:13" x14ac:dyDescent="0.25">
      <c r="A571" s="497"/>
      <c r="B571" s="545">
        <v>42360</v>
      </c>
      <c r="C571" s="497">
        <v>500</v>
      </c>
      <c r="D571" s="498">
        <v>12.95</v>
      </c>
      <c r="E571" s="499">
        <v>0</v>
      </c>
      <c r="F571" s="499">
        <f t="shared" si="90"/>
        <v>6475</v>
      </c>
      <c r="G571" s="496">
        <v>42433</v>
      </c>
      <c r="H571" s="513">
        <v>600</v>
      </c>
      <c r="I571" s="498">
        <v>10.45</v>
      </c>
      <c r="J571" s="499">
        <v>0.14000000000000001</v>
      </c>
      <c r="K571" s="499">
        <f t="shared" si="93"/>
        <v>6269.86</v>
      </c>
      <c r="L571" s="497"/>
      <c r="M571" s="499"/>
    </row>
    <row r="572" spans="1:13" x14ac:dyDescent="0.25">
      <c r="A572" s="497"/>
      <c r="B572" s="545">
        <v>42361</v>
      </c>
      <c r="C572" s="497">
        <v>500</v>
      </c>
      <c r="D572" s="498">
        <v>12.75</v>
      </c>
      <c r="E572" s="499">
        <v>0</v>
      </c>
      <c r="F572" s="499">
        <f t="shared" si="90"/>
        <v>6375</v>
      </c>
      <c r="G572" s="496">
        <v>42440</v>
      </c>
      <c r="H572" s="513">
        <v>400</v>
      </c>
      <c r="I572" s="498">
        <v>11.25</v>
      </c>
      <c r="J572" s="499">
        <v>0.1</v>
      </c>
      <c r="K572" s="499">
        <f t="shared" si="93"/>
        <v>4499.8999999999996</v>
      </c>
      <c r="L572" s="497"/>
      <c r="M572" s="499"/>
    </row>
    <row r="573" spans="1:13" x14ac:dyDescent="0.25">
      <c r="A573" s="497"/>
      <c r="B573" s="545">
        <v>42361</v>
      </c>
      <c r="C573" s="497">
        <v>500</v>
      </c>
      <c r="D573" s="498">
        <v>12.8</v>
      </c>
      <c r="E573" s="499">
        <v>0</v>
      </c>
      <c r="F573" s="499">
        <f t="shared" si="90"/>
        <v>6400</v>
      </c>
      <c r="G573" s="496">
        <v>42446</v>
      </c>
      <c r="H573" s="513">
        <v>1500</v>
      </c>
      <c r="I573" s="498">
        <v>11.49</v>
      </c>
      <c r="J573" s="499">
        <v>0.38</v>
      </c>
      <c r="K573" s="499">
        <f t="shared" si="93"/>
        <v>17234.62</v>
      </c>
      <c r="L573" s="497"/>
      <c r="M573" s="499"/>
    </row>
    <row r="574" spans="1:13" x14ac:dyDescent="0.25">
      <c r="A574" s="497"/>
      <c r="B574" s="545">
        <v>42361</v>
      </c>
      <c r="C574" s="497">
        <v>1000</v>
      </c>
      <c r="D574" s="498">
        <v>12.67</v>
      </c>
      <c r="E574" s="499">
        <v>0</v>
      </c>
      <c r="F574" s="499">
        <f t="shared" si="90"/>
        <v>12670</v>
      </c>
      <c r="G574" s="496">
        <v>42447</v>
      </c>
      <c r="H574" s="513">
        <v>1500</v>
      </c>
      <c r="I574" s="498">
        <v>11.44</v>
      </c>
      <c r="J574" s="499">
        <v>0.37</v>
      </c>
      <c r="K574" s="499">
        <f t="shared" si="93"/>
        <v>17159.63</v>
      </c>
      <c r="L574" s="497"/>
      <c r="M574" s="499"/>
    </row>
    <row r="575" spans="1:13" x14ac:dyDescent="0.25">
      <c r="A575" s="497"/>
      <c r="B575" s="545">
        <v>42361</v>
      </c>
      <c r="C575" s="497">
        <v>222</v>
      </c>
      <c r="D575" s="498">
        <v>12.44</v>
      </c>
      <c r="E575" s="499">
        <v>0</v>
      </c>
      <c r="F575" s="499">
        <f t="shared" si="90"/>
        <v>2761.68</v>
      </c>
      <c r="G575" s="496">
        <v>42447</v>
      </c>
      <c r="H575" s="513">
        <v>500</v>
      </c>
      <c r="I575" s="498">
        <v>11.484999999999999</v>
      </c>
      <c r="J575" s="499">
        <v>0.13</v>
      </c>
      <c r="K575" s="499">
        <f t="shared" si="93"/>
        <v>5742.37</v>
      </c>
      <c r="L575" s="497"/>
      <c r="M575" s="499"/>
    </row>
    <row r="576" spans="1:13" x14ac:dyDescent="0.25">
      <c r="A576" s="497"/>
      <c r="B576" s="545">
        <v>42367</v>
      </c>
      <c r="C576" s="497">
        <v>2178</v>
      </c>
      <c r="D576" s="498">
        <v>13.68</v>
      </c>
      <c r="E576" s="499">
        <v>0</v>
      </c>
      <c r="F576" s="499">
        <f t="shared" si="90"/>
        <v>29795.040000000001</v>
      </c>
      <c r="G576" s="609">
        <v>42447</v>
      </c>
      <c r="H576" s="513">
        <v>650</v>
      </c>
      <c r="I576" s="498">
        <v>11.56</v>
      </c>
      <c r="J576" s="499">
        <v>0.25</v>
      </c>
      <c r="K576" s="499">
        <f t="shared" si="93"/>
        <v>7513.75</v>
      </c>
      <c r="L576" s="497"/>
      <c r="M576" s="499"/>
    </row>
    <row r="577" spans="1:13" x14ac:dyDescent="0.25">
      <c r="A577" s="497"/>
      <c r="B577" s="545">
        <v>42369</v>
      </c>
      <c r="C577" s="497">
        <v>2500</v>
      </c>
      <c r="D577" s="498">
        <v>13.04</v>
      </c>
      <c r="E577" s="499">
        <v>0</v>
      </c>
      <c r="F577" s="499">
        <f t="shared" si="90"/>
        <v>32599.999999999996</v>
      </c>
      <c r="G577" s="609"/>
      <c r="H577" s="513">
        <v>350</v>
      </c>
      <c r="I577" s="498">
        <v>11.56</v>
      </c>
      <c r="J577" s="499">
        <v>0</v>
      </c>
      <c r="K577" s="499">
        <f t="shared" si="93"/>
        <v>4046</v>
      </c>
      <c r="L577" s="497"/>
      <c r="M577" s="499"/>
    </row>
    <row r="578" spans="1:13" x14ac:dyDescent="0.25">
      <c r="A578" s="497"/>
      <c r="B578" s="545">
        <v>42008</v>
      </c>
      <c r="C578" s="497">
        <v>2000</v>
      </c>
      <c r="D578" s="498">
        <v>13.01</v>
      </c>
      <c r="E578" s="499">
        <v>0</v>
      </c>
      <c r="F578" s="499">
        <f t="shared" si="90"/>
        <v>26020</v>
      </c>
      <c r="G578" s="496">
        <v>42447</v>
      </c>
      <c r="H578" s="513">
        <v>1000</v>
      </c>
      <c r="I578" s="498">
        <v>11.62</v>
      </c>
      <c r="J578" s="499">
        <v>0.25</v>
      </c>
      <c r="K578" s="499">
        <f t="shared" si="93"/>
        <v>11619.75</v>
      </c>
      <c r="L578" s="497"/>
      <c r="M578" s="499"/>
    </row>
    <row r="579" spans="1:13" x14ac:dyDescent="0.25">
      <c r="A579" s="497"/>
      <c r="B579" s="545">
        <v>42009</v>
      </c>
      <c r="C579" s="497">
        <v>500</v>
      </c>
      <c r="D579" s="498">
        <v>12.62</v>
      </c>
      <c r="E579" s="499">
        <v>0</v>
      </c>
      <c r="F579" s="499">
        <f t="shared" si="90"/>
        <v>6310</v>
      </c>
      <c r="G579" s="496">
        <v>42451</v>
      </c>
      <c r="H579" s="513">
        <v>1000</v>
      </c>
      <c r="I579" s="498">
        <v>11.45</v>
      </c>
      <c r="J579" s="499">
        <v>0.25</v>
      </c>
      <c r="K579" s="499">
        <f t="shared" si="93"/>
        <v>11449.75</v>
      </c>
      <c r="L579" s="497"/>
      <c r="M579" s="499"/>
    </row>
    <row r="580" spans="1:13" x14ac:dyDescent="0.25">
      <c r="A580" s="497"/>
      <c r="B580" s="545">
        <v>42009</v>
      </c>
      <c r="C580" s="497">
        <v>500</v>
      </c>
      <c r="D580" s="498">
        <v>12.45</v>
      </c>
      <c r="E580" s="499">
        <v>0</v>
      </c>
      <c r="F580" s="499">
        <f t="shared" si="90"/>
        <v>6225</v>
      </c>
      <c r="G580" s="496">
        <v>42451</v>
      </c>
      <c r="H580" s="513">
        <v>50</v>
      </c>
      <c r="I580" s="498">
        <v>11.28</v>
      </c>
      <c r="J580" s="499">
        <v>0.01</v>
      </c>
      <c r="K580" s="499">
        <f t="shared" si="93"/>
        <v>563.99</v>
      </c>
      <c r="L580" s="497"/>
      <c r="M580" s="499"/>
    </row>
    <row r="581" spans="1:13" x14ac:dyDescent="0.25">
      <c r="A581" s="497"/>
      <c r="B581" s="596">
        <v>42374</v>
      </c>
      <c r="C581" s="497">
        <v>2000</v>
      </c>
      <c r="D581" s="498">
        <v>12.73</v>
      </c>
      <c r="E581" s="499">
        <v>0</v>
      </c>
      <c r="F581" s="499">
        <f t="shared" ref="F581:F644" si="94">C581*D581+E581</f>
        <v>25460</v>
      </c>
      <c r="G581" s="496">
        <v>42459</v>
      </c>
      <c r="H581" s="513">
        <v>2000</v>
      </c>
      <c r="I581" s="498">
        <v>10.75</v>
      </c>
      <c r="J581" s="499">
        <v>0.47</v>
      </c>
      <c r="K581" s="499">
        <f t="shared" si="93"/>
        <v>21499.53</v>
      </c>
      <c r="L581" s="497"/>
      <c r="M581" s="499"/>
    </row>
    <row r="582" spans="1:13" x14ac:dyDescent="0.25">
      <c r="A582" s="497"/>
      <c r="B582" s="545">
        <v>42375</v>
      </c>
      <c r="C582" s="497">
        <v>1000</v>
      </c>
      <c r="D582" s="498">
        <v>12.5</v>
      </c>
      <c r="E582" s="499">
        <v>0</v>
      </c>
      <c r="F582" s="499">
        <f t="shared" si="94"/>
        <v>12500</v>
      </c>
      <c r="G582" s="496">
        <v>42460</v>
      </c>
      <c r="H582" s="513">
        <v>1600</v>
      </c>
      <c r="I582" s="498">
        <v>10.95</v>
      </c>
      <c r="J582" s="499">
        <v>2.88</v>
      </c>
      <c r="K582" s="499">
        <f t="shared" si="93"/>
        <v>17517.12</v>
      </c>
      <c r="L582" s="497"/>
      <c r="M582" s="499"/>
    </row>
    <row r="583" spans="1:13" x14ac:dyDescent="0.25">
      <c r="A583" s="497"/>
      <c r="B583" s="545">
        <v>42375</v>
      </c>
      <c r="C583" s="497">
        <v>1000</v>
      </c>
      <c r="D583" s="498">
        <v>11.7</v>
      </c>
      <c r="E583" s="499">
        <v>0</v>
      </c>
      <c r="F583" s="499">
        <f t="shared" si="94"/>
        <v>11700</v>
      </c>
      <c r="G583" s="496">
        <v>42461</v>
      </c>
      <c r="H583" s="513">
        <v>2000</v>
      </c>
      <c r="I583" s="498">
        <v>10.52</v>
      </c>
      <c r="J583" s="499">
        <v>0.46</v>
      </c>
      <c r="K583" s="499">
        <f t="shared" si="93"/>
        <v>21039.54</v>
      </c>
      <c r="L583" s="497"/>
      <c r="M583" s="499"/>
    </row>
    <row r="584" spans="1:13" x14ac:dyDescent="0.25">
      <c r="A584" s="497"/>
      <c r="B584" s="545">
        <v>42402</v>
      </c>
      <c r="C584" s="497">
        <v>400</v>
      </c>
      <c r="D584" s="498">
        <v>9.1</v>
      </c>
      <c r="E584" s="499">
        <v>0</v>
      </c>
      <c r="F584" s="499">
        <f t="shared" si="94"/>
        <v>3640</v>
      </c>
      <c r="G584" s="496">
        <v>42461</v>
      </c>
      <c r="H584" s="513">
        <v>2000</v>
      </c>
      <c r="I584" s="498">
        <v>10.55</v>
      </c>
      <c r="J584" s="499">
        <v>0.46</v>
      </c>
      <c r="K584" s="499">
        <f t="shared" si="93"/>
        <v>21099.54</v>
      </c>
      <c r="L584" s="497"/>
      <c r="M584" s="499"/>
    </row>
    <row r="585" spans="1:13" x14ac:dyDescent="0.25">
      <c r="A585" s="497"/>
      <c r="B585" s="545">
        <v>42411</v>
      </c>
      <c r="C585" s="497">
        <v>500</v>
      </c>
      <c r="D585" s="498">
        <v>6.835</v>
      </c>
      <c r="E585" s="499">
        <v>0</v>
      </c>
      <c r="F585" s="499">
        <f t="shared" si="94"/>
        <v>3417.5</v>
      </c>
      <c r="G585" s="496">
        <v>42465</v>
      </c>
      <c r="H585" s="513">
        <v>100</v>
      </c>
      <c r="I585" s="498">
        <v>10.75</v>
      </c>
      <c r="J585" s="499">
        <v>0.02</v>
      </c>
      <c r="K585" s="499">
        <f t="shared" si="93"/>
        <v>1074.98</v>
      </c>
      <c r="L585" s="497"/>
      <c r="M585" s="499"/>
    </row>
    <row r="586" spans="1:13" x14ac:dyDescent="0.25">
      <c r="A586" s="497"/>
      <c r="B586" s="545">
        <v>42412</v>
      </c>
      <c r="C586" s="497">
        <v>200</v>
      </c>
      <c r="D586" s="498">
        <v>7.23</v>
      </c>
      <c r="E586" s="499">
        <v>0</v>
      </c>
      <c r="F586" s="499">
        <f t="shared" si="94"/>
        <v>1446</v>
      </c>
      <c r="G586" s="496">
        <v>42468</v>
      </c>
      <c r="H586" s="513">
        <v>1000</v>
      </c>
      <c r="I586" s="498">
        <v>11.77</v>
      </c>
      <c r="J586" s="499">
        <v>0.26</v>
      </c>
      <c r="K586" s="499">
        <f t="shared" si="93"/>
        <v>11769.74</v>
      </c>
      <c r="L586" s="497"/>
      <c r="M586" s="499"/>
    </row>
    <row r="587" spans="1:13" x14ac:dyDescent="0.25">
      <c r="A587" s="497"/>
      <c r="B587" s="545">
        <v>42416</v>
      </c>
      <c r="C587" s="497">
        <v>500</v>
      </c>
      <c r="D587" s="498">
        <v>7.5</v>
      </c>
      <c r="E587" s="499">
        <v>0</v>
      </c>
      <c r="F587" s="499">
        <f t="shared" si="94"/>
        <v>3750</v>
      </c>
      <c r="G587" s="609">
        <v>42472</v>
      </c>
      <c r="H587" s="513">
        <v>420</v>
      </c>
      <c r="I587" s="498">
        <v>13.35</v>
      </c>
      <c r="J587" s="499">
        <v>0.15</v>
      </c>
      <c r="K587" s="499">
        <f t="shared" si="93"/>
        <v>5606.85</v>
      </c>
      <c r="L587" s="497"/>
      <c r="M587" s="499"/>
    </row>
    <row r="588" spans="1:13" ht="30" x14ac:dyDescent="0.25">
      <c r="A588" s="497"/>
      <c r="B588" s="612" t="s">
        <v>179</v>
      </c>
      <c r="C588" s="497">
        <v>3000</v>
      </c>
      <c r="D588" s="498">
        <v>7.55</v>
      </c>
      <c r="E588" s="499">
        <v>0</v>
      </c>
      <c r="F588" s="499">
        <f t="shared" si="94"/>
        <v>22650</v>
      </c>
      <c r="G588" s="609"/>
      <c r="H588" s="513">
        <v>80</v>
      </c>
      <c r="I588" s="498">
        <v>13.35</v>
      </c>
      <c r="J588" s="499">
        <v>0</v>
      </c>
      <c r="K588" s="499">
        <f t="shared" si="93"/>
        <v>1068</v>
      </c>
      <c r="L588" s="497"/>
      <c r="M588" s="499"/>
    </row>
    <row r="589" spans="1:13" x14ac:dyDescent="0.25">
      <c r="A589" s="497"/>
      <c r="B589" s="612"/>
      <c r="C589" s="497">
        <v>500</v>
      </c>
      <c r="D589" s="498">
        <v>6.75</v>
      </c>
      <c r="E589" s="499">
        <v>0</v>
      </c>
      <c r="F589" s="499">
        <f t="shared" si="94"/>
        <v>3375</v>
      </c>
      <c r="G589" s="496">
        <v>42472</v>
      </c>
      <c r="H589" s="513">
        <v>500</v>
      </c>
      <c r="I589" s="498">
        <v>13.15</v>
      </c>
      <c r="J589" s="499">
        <v>0.14000000000000001</v>
      </c>
      <c r="K589" s="499">
        <f t="shared" si="93"/>
        <v>6574.86</v>
      </c>
      <c r="L589" s="497"/>
      <c r="M589" s="499"/>
    </row>
    <row r="590" spans="1:13" x14ac:dyDescent="0.25">
      <c r="A590" s="497"/>
      <c r="B590" s="612"/>
      <c r="C590" s="497">
        <v>300</v>
      </c>
      <c r="D590" s="498">
        <v>6.75</v>
      </c>
      <c r="E590" s="499">
        <v>0</v>
      </c>
      <c r="F590" s="499">
        <f t="shared" si="94"/>
        <v>2025</v>
      </c>
      <c r="G590" s="496">
        <v>42472</v>
      </c>
      <c r="H590" s="513">
        <v>500</v>
      </c>
      <c r="I590" s="498">
        <v>12.92</v>
      </c>
      <c r="J590" s="499">
        <v>0.14000000000000001</v>
      </c>
      <c r="K590" s="499">
        <f t="shared" si="93"/>
        <v>6459.86</v>
      </c>
      <c r="L590" s="497"/>
      <c r="M590" s="499"/>
    </row>
    <row r="591" spans="1:13" x14ac:dyDescent="0.25">
      <c r="A591" s="497"/>
      <c r="B591" s="545">
        <v>42426</v>
      </c>
      <c r="C591" s="497">
        <v>600</v>
      </c>
      <c r="D591" s="498">
        <v>7.63</v>
      </c>
      <c r="E591" s="499">
        <v>0</v>
      </c>
      <c r="F591" s="499">
        <f t="shared" si="94"/>
        <v>4578</v>
      </c>
      <c r="G591" s="496">
        <v>42472</v>
      </c>
      <c r="H591" s="513">
        <v>500</v>
      </c>
      <c r="I591" s="498">
        <v>12.59</v>
      </c>
      <c r="J591" s="499">
        <v>0.14000000000000001</v>
      </c>
      <c r="K591" s="499">
        <f t="shared" si="93"/>
        <v>6294.86</v>
      </c>
      <c r="L591" s="497"/>
      <c r="M591" s="499"/>
    </row>
    <row r="592" spans="1:13" x14ac:dyDescent="0.25">
      <c r="A592" s="497"/>
      <c r="B592" s="545">
        <v>42426</v>
      </c>
      <c r="C592" s="497">
        <v>2000</v>
      </c>
      <c r="D592" s="498">
        <v>7.95</v>
      </c>
      <c r="E592" s="499">
        <v>0</v>
      </c>
      <c r="F592" s="499">
        <f t="shared" si="94"/>
        <v>15900</v>
      </c>
      <c r="G592" s="496">
        <v>42474</v>
      </c>
      <c r="H592" s="513">
        <v>500</v>
      </c>
      <c r="I592" s="498">
        <v>13.18</v>
      </c>
      <c r="J592" s="499">
        <v>0.14000000000000001</v>
      </c>
      <c r="K592" s="499">
        <f t="shared" si="93"/>
        <v>6589.86</v>
      </c>
      <c r="L592" s="497"/>
      <c r="M592" s="499"/>
    </row>
    <row r="593" spans="1:13" x14ac:dyDescent="0.25">
      <c r="A593" s="497"/>
      <c r="B593" s="545">
        <v>42429</v>
      </c>
      <c r="C593" s="497">
        <v>2000</v>
      </c>
      <c r="D593" s="498">
        <v>8.1999999999999993</v>
      </c>
      <c r="E593" s="499">
        <v>0</v>
      </c>
      <c r="F593" s="499">
        <f t="shared" si="94"/>
        <v>16400</v>
      </c>
      <c r="G593" s="496">
        <v>42478</v>
      </c>
      <c r="H593" s="513">
        <v>500</v>
      </c>
      <c r="I593" s="498">
        <v>13.4</v>
      </c>
      <c r="J593" s="499">
        <v>0.15</v>
      </c>
      <c r="K593" s="499">
        <f t="shared" si="93"/>
        <v>6699.85</v>
      </c>
      <c r="L593" s="497"/>
      <c r="M593" s="499"/>
    </row>
    <row r="594" spans="1:13" x14ac:dyDescent="0.25">
      <c r="A594" s="499"/>
      <c r="B594" s="545">
        <v>42429</v>
      </c>
      <c r="C594" s="497">
        <v>500</v>
      </c>
      <c r="D594" s="498">
        <v>7.88</v>
      </c>
      <c r="E594" s="499">
        <v>0</v>
      </c>
      <c r="F594" s="499">
        <f t="shared" si="94"/>
        <v>3940</v>
      </c>
      <c r="G594" s="496">
        <v>42486</v>
      </c>
      <c r="H594" s="513">
        <v>500</v>
      </c>
      <c r="I594" s="498">
        <v>14.35</v>
      </c>
      <c r="J594" s="499">
        <v>0.16</v>
      </c>
      <c r="K594" s="499">
        <f t="shared" si="93"/>
        <v>7174.84</v>
      </c>
      <c r="L594" s="497"/>
      <c r="M594" s="499"/>
    </row>
    <row r="595" spans="1:13" x14ac:dyDescent="0.25">
      <c r="A595" s="497"/>
      <c r="B595" s="545">
        <v>42430</v>
      </c>
      <c r="C595" s="497">
        <v>1000</v>
      </c>
      <c r="D595" s="498">
        <v>7.77</v>
      </c>
      <c r="E595" s="499">
        <v>0</v>
      </c>
      <c r="F595" s="499">
        <f t="shared" si="94"/>
        <v>7770</v>
      </c>
      <c r="G595" s="496">
        <v>42487</v>
      </c>
      <c r="H595" s="513">
        <v>600</v>
      </c>
      <c r="I595" s="498">
        <v>14.85</v>
      </c>
      <c r="J595" s="499">
        <v>0.19</v>
      </c>
      <c r="K595" s="499">
        <f t="shared" si="93"/>
        <v>8909.81</v>
      </c>
      <c r="L595" s="497"/>
      <c r="M595" s="499"/>
    </row>
    <row r="596" spans="1:13" x14ac:dyDescent="0.25">
      <c r="A596" s="497"/>
      <c r="B596" s="545">
        <v>42430</v>
      </c>
      <c r="C596" s="497">
        <v>500</v>
      </c>
      <c r="D596" s="498">
        <v>7.94</v>
      </c>
      <c r="E596" s="499">
        <v>0</v>
      </c>
      <c r="F596" s="499">
        <f t="shared" si="94"/>
        <v>3970</v>
      </c>
      <c r="G596" s="496">
        <v>42489</v>
      </c>
      <c r="H596" s="513">
        <v>3000</v>
      </c>
      <c r="I596" s="498">
        <v>14.15</v>
      </c>
      <c r="J596" s="499">
        <v>0.93</v>
      </c>
      <c r="K596" s="499">
        <f t="shared" si="93"/>
        <v>42449.07</v>
      </c>
      <c r="L596" s="497"/>
      <c r="M596" s="499"/>
    </row>
    <row r="597" spans="1:13" x14ac:dyDescent="0.25">
      <c r="A597" s="497"/>
      <c r="B597" s="545">
        <v>42431</v>
      </c>
      <c r="C597" s="497">
        <v>1000</v>
      </c>
      <c r="D597" s="498">
        <v>8.3699999999999992</v>
      </c>
      <c r="E597" s="499">
        <v>0</v>
      </c>
      <c r="F597" s="499">
        <f t="shared" si="94"/>
        <v>8370</v>
      </c>
      <c r="G597" s="496">
        <v>42492</v>
      </c>
      <c r="H597" s="513">
        <v>1000</v>
      </c>
      <c r="I597" s="498">
        <v>13.48</v>
      </c>
      <c r="J597" s="499">
        <v>0.28999999999999998</v>
      </c>
      <c r="K597" s="499">
        <f t="shared" si="93"/>
        <v>13479.71</v>
      </c>
      <c r="L597" s="497"/>
      <c r="M597" s="499"/>
    </row>
    <row r="598" spans="1:13" x14ac:dyDescent="0.25">
      <c r="A598" s="497"/>
      <c r="B598" s="545">
        <v>42432</v>
      </c>
      <c r="C598" s="497">
        <v>600</v>
      </c>
      <c r="D598" s="498">
        <v>9.3699999999999992</v>
      </c>
      <c r="E598" s="499">
        <v>0</v>
      </c>
      <c r="F598" s="499">
        <f t="shared" si="94"/>
        <v>5621.9999999999991</v>
      </c>
      <c r="G598" s="496">
        <v>42492</v>
      </c>
      <c r="H598" s="513">
        <v>1000</v>
      </c>
      <c r="I598" s="498">
        <v>13.61</v>
      </c>
      <c r="J598" s="499">
        <v>0.3</v>
      </c>
      <c r="K598" s="499">
        <f t="shared" si="93"/>
        <v>13609.7</v>
      </c>
      <c r="L598" s="497"/>
      <c r="M598" s="499"/>
    </row>
    <row r="599" spans="1:13" x14ac:dyDescent="0.25">
      <c r="A599" s="497"/>
      <c r="B599" s="545">
        <v>42432</v>
      </c>
      <c r="C599" s="497">
        <v>600</v>
      </c>
      <c r="D599" s="498">
        <v>8.8800000000000008</v>
      </c>
      <c r="E599" s="499">
        <v>0</v>
      </c>
      <c r="F599" s="499">
        <f t="shared" si="94"/>
        <v>5328.0000000000009</v>
      </c>
      <c r="G599" s="496">
        <v>42493</v>
      </c>
      <c r="H599" s="513">
        <v>322</v>
      </c>
      <c r="I599" s="498">
        <v>13.28</v>
      </c>
      <c r="J599" s="499">
        <v>0.09</v>
      </c>
      <c r="K599" s="499">
        <f t="shared" si="93"/>
        <v>4276.07</v>
      </c>
      <c r="L599" s="497"/>
      <c r="M599" s="499"/>
    </row>
    <row r="600" spans="1:13" x14ac:dyDescent="0.25">
      <c r="A600" s="497"/>
      <c r="B600" s="545">
        <v>42433</v>
      </c>
      <c r="C600" s="497">
        <v>600</v>
      </c>
      <c r="D600" s="498">
        <v>10.42</v>
      </c>
      <c r="E600" s="499">
        <v>0</v>
      </c>
      <c r="F600" s="499">
        <f t="shared" si="94"/>
        <v>6252</v>
      </c>
      <c r="G600" s="496">
        <v>42495</v>
      </c>
      <c r="H600" s="513">
        <v>1000</v>
      </c>
      <c r="I600" s="498">
        <v>12.05</v>
      </c>
      <c r="J600" s="499">
        <v>0.26</v>
      </c>
      <c r="K600" s="499">
        <f t="shared" si="93"/>
        <v>12049.74</v>
      </c>
      <c r="L600" s="497"/>
      <c r="M600" s="499"/>
    </row>
    <row r="601" spans="1:13" x14ac:dyDescent="0.25">
      <c r="A601" s="497"/>
      <c r="B601" s="545">
        <v>42440</v>
      </c>
      <c r="C601" s="497">
        <v>400</v>
      </c>
      <c r="D601" s="498">
        <v>11.12</v>
      </c>
      <c r="E601" s="499">
        <v>0</v>
      </c>
      <c r="F601" s="499">
        <f t="shared" si="94"/>
        <v>4448</v>
      </c>
      <c r="G601" s="496">
        <v>42495</v>
      </c>
      <c r="H601" s="513">
        <v>2000</v>
      </c>
      <c r="I601" s="498">
        <v>12.63</v>
      </c>
      <c r="J601" s="499">
        <v>0.55000000000000004</v>
      </c>
      <c r="K601" s="499">
        <f t="shared" si="93"/>
        <v>25259.45</v>
      </c>
      <c r="L601" s="497"/>
      <c r="M601" s="499"/>
    </row>
    <row r="602" spans="1:13" x14ac:dyDescent="0.25">
      <c r="A602" s="497"/>
      <c r="B602" s="545">
        <v>42446</v>
      </c>
      <c r="C602" s="497">
        <v>1500</v>
      </c>
      <c r="D602" s="498">
        <v>11.445</v>
      </c>
      <c r="E602" s="499">
        <v>0</v>
      </c>
      <c r="F602" s="499">
        <f t="shared" si="94"/>
        <v>17167.5</v>
      </c>
      <c r="G602" s="496">
        <v>42500</v>
      </c>
      <c r="H602" s="513">
        <v>1000</v>
      </c>
      <c r="I602" s="498">
        <v>11.66</v>
      </c>
      <c r="J602" s="499">
        <v>5.25</v>
      </c>
      <c r="K602" s="499">
        <f t="shared" si="93"/>
        <v>11654.75</v>
      </c>
      <c r="L602" s="497"/>
      <c r="M602" s="499"/>
    </row>
    <row r="603" spans="1:13" x14ac:dyDescent="0.25">
      <c r="A603" s="497"/>
      <c r="B603" s="608">
        <v>42447</v>
      </c>
      <c r="C603" s="497">
        <v>1500</v>
      </c>
      <c r="D603" s="498">
        <v>11.42</v>
      </c>
      <c r="E603" s="499">
        <v>0</v>
      </c>
      <c r="F603" s="499">
        <f t="shared" si="94"/>
        <v>17130</v>
      </c>
      <c r="G603" s="496">
        <v>42502</v>
      </c>
      <c r="H603" s="513">
        <v>1500</v>
      </c>
      <c r="I603" s="498">
        <v>12.36</v>
      </c>
      <c r="J603" s="499">
        <v>0.4</v>
      </c>
      <c r="K603" s="499">
        <f t="shared" si="93"/>
        <v>18539.599999999999</v>
      </c>
      <c r="L603" s="497"/>
      <c r="M603" s="499"/>
    </row>
    <row r="604" spans="1:13" x14ac:dyDescent="0.25">
      <c r="A604" s="497"/>
      <c r="B604" s="613"/>
      <c r="C604" s="497">
        <v>500</v>
      </c>
      <c r="D604" s="498">
        <v>11.42</v>
      </c>
      <c r="E604" s="499">
        <v>0</v>
      </c>
      <c r="F604" s="499">
        <f t="shared" si="94"/>
        <v>5710</v>
      </c>
      <c r="G604" s="496">
        <v>42503</v>
      </c>
      <c r="H604" s="513">
        <v>500</v>
      </c>
      <c r="I604" s="498">
        <v>12.49</v>
      </c>
      <c r="J604" s="499">
        <v>0.14000000000000001</v>
      </c>
      <c r="K604" s="499">
        <f t="shared" si="93"/>
        <v>6244.86</v>
      </c>
      <c r="L604" s="497"/>
      <c r="M604" s="499"/>
    </row>
    <row r="605" spans="1:13" x14ac:dyDescent="0.25">
      <c r="A605" s="497"/>
      <c r="B605" s="545">
        <v>42447</v>
      </c>
      <c r="C605" s="497">
        <v>650</v>
      </c>
      <c r="D605" s="498">
        <v>11.545</v>
      </c>
      <c r="E605" s="499">
        <v>0.75</v>
      </c>
      <c r="F605" s="499">
        <f t="shared" si="94"/>
        <v>7505</v>
      </c>
      <c r="G605" s="496">
        <v>42506</v>
      </c>
      <c r="H605" s="513">
        <v>300</v>
      </c>
      <c r="I605" s="498">
        <v>12.85</v>
      </c>
      <c r="J605" s="499">
        <v>0.08</v>
      </c>
      <c r="K605" s="499">
        <f t="shared" si="93"/>
        <v>3854.92</v>
      </c>
      <c r="L605" s="497"/>
      <c r="M605" s="499"/>
    </row>
    <row r="606" spans="1:13" x14ac:dyDescent="0.25">
      <c r="A606" s="497"/>
      <c r="B606" s="545">
        <v>42450</v>
      </c>
      <c r="C606" s="497">
        <v>1350</v>
      </c>
      <c r="D606" s="498">
        <v>11.42</v>
      </c>
      <c r="E606" s="499">
        <v>0</v>
      </c>
      <c r="F606" s="499">
        <f t="shared" si="94"/>
        <v>15417</v>
      </c>
      <c r="G606" s="496">
        <v>42513</v>
      </c>
      <c r="H606" s="513">
        <v>500</v>
      </c>
      <c r="I606" s="498">
        <v>13.05</v>
      </c>
      <c r="J606" s="499">
        <v>0.14000000000000001</v>
      </c>
      <c r="K606" s="499">
        <f t="shared" si="93"/>
        <v>6524.86</v>
      </c>
      <c r="L606" s="497"/>
      <c r="M606" s="499"/>
    </row>
    <row r="607" spans="1:13" x14ac:dyDescent="0.25">
      <c r="A607" s="497"/>
      <c r="B607" s="545">
        <v>42451</v>
      </c>
      <c r="C607" s="497">
        <v>1000</v>
      </c>
      <c r="D607" s="498">
        <v>11.38</v>
      </c>
      <c r="E607" s="499">
        <v>0</v>
      </c>
      <c r="F607" s="499">
        <f t="shared" si="94"/>
        <v>11380</v>
      </c>
      <c r="G607" s="496">
        <v>42515</v>
      </c>
      <c r="H607" s="513">
        <v>500</v>
      </c>
      <c r="I607" s="498">
        <v>13.59</v>
      </c>
      <c r="J607" s="499">
        <v>0.15</v>
      </c>
      <c r="K607" s="499">
        <f t="shared" si="93"/>
        <v>6794.85</v>
      </c>
      <c r="L607" s="497"/>
      <c r="M607" s="499"/>
    </row>
    <row r="608" spans="1:13" x14ac:dyDescent="0.25">
      <c r="A608" s="497"/>
      <c r="B608" s="608">
        <v>42451</v>
      </c>
      <c r="C608" s="497">
        <v>50</v>
      </c>
      <c r="D608" s="498">
        <v>11.22</v>
      </c>
      <c r="E608" s="499">
        <v>0</v>
      </c>
      <c r="F608" s="499">
        <f t="shared" si="94"/>
        <v>561</v>
      </c>
      <c r="G608" s="496">
        <v>42515</v>
      </c>
      <c r="H608" s="513">
        <v>500</v>
      </c>
      <c r="I608" s="498">
        <v>13.57</v>
      </c>
      <c r="J608" s="499">
        <v>0.15</v>
      </c>
      <c r="K608" s="499">
        <f t="shared" si="93"/>
        <v>6784.85</v>
      </c>
      <c r="L608" s="497"/>
      <c r="M608" s="499"/>
    </row>
    <row r="609" spans="1:13" x14ac:dyDescent="0.25">
      <c r="A609" s="497"/>
      <c r="B609" s="608"/>
      <c r="C609" s="497">
        <v>350</v>
      </c>
      <c r="D609" s="498">
        <v>11.22</v>
      </c>
      <c r="E609" s="499">
        <v>0</v>
      </c>
      <c r="F609" s="499">
        <f t="shared" si="94"/>
        <v>3927</v>
      </c>
      <c r="G609" s="496">
        <v>42517</v>
      </c>
      <c r="H609" s="513">
        <v>500</v>
      </c>
      <c r="I609" s="498">
        <v>12.87</v>
      </c>
      <c r="J609" s="499">
        <v>0.14000000000000001</v>
      </c>
      <c r="K609" s="499">
        <f t="shared" si="93"/>
        <v>6434.86</v>
      </c>
      <c r="L609" s="497"/>
      <c r="M609" s="499"/>
    </row>
    <row r="610" spans="1:13" ht="45" x14ac:dyDescent="0.25">
      <c r="A610" s="497"/>
      <c r="B610" s="612" t="s">
        <v>192</v>
      </c>
      <c r="C610" s="497">
        <v>650</v>
      </c>
      <c r="D610" s="498">
        <v>11.22</v>
      </c>
      <c r="E610" s="499">
        <v>0</v>
      </c>
      <c r="F610" s="499">
        <f t="shared" si="94"/>
        <v>7293</v>
      </c>
      <c r="G610" s="496">
        <v>42524</v>
      </c>
      <c r="H610" s="513">
        <v>400</v>
      </c>
      <c r="I610" s="498">
        <v>13.38</v>
      </c>
      <c r="J610" s="499">
        <v>0.12</v>
      </c>
      <c r="K610" s="499">
        <f t="shared" si="93"/>
        <v>5351.88</v>
      </c>
      <c r="L610" s="497"/>
      <c r="M610" s="499"/>
    </row>
    <row r="611" spans="1:13" x14ac:dyDescent="0.25">
      <c r="A611" s="497"/>
      <c r="B611" s="612"/>
      <c r="C611" s="497">
        <v>500</v>
      </c>
      <c r="D611" s="498">
        <v>11.01</v>
      </c>
      <c r="E611" s="499">
        <v>0</v>
      </c>
      <c r="F611" s="499">
        <f t="shared" si="94"/>
        <v>5505</v>
      </c>
      <c r="G611" s="496">
        <v>42527</v>
      </c>
      <c r="H611" s="513">
        <v>1000</v>
      </c>
      <c r="I611" s="498">
        <v>13.82</v>
      </c>
      <c r="J611" s="499">
        <v>0.3</v>
      </c>
      <c r="K611" s="499">
        <f t="shared" si="93"/>
        <v>13819.7</v>
      </c>
      <c r="L611" s="497"/>
      <c r="M611" s="499"/>
    </row>
    <row r="612" spans="1:13" x14ac:dyDescent="0.25">
      <c r="A612" s="497"/>
      <c r="B612" s="612"/>
      <c r="C612" s="497">
        <v>500</v>
      </c>
      <c r="D612" s="498">
        <v>10.75</v>
      </c>
      <c r="E612" s="499">
        <v>0</v>
      </c>
      <c r="F612" s="499">
        <f t="shared" si="94"/>
        <v>5375</v>
      </c>
      <c r="G612" s="496">
        <v>42527</v>
      </c>
      <c r="H612" s="513">
        <v>500</v>
      </c>
      <c r="I612" s="498">
        <v>13.97</v>
      </c>
      <c r="J612" s="499">
        <v>1.1499999999999999</v>
      </c>
      <c r="K612" s="499">
        <f t="shared" si="93"/>
        <v>6983.85</v>
      </c>
      <c r="L612" s="497"/>
      <c r="M612" s="499"/>
    </row>
    <row r="613" spans="1:13" x14ac:dyDescent="0.25">
      <c r="A613" s="497"/>
      <c r="B613" s="612"/>
      <c r="C613" s="497">
        <v>1000</v>
      </c>
      <c r="D613" s="498">
        <v>10.4</v>
      </c>
      <c r="E613" s="499">
        <v>0</v>
      </c>
      <c r="F613" s="499">
        <f t="shared" si="94"/>
        <v>10400</v>
      </c>
      <c r="G613" s="496">
        <v>42528</v>
      </c>
      <c r="H613" s="513">
        <v>500</v>
      </c>
      <c r="I613" s="498">
        <v>14.65</v>
      </c>
      <c r="J613" s="499">
        <v>0.16</v>
      </c>
      <c r="K613" s="499">
        <f t="shared" si="93"/>
        <v>7324.84</v>
      </c>
      <c r="L613" s="497"/>
      <c r="M613" s="499"/>
    </row>
    <row r="614" spans="1:13" x14ac:dyDescent="0.25">
      <c r="A614" s="497"/>
      <c r="B614" s="612"/>
      <c r="C614" s="497">
        <v>1000</v>
      </c>
      <c r="D614" s="498">
        <v>10.185</v>
      </c>
      <c r="E614" s="499">
        <v>0</v>
      </c>
      <c r="F614" s="499">
        <f t="shared" si="94"/>
        <v>10185</v>
      </c>
      <c r="G614" s="496">
        <v>42536</v>
      </c>
      <c r="H614" s="513">
        <v>400</v>
      </c>
      <c r="I614" s="498">
        <v>13.43</v>
      </c>
      <c r="J614" s="499">
        <v>0.12</v>
      </c>
      <c r="K614" s="499">
        <f t="shared" si="93"/>
        <v>5371.88</v>
      </c>
      <c r="L614" s="497"/>
      <c r="M614" s="499"/>
    </row>
    <row r="615" spans="1:13" x14ac:dyDescent="0.25">
      <c r="A615" s="497"/>
      <c r="B615" s="545">
        <v>42461</v>
      </c>
      <c r="C615" s="497">
        <v>2000</v>
      </c>
      <c r="D615" s="498">
        <v>10.43</v>
      </c>
      <c r="E615" s="499">
        <v>0</v>
      </c>
      <c r="F615" s="499">
        <f t="shared" si="94"/>
        <v>20860</v>
      </c>
      <c r="G615" s="496">
        <v>42537</v>
      </c>
      <c r="H615" s="513">
        <v>400</v>
      </c>
      <c r="I615" s="498">
        <v>12.69</v>
      </c>
      <c r="J615" s="499">
        <v>0.11</v>
      </c>
      <c r="K615" s="499">
        <f t="shared" si="93"/>
        <v>5075.8900000000003</v>
      </c>
      <c r="L615" s="497"/>
      <c r="M615" s="499"/>
    </row>
    <row r="616" spans="1:13" x14ac:dyDescent="0.25">
      <c r="A616" s="497"/>
      <c r="B616" s="545">
        <v>42461</v>
      </c>
      <c r="C616" s="497">
        <v>2000</v>
      </c>
      <c r="D616" s="498">
        <v>10.42</v>
      </c>
      <c r="E616" s="499">
        <v>0</v>
      </c>
      <c r="F616" s="499">
        <f t="shared" si="94"/>
        <v>20840</v>
      </c>
      <c r="G616" s="496">
        <v>42538</v>
      </c>
      <c r="H616" s="513">
        <v>500</v>
      </c>
      <c r="I616" s="498">
        <v>13.34</v>
      </c>
      <c r="J616" s="499">
        <v>0.15</v>
      </c>
      <c r="K616" s="499">
        <f t="shared" si="93"/>
        <v>6669.85</v>
      </c>
      <c r="L616" s="497"/>
      <c r="M616" s="499"/>
    </row>
    <row r="617" spans="1:13" ht="45" x14ac:dyDescent="0.25">
      <c r="A617" s="497"/>
      <c r="B617" s="545">
        <v>42465</v>
      </c>
      <c r="C617" s="497">
        <v>100</v>
      </c>
      <c r="D617" s="498">
        <v>10.4</v>
      </c>
      <c r="E617" s="499">
        <v>0</v>
      </c>
      <c r="F617" s="499">
        <f t="shared" si="94"/>
        <v>1040</v>
      </c>
      <c r="G617" s="614" t="s">
        <v>218</v>
      </c>
      <c r="H617" s="513">
        <v>500</v>
      </c>
      <c r="I617" s="498">
        <v>13.91</v>
      </c>
      <c r="J617" s="499">
        <v>0.15</v>
      </c>
      <c r="K617" s="499">
        <f t="shared" si="93"/>
        <v>6954.85</v>
      </c>
      <c r="L617" s="497"/>
      <c r="M617" s="499"/>
    </row>
    <row r="618" spans="1:13" x14ac:dyDescent="0.25">
      <c r="A618" s="497"/>
      <c r="B618" s="545">
        <v>42471</v>
      </c>
      <c r="C618" s="497">
        <v>500</v>
      </c>
      <c r="D618" s="498">
        <v>11.77</v>
      </c>
      <c r="E618" s="499">
        <v>0</v>
      </c>
      <c r="F618" s="499">
        <f t="shared" si="94"/>
        <v>5885</v>
      </c>
      <c r="G618" s="614"/>
      <c r="H618" s="513">
        <v>600</v>
      </c>
      <c r="I618" s="498">
        <v>14.36</v>
      </c>
      <c r="J618" s="499">
        <v>0.19</v>
      </c>
      <c r="K618" s="499">
        <f t="shared" si="93"/>
        <v>8615.81</v>
      </c>
      <c r="L618" s="497"/>
      <c r="M618" s="499"/>
    </row>
    <row r="619" spans="1:13" x14ac:dyDescent="0.25">
      <c r="A619" s="497"/>
      <c r="B619" s="545">
        <v>42471</v>
      </c>
      <c r="C619" s="497">
        <v>500</v>
      </c>
      <c r="D619" s="498">
        <v>11.55</v>
      </c>
      <c r="E619" s="499">
        <v>0</v>
      </c>
      <c r="F619" s="499">
        <f t="shared" si="94"/>
        <v>5775</v>
      </c>
      <c r="G619" s="614"/>
      <c r="H619" s="513">
        <v>500</v>
      </c>
      <c r="I619" s="498">
        <v>14.65</v>
      </c>
      <c r="J619" s="499">
        <v>0.16</v>
      </c>
      <c r="K619" s="499">
        <f t="shared" si="93"/>
        <v>7324.84</v>
      </c>
      <c r="L619" s="497"/>
      <c r="M619" s="499"/>
    </row>
    <row r="620" spans="1:13" x14ac:dyDescent="0.25">
      <c r="A620" s="497"/>
      <c r="B620" s="545">
        <v>42472</v>
      </c>
      <c r="C620" s="497">
        <v>610</v>
      </c>
      <c r="D620" s="498">
        <v>12.95</v>
      </c>
      <c r="E620" s="499">
        <v>0</v>
      </c>
      <c r="F620" s="499">
        <f t="shared" si="94"/>
        <v>7899.5</v>
      </c>
      <c r="G620" s="496">
        <v>42542</v>
      </c>
      <c r="H620" s="513">
        <v>500</v>
      </c>
      <c r="I620" s="498">
        <v>14.95</v>
      </c>
      <c r="J620" s="499">
        <v>0.16</v>
      </c>
      <c r="K620" s="499">
        <f t="shared" si="93"/>
        <v>7474.84</v>
      </c>
      <c r="L620" s="497"/>
      <c r="M620" s="499"/>
    </row>
    <row r="621" spans="1:13" x14ac:dyDescent="0.25">
      <c r="A621" s="497"/>
      <c r="B621" s="545">
        <v>42473</v>
      </c>
      <c r="C621" s="497">
        <v>970</v>
      </c>
      <c r="D621" s="498">
        <v>12.76</v>
      </c>
      <c r="E621" s="499">
        <v>4.0999999999999996</v>
      </c>
      <c r="F621" s="499">
        <f t="shared" si="94"/>
        <v>12381.3</v>
      </c>
      <c r="G621" s="496">
        <v>42542</v>
      </c>
      <c r="H621" s="513">
        <v>378</v>
      </c>
      <c r="I621" s="498">
        <v>15.2</v>
      </c>
      <c r="J621" s="499">
        <v>0.13</v>
      </c>
      <c r="K621" s="499">
        <f t="shared" si="93"/>
        <v>5745.4699999999993</v>
      </c>
      <c r="L621" s="497"/>
      <c r="M621" s="499"/>
    </row>
    <row r="622" spans="1:13" x14ac:dyDescent="0.25">
      <c r="A622" s="497"/>
      <c r="B622" s="545">
        <v>42474</v>
      </c>
      <c r="C622" s="497">
        <v>420</v>
      </c>
      <c r="D622" s="498">
        <v>12.755000000000001</v>
      </c>
      <c r="E622" s="499">
        <v>0.34</v>
      </c>
      <c r="F622" s="499">
        <f t="shared" si="94"/>
        <v>5357.4400000000005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42475</v>
      </c>
      <c r="C623" s="497">
        <v>500</v>
      </c>
      <c r="D623" s="498">
        <v>13.02</v>
      </c>
      <c r="E623" s="499">
        <v>-1.75</v>
      </c>
      <c r="F623" s="499">
        <f t="shared" si="94"/>
        <v>6508.25</v>
      </c>
      <c r="G623" s="497"/>
      <c r="H623" s="513"/>
      <c r="I623" s="498"/>
      <c r="J623" s="499"/>
      <c r="K623" s="499"/>
      <c r="L623" s="497"/>
      <c r="M623" s="499"/>
    </row>
    <row r="624" spans="1:13" x14ac:dyDescent="0.25">
      <c r="A624" s="497"/>
      <c r="B624" s="545">
        <v>42485</v>
      </c>
      <c r="C624" s="497">
        <v>500</v>
      </c>
      <c r="D624" s="498">
        <v>13.95</v>
      </c>
      <c r="E624" s="499">
        <v>0</v>
      </c>
      <c r="F624" s="499">
        <f t="shared" si="94"/>
        <v>6975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497"/>
      <c r="B625" s="545">
        <v>42487</v>
      </c>
      <c r="C625" s="497">
        <v>600</v>
      </c>
      <c r="D625" s="498">
        <v>14.63</v>
      </c>
      <c r="E625" s="499">
        <v>0</v>
      </c>
      <c r="F625" s="499">
        <f t="shared" si="94"/>
        <v>8778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497"/>
      <c r="B626" s="545">
        <v>42488</v>
      </c>
      <c r="C626" s="497">
        <v>500</v>
      </c>
      <c r="D626" s="498">
        <v>14.52</v>
      </c>
      <c r="E626" s="499">
        <v>0</v>
      </c>
      <c r="F626" s="499">
        <f t="shared" si="94"/>
        <v>7260</v>
      </c>
      <c r="G626" s="497"/>
      <c r="H626" s="513"/>
      <c r="I626" s="498"/>
      <c r="J626" s="499"/>
      <c r="K626" s="499"/>
      <c r="L626" s="497"/>
      <c r="M626" s="499"/>
    </row>
    <row r="627" spans="1:13" ht="30" x14ac:dyDescent="0.25">
      <c r="A627" s="615" t="s">
        <v>197</v>
      </c>
      <c r="B627" s="545">
        <v>42489</v>
      </c>
      <c r="C627" s="497">
        <v>500</v>
      </c>
      <c r="D627" s="498">
        <v>14.35</v>
      </c>
      <c r="E627" s="499">
        <v>0</v>
      </c>
      <c r="F627" s="499">
        <f t="shared" si="94"/>
        <v>7175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615"/>
      <c r="B628" s="545">
        <v>42489</v>
      </c>
      <c r="C628" s="497">
        <v>500</v>
      </c>
      <c r="D628" s="498">
        <v>14.15</v>
      </c>
      <c r="E628" s="499">
        <v>0</v>
      </c>
      <c r="F628" s="499">
        <f t="shared" si="94"/>
        <v>7075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615"/>
      <c r="B629" s="545">
        <v>42489</v>
      </c>
      <c r="C629" s="497">
        <v>1000</v>
      </c>
      <c r="D629" s="498">
        <v>13.92</v>
      </c>
      <c r="E629" s="499">
        <v>0</v>
      </c>
      <c r="F629" s="499">
        <f t="shared" si="94"/>
        <v>13920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615"/>
      <c r="B630" s="545">
        <v>42489</v>
      </c>
      <c r="C630" s="497">
        <v>1000</v>
      </c>
      <c r="D630" s="498">
        <v>13.8</v>
      </c>
      <c r="E630" s="499">
        <v>0</v>
      </c>
      <c r="F630" s="499">
        <f t="shared" si="94"/>
        <v>13800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42492</v>
      </c>
      <c r="C631" s="497">
        <v>1500</v>
      </c>
      <c r="D631" s="498">
        <v>13.25</v>
      </c>
      <c r="E631" s="499">
        <v>0</v>
      </c>
      <c r="F631" s="499">
        <f t="shared" si="94"/>
        <v>19875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42492</v>
      </c>
      <c r="C632" s="497">
        <v>500</v>
      </c>
      <c r="D632" s="498">
        <v>13.6</v>
      </c>
      <c r="E632" s="499">
        <v>0</v>
      </c>
      <c r="F632" s="499">
        <f t="shared" si="94"/>
        <v>6800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42493</v>
      </c>
      <c r="C633" s="497">
        <v>322</v>
      </c>
      <c r="D633" s="498">
        <v>12.85</v>
      </c>
      <c r="E633" s="499">
        <v>0</v>
      </c>
      <c r="F633" s="499">
        <f t="shared" si="94"/>
        <v>4137.7</v>
      </c>
      <c r="G633" s="497"/>
      <c r="H633" s="513"/>
      <c r="I633" s="498"/>
      <c r="J633" s="499"/>
      <c r="K633" s="499"/>
      <c r="L633" s="497"/>
      <c r="M633" s="499"/>
    </row>
    <row r="634" spans="1:13" ht="30" x14ac:dyDescent="0.25">
      <c r="A634" s="599" t="s">
        <v>201</v>
      </c>
      <c r="B634" s="545">
        <v>42494</v>
      </c>
      <c r="C634" s="497">
        <v>1000</v>
      </c>
      <c r="D634" s="498">
        <v>12.25</v>
      </c>
      <c r="E634" s="499">
        <v>0</v>
      </c>
      <c r="F634" s="499">
        <f t="shared" si="94"/>
        <v>12250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599"/>
      <c r="B635" s="545">
        <v>42494</v>
      </c>
      <c r="C635" s="497">
        <v>500</v>
      </c>
      <c r="D635" s="498">
        <v>12.53</v>
      </c>
      <c r="E635" s="499">
        <v>0</v>
      </c>
      <c r="F635" s="499">
        <f t="shared" si="94"/>
        <v>6265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599"/>
      <c r="B636" s="545">
        <v>42494</v>
      </c>
      <c r="C636" s="497">
        <v>500</v>
      </c>
      <c r="D636" s="498">
        <v>12.65</v>
      </c>
      <c r="E636" s="499">
        <v>0</v>
      </c>
      <c r="F636" s="499">
        <f t="shared" si="94"/>
        <v>6325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42495</v>
      </c>
      <c r="C637" s="497">
        <v>1000</v>
      </c>
      <c r="D637" s="498">
        <v>11.95</v>
      </c>
      <c r="E637" s="499">
        <v>0</v>
      </c>
      <c r="F637" s="499">
        <f t="shared" si="94"/>
        <v>11950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42499</v>
      </c>
      <c r="C638" s="497">
        <v>500</v>
      </c>
      <c r="D638" s="498">
        <v>11.48</v>
      </c>
      <c r="E638" s="499">
        <v>0</v>
      </c>
      <c r="F638" s="499">
        <f t="shared" si="94"/>
        <v>5740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42499</v>
      </c>
      <c r="C639" s="497">
        <v>500</v>
      </c>
      <c r="D639" s="498">
        <v>11.32</v>
      </c>
      <c r="E639" s="499">
        <v>0</v>
      </c>
      <c r="F639" s="499">
        <f t="shared" si="94"/>
        <v>5660</v>
      </c>
      <c r="G639" s="497"/>
      <c r="H639" s="513"/>
      <c r="I639" s="498"/>
      <c r="J639" s="499"/>
      <c r="K639" s="499"/>
      <c r="L639" s="497"/>
      <c r="M639" s="499"/>
    </row>
    <row r="640" spans="1:13" ht="30" x14ac:dyDescent="0.25">
      <c r="A640" s="615" t="s">
        <v>204</v>
      </c>
      <c r="B640" s="545">
        <v>42502</v>
      </c>
      <c r="C640" s="497">
        <v>500</v>
      </c>
      <c r="D640" s="498">
        <v>12.38</v>
      </c>
      <c r="E640" s="499">
        <v>0</v>
      </c>
      <c r="F640" s="499">
        <f t="shared" si="94"/>
        <v>6190</v>
      </c>
      <c r="G640" s="497"/>
      <c r="H640" s="513"/>
      <c r="I640" s="498"/>
      <c r="J640" s="499"/>
      <c r="K640" s="499"/>
      <c r="L640" s="497"/>
      <c r="M640" s="499"/>
    </row>
    <row r="641" spans="1:13" x14ac:dyDescent="0.25">
      <c r="A641" s="615"/>
      <c r="B641" s="545">
        <v>42502</v>
      </c>
      <c r="C641" s="497">
        <v>500</v>
      </c>
      <c r="D641" s="498">
        <v>12.3</v>
      </c>
      <c r="E641" s="499">
        <v>0</v>
      </c>
      <c r="F641" s="499">
        <f t="shared" si="94"/>
        <v>6150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615"/>
      <c r="B642" s="545">
        <v>42502</v>
      </c>
      <c r="C642" s="497">
        <v>500</v>
      </c>
      <c r="D642" s="498">
        <v>12.23</v>
      </c>
      <c r="E642" s="499">
        <v>0</v>
      </c>
      <c r="F642" s="499">
        <f t="shared" si="94"/>
        <v>6115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42503</v>
      </c>
      <c r="C643" s="497">
        <v>500</v>
      </c>
      <c r="D643" s="498">
        <v>12.41</v>
      </c>
      <c r="E643" s="499">
        <v>0</v>
      </c>
      <c r="F643" s="499">
        <f t="shared" si="94"/>
        <v>6205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42506</v>
      </c>
      <c r="C644" s="497">
        <v>300</v>
      </c>
      <c r="D644" s="498">
        <v>12.8</v>
      </c>
      <c r="E644" s="499">
        <v>0</v>
      </c>
      <c r="F644" s="499">
        <f t="shared" si="94"/>
        <v>3840</v>
      </c>
      <c r="G644" s="497"/>
      <c r="H644" s="513"/>
      <c r="I644" s="498"/>
      <c r="J644" s="499"/>
      <c r="K644" s="499"/>
      <c r="L644" s="497"/>
      <c r="M644" s="499"/>
    </row>
    <row r="645" spans="1:13" x14ac:dyDescent="0.25">
      <c r="A645" s="497"/>
      <c r="B645" s="545">
        <v>42514</v>
      </c>
      <c r="C645" s="497">
        <v>500</v>
      </c>
      <c r="D645" s="498">
        <v>13.02</v>
      </c>
      <c r="E645" s="499">
        <v>-1.65</v>
      </c>
      <c r="F645" s="499">
        <f t="shared" ref="F645:F708" si="95">C645*D645+E645</f>
        <v>6508.35</v>
      </c>
      <c r="G645" s="497"/>
      <c r="H645" s="513"/>
      <c r="I645" s="498"/>
      <c r="J645" s="499"/>
      <c r="K645" s="499"/>
      <c r="L645" s="497"/>
      <c r="M645" s="499"/>
    </row>
    <row r="646" spans="1:13" x14ac:dyDescent="0.25">
      <c r="A646" s="497"/>
      <c r="B646" s="545">
        <v>42515</v>
      </c>
      <c r="C646" s="497">
        <v>500</v>
      </c>
      <c r="D646" s="498">
        <v>13.45</v>
      </c>
      <c r="E646" s="499">
        <v>1</v>
      </c>
      <c r="F646" s="499">
        <f t="shared" si="95"/>
        <v>6726</v>
      </c>
      <c r="G646" s="497"/>
      <c r="H646" s="513"/>
      <c r="I646" s="498"/>
      <c r="J646" s="499"/>
      <c r="K646" s="499"/>
      <c r="L646" s="497"/>
      <c r="M646" s="499"/>
    </row>
    <row r="647" spans="1:13" x14ac:dyDescent="0.25">
      <c r="A647" s="497"/>
      <c r="B647" s="545">
        <v>42516</v>
      </c>
      <c r="C647" s="497">
        <v>500</v>
      </c>
      <c r="D647" s="498">
        <v>13.28</v>
      </c>
      <c r="E647" s="499">
        <v>-1.04</v>
      </c>
      <c r="F647" s="499">
        <f t="shared" si="95"/>
        <v>6638.96</v>
      </c>
      <c r="G647" s="497"/>
      <c r="H647" s="513"/>
      <c r="I647" s="498"/>
      <c r="J647" s="499"/>
      <c r="K647" s="499"/>
      <c r="L647" s="497"/>
      <c r="M647" s="499"/>
    </row>
    <row r="648" spans="1:13" x14ac:dyDescent="0.25">
      <c r="A648" s="497"/>
      <c r="B648" s="545">
        <v>42517</v>
      </c>
      <c r="C648" s="497">
        <v>500</v>
      </c>
      <c r="D648" s="498">
        <v>12.79</v>
      </c>
      <c r="E648" s="499">
        <v>0</v>
      </c>
      <c r="F648" s="499">
        <f t="shared" si="95"/>
        <v>6395</v>
      </c>
      <c r="G648" s="497"/>
      <c r="H648" s="513"/>
      <c r="I648" s="498"/>
      <c r="J648" s="499"/>
      <c r="K648" s="499"/>
      <c r="L648" s="497"/>
      <c r="M648" s="499"/>
    </row>
    <row r="649" spans="1:13" x14ac:dyDescent="0.25">
      <c r="A649" s="497"/>
      <c r="B649" s="545">
        <v>42524</v>
      </c>
      <c r="C649" s="497">
        <v>400</v>
      </c>
      <c r="D649" s="498">
        <v>13.28</v>
      </c>
      <c r="E649" s="499">
        <v>0</v>
      </c>
      <c r="F649" s="499">
        <f t="shared" si="95"/>
        <v>5312</v>
      </c>
      <c r="G649" s="497"/>
      <c r="H649" s="513"/>
      <c r="I649" s="498"/>
      <c r="J649" s="499"/>
      <c r="K649" s="499"/>
      <c r="L649" s="497"/>
      <c r="M649" s="499"/>
    </row>
    <row r="650" spans="1:13" x14ac:dyDescent="0.25">
      <c r="A650" s="497"/>
      <c r="B650" s="545">
        <v>42529</v>
      </c>
      <c r="C650" s="497">
        <v>500</v>
      </c>
      <c r="D650" s="498">
        <v>14.59</v>
      </c>
      <c r="E650" s="499">
        <v>0</v>
      </c>
      <c r="F650" s="499">
        <f t="shared" si="95"/>
        <v>7295</v>
      </c>
      <c r="G650" s="497"/>
      <c r="H650" s="513"/>
      <c r="I650" s="498"/>
      <c r="J650" s="499"/>
      <c r="K650" s="499"/>
      <c r="L650" s="497"/>
      <c r="M650" s="499"/>
    </row>
    <row r="651" spans="1:13" x14ac:dyDescent="0.25">
      <c r="A651" s="497"/>
      <c r="B651" s="545">
        <v>42531</v>
      </c>
      <c r="C651" s="497">
        <v>800</v>
      </c>
      <c r="D651" s="498">
        <v>13.79</v>
      </c>
      <c r="E651" s="499">
        <v>0</v>
      </c>
      <c r="F651" s="499">
        <f t="shared" si="95"/>
        <v>11032</v>
      </c>
      <c r="G651" s="497"/>
      <c r="H651" s="513"/>
      <c r="I651" s="498"/>
      <c r="J651" s="499"/>
      <c r="K651" s="499"/>
      <c r="L651" s="497"/>
      <c r="M651" s="499"/>
    </row>
    <row r="652" spans="1:13" x14ac:dyDescent="0.25">
      <c r="A652" s="497"/>
      <c r="B652" s="545">
        <v>42531</v>
      </c>
      <c r="C652" s="497">
        <v>300</v>
      </c>
      <c r="D652" s="498">
        <v>13.4</v>
      </c>
      <c r="E652" s="499">
        <v>0</v>
      </c>
      <c r="F652" s="499">
        <f t="shared" si="95"/>
        <v>4020</v>
      </c>
      <c r="G652" s="497"/>
      <c r="H652" s="513"/>
      <c r="I652" s="498"/>
      <c r="J652" s="499"/>
      <c r="K652" s="499"/>
      <c r="L652" s="497"/>
      <c r="M652" s="499"/>
    </row>
    <row r="653" spans="1:13" x14ac:dyDescent="0.25">
      <c r="A653" s="497"/>
      <c r="B653" s="545">
        <v>42535</v>
      </c>
      <c r="C653" s="497">
        <v>400</v>
      </c>
      <c r="D653" s="498">
        <v>12.85</v>
      </c>
      <c r="E653" s="499">
        <v>0</v>
      </c>
      <c r="F653" s="499">
        <f t="shared" si="95"/>
        <v>5140</v>
      </c>
      <c r="G653" s="497"/>
      <c r="H653" s="513"/>
      <c r="I653" s="498"/>
      <c r="J653" s="499"/>
      <c r="K653" s="499"/>
      <c r="L653" s="497"/>
      <c r="M653" s="499"/>
    </row>
    <row r="654" spans="1:13" x14ac:dyDescent="0.25">
      <c r="A654" s="497"/>
      <c r="B654" s="545">
        <v>42537</v>
      </c>
      <c r="C654" s="497">
        <v>400</v>
      </c>
      <c r="D654" s="498">
        <v>12.43</v>
      </c>
      <c r="E654" s="499">
        <v>-0.04</v>
      </c>
      <c r="F654" s="499">
        <f t="shared" si="95"/>
        <v>4971.96</v>
      </c>
      <c r="G654" s="497"/>
      <c r="H654" s="513"/>
      <c r="I654" s="498"/>
      <c r="J654" s="499"/>
      <c r="K654" s="499"/>
      <c r="L654" s="497"/>
      <c r="M654" s="499"/>
    </row>
    <row r="655" spans="1:13" x14ac:dyDescent="0.25">
      <c r="A655" s="497"/>
      <c r="B655" s="545">
        <v>42538</v>
      </c>
      <c r="C655" s="497">
        <v>500</v>
      </c>
      <c r="D655" s="498">
        <v>13.14</v>
      </c>
      <c r="E655" s="499">
        <v>0</v>
      </c>
      <c r="F655" s="499">
        <f t="shared" si="95"/>
        <v>6570</v>
      </c>
      <c r="G655" s="497"/>
      <c r="H655" s="513"/>
      <c r="I655" s="498"/>
      <c r="J655" s="499"/>
      <c r="K655" s="499"/>
      <c r="L655" s="497"/>
      <c r="M655" s="499"/>
    </row>
    <row r="656" spans="1:13" x14ac:dyDescent="0.25">
      <c r="A656" s="497"/>
      <c r="B656" s="545">
        <v>42543</v>
      </c>
      <c r="C656" s="497">
        <v>500</v>
      </c>
      <c r="D656" s="498">
        <v>14.75</v>
      </c>
      <c r="E656" s="499">
        <v>0</v>
      </c>
      <c r="F656" s="499">
        <f t="shared" si="95"/>
        <v>7375</v>
      </c>
      <c r="G656" s="496">
        <v>42544</v>
      </c>
      <c r="H656" s="513">
        <v>500</v>
      </c>
      <c r="I656" s="498">
        <v>15.24</v>
      </c>
      <c r="J656" s="499">
        <v>0.17</v>
      </c>
      <c r="K656" s="499">
        <f>H656*I656-J656</f>
        <v>7619.83</v>
      </c>
      <c r="L656" s="497"/>
      <c r="M656" s="499"/>
    </row>
    <row r="657" spans="1:13" x14ac:dyDescent="0.25">
      <c r="A657" s="497"/>
      <c r="B657" s="545">
        <v>42545</v>
      </c>
      <c r="C657" s="497">
        <v>878</v>
      </c>
      <c r="D657" s="498">
        <v>14.41</v>
      </c>
      <c r="E657" s="499">
        <v>0</v>
      </c>
      <c r="F657" s="499">
        <f t="shared" si="95"/>
        <v>12651.98</v>
      </c>
      <c r="G657" s="497"/>
      <c r="H657" s="513"/>
      <c r="I657" s="498"/>
      <c r="J657" s="499"/>
      <c r="K657" s="499"/>
      <c r="L657" s="497"/>
      <c r="M657" s="499"/>
    </row>
    <row r="658" spans="1:13" x14ac:dyDescent="0.25">
      <c r="A658" s="497"/>
      <c r="B658" s="545">
        <v>42545</v>
      </c>
      <c r="C658" s="497">
        <v>335</v>
      </c>
      <c r="D658" s="498">
        <v>14.08</v>
      </c>
      <c r="E658" s="499">
        <v>0</v>
      </c>
      <c r="F658" s="499">
        <f t="shared" si="95"/>
        <v>4716.8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42548</v>
      </c>
      <c r="C659" s="497">
        <v>965</v>
      </c>
      <c r="D659" s="498">
        <v>13.81</v>
      </c>
      <c r="E659" s="499">
        <v>0</v>
      </c>
      <c r="F659" s="499">
        <f t="shared" si="95"/>
        <v>13326.65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42548</v>
      </c>
      <c r="C660" s="497">
        <v>300</v>
      </c>
      <c r="D660" s="498">
        <v>13.58</v>
      </c>
      <c r="E660" s="499">
        <v>0</v>
      </c>
      <c r="F660" s="499">
        <f t="shared" si="95"/>
        <v>4074</v>
      </c>
      <c r="G660" s="496">
        <v>42549</v>
      </c>
      <c r="H660" s="513">
        <v>1100</v>
      </c>
      <c r="I660" s="498">
        <v>14.68</v>
      </c>
      <c r="J660" s="499">
        <v>0.35</v>
      </c>
      <c r="K660" s="499">
        <f t="shared" ref="K660:K745" si="96">H660*I660-J660</f>
        <v>16147.65</v>
      </c>
      <c r="L660" s="497"/>
      <c r="M660" s="499"/>
    </row>
    <row r="661" spans="1:13" ht="45" x14ac:dyDescent="0.25">
      <c r="A661" s="497"/>
      <c r="B661" s="545">
        <v>42556</v>
      </c>
      <c r="C661" s="497">
        <v>2178</v>
      </c>
      <c r="D661" s="498">
        <v>15.08</v>
      </c>
      <c r="E661" s="499">
        <v>0</v>
      </c>
      <c r="F661" s="499">
        <f t="shared" si="95"/>
        <v>32844.239999999998</v>
      </c>
      <c r="G661" s="611" t="s">
        <v>227</v>
      </c>
      <c r="H661" s="513">
        <v>500</v>
      </c>
      <c r="I661" s="498">
        <v>15.48</v>
      </c>
      <c r="J661" s="499">
        <v>0.17</v>
      </c>
      <c r="K661" s="499">
        <f t="shared" si="96"/>
        <v>7739.83</v>
      </c>
      <c r="L661" s="497"/>
      <c r="M661" s="499"/>
    </row>
    <row r="662" spans="1:13" x14ac:dyDescent="0.25">
      <c r="A662" s="497"/>
      <c r="B662" s="545">
        <v>42556</v>
      </c>
      <c r="C662" s="497">
        <v>500</v>
      </c>
      <c r="D662" s="498">
        <v>14.62</v>
      </c>
      <c r="E662" s="499">
        <v>0</v>
      </c>
      <c r="F662" s="499">
        <f t="shared" si="95"/>
        <v>7310</v>
      </c>
      <c r="G662" s="611"/>
      <c r="H662" s="513">
        <v>378</v>
      </c>
      <c r="I662" s="498">
        <v>15.65</v>
      </c>
      <c r="J662" s="499">
        <v>0.13</v>
      </c>
      <c r="K662" s="499">
        <f t="shared" si="96"/>
        <v>5915.57</v>
      </c>
      <c r="L662" s="497"/>
      <c r="M662" s="499"/>
    </row>
    <row r="663" spans="1:13" x14ac:dyDescent="0.25">
      <c r="A663" s="497"/>
      <c r="B663" s="545">
        <v>42557</v>
      </c>
      <c r="C663" s="497">
        <v>500</v>
      </c>
      <c r="D663" s="498">
        <v>14.78</v>
      </c>
      <c r="E663" s="499">
        <v>0</v>
      </c>
      <c r="F663" s="499">
        <f t="shared" si="95"/>
        <v>7390</v>
      </c>
      <c r="G663" s="611"/>
      <c r="H663" s="513">
        <v>500</v>
      </c>
      <c r="I663" s="498">
        <v>15.51</v>
      </c>
      <c r="J663" s="499">
        <v>0.17</v>
      </c>
      <c r="K663" s="499">
        <f t="shared" si="96"/>
        <v>7754.83</v>
      </c>
      <c r="L663" s="497"/>
      <c r="M663" s="499"/>
    </row>
    <row r="664" spans="1:13" x14ac:dyDescent="0.25">
      <c r="A664" s="497"/>
      <c r="B664" s="597">
        <v>42564</v>
      </c>
      <c r="C664" s="497">
        <v>320</v>
      </c>
      <c r="D664" s="498">
        <v>15.48</v>
      </c>
      <c r="E664" s="499">
        <v>0</v>
      </c>
      <c r="F664" s="499">
        <f t="shared" si="95"/>
        <v>4953.6000000000004</v>
      </c>
      <c r="G664" s="611"/>
      <c r="H664" s="513">
        <v>800</v>
      </c>
      <c r="I664" s="498">
        <v>15.78</v>
      </c>
      <c r="J664" s="499">
        <v>0.28000000000000003</v>
      </c>
      <c r="K664" s="499">
        <f t="shared" si="96"/>
        <v>12623.72</v>
      </c>
      <c r="L664" s="497"/>
      <c r="M664" s="499"/>
    </row>
    <row r="665" spans="1:13" x14ac:dyDescent="0.25">
      <c r="A665" s="598"/>
      <c r="B665" s="597">
        <v>42564</v>
      </c>
      <c r="C665" s="497">
        <v>160</v>
      </c>
      <c r="D665" s="498">
        <v>15.48</v>
      </c>
      <c r="E665" s="499">
        <v>0</v>
      </c>
      <c r="F665" s="499">
        <f t="shared" si="95"/>
        <v>2476.8000000000002</v>
      </c>
      <c r="G665" s="496">
        <v>42557</v>
      </c>
      <c r="H665" s="513">
        <v>500</v>
      </c>
      <c r="I665" s="498">
        <v>14.92</v>
      </c>
      <c r="J665" s="499">
        <v>0.16</v>
      </c>
      <c r="K665" s="499">
        <f t="shared" si="96"/>
        <v>7459.84</v>
      </c>
      <c r="L665" s="497"/>
      <c r="M665" s="499"/>
    </row>
    <row r="666" spans="1:13" x14ac:dyDescent="0.25">
      <c r="A666" s="598"/>
      <c r="B666" s="545">
        <v>42570</v>
      </c>
      <c r="C666" s="497">
        <v>200</v>
      </c>
      <c r="D666" s="498">
        <v>15.18</v>
      </c>
      <c r="E666" s="499">
        <v>0</v>
      </c>
      <c r="F666" s="499">
        <f t="shared" si="95"/>
        <v>3036</v>
      </c>
      <c r="G666" s="496">
        <v>42564</v>
      </c>
      <c r="H666" s="513">
        <v>420</v>
      </c>
      <c r="I666" s="498">
        <v>15.68</v>
      </c>
      <c r="J666" s="499">
        <v>0.14000000000000001</v>
      </c>
      <c r="K666" s="499">
        <f t="shared" si="96"/>
        <v>6585.4599999999991</v>
      </c>
      <c r="L666" s="497"/>
      <c r="M666" s="499"/>
    </row>
    <row r="667" spans="1:13" x14ac:dyDescent="0.25">
      <c r="A667" s="598"/>
      <c r="B667" s="545">
        <v>42570</v>
      </c>
      <c r="C667" s="497">
        <v>200</v>
      </c>
      <c r="D667" s="498">
        <v>14.68</v>
      </c>
      <c r="E667" s="499">
        <v>0</v>
      </c>
      <c r="F667" s="499">
        <f t="shared" si="95"/>
        <v>2936</v>
      </c>
      <c r="G667" s="496">
        <v>42571</v>
      </c>
      <c r="H667" s="513">
        <v>200</v>
      </c>
      <c r="I667" s="498">
        <v>14.82</v>
      </c>
      <c r="J667" s="499">
        <v>0.06</v>
      </c>
      <c r="K667" s="499">
        <f t="shared" si="96"/>
        <v>2963.94</v>
      </c>
      <c r="L667" s="497"/>
      <c r="M667" s="499"/>
    </row>
    <row r="668" spans="1:13" x14ac:dyDescent="0.25">
      <c r="A668" s="497"/>
      <c r="B668" s="545">
        <v>42571</v>
      </c>
      <c r="C668" s="497">
        <v>200</v>
      </c>
      <c r="D668" s="498">
        <v>14.33</v>
      </c>
      <c r="E668" s="499">
        <v>-1</v>
      </c>
      <c r="F668" s="499">
        <f t="shared" si="95"/>
        <v>2865</v>
      </c>
      <c r="G668" s="496">
        <v>42572</v>
      </c>
      <c r="H668" s="513">
        <v>200</v>
      </c>
      <c r="I668" s="498">
        <v>14.8</v>
      </c>
      <c r="J668" s="499">
        <v>0.06</v>
      </c>
      <c r="K668" s="499">
        <f t="shared" si="96"/>
        <v>2959.94</v>
      </c>
      <c r="L668" s="497"/>
      <c r="M668" s="499"/>
    </row>
    <row r="669" spans="1:13" x14ac:dyDescent="0.25">
      <c r="A669" s="497"/>
      <c r="B669" s="545">
        <v>42572</v>
      </c>
      <c r="C669" s="497">
        <v>60</v>
      </c>
      <c r="D669" s="498">
        <v>14.58</v>
      </c>
      <c r="E669" s="499">
        <v>0</v>
      </c>
      <c r="F669" s="499">
        <f t="shared" si="95"/>
        <v>874.8</v>
      </c>
      <c r="G669" s="496">
        <v>42577</v>
      </c>
      <c r="H669" s="513">
        <v>200</v>
      </c>
      <c r="I669" s="498">
        <v>13.78</v>
      </c>
      <c r="J669" s="499">
        <v>0.06</v>
      </c>
      <c r="K669" s="499">
        <f t="shared" si="96"/>
        <v>2755.94</v>
      </c>
      <c r="L669" s="497"/>
      <c r="M669" s="499"/>
    </row>
    <row r="670" spans="1:13" x14ac:dyDescent="0.25">
      <c r="A670" s="497"/>
      <c r="B670" s="545">
        <v>42572</v>
      </c>
      <c r="C670" s="497">
        <v>140</v>
      </c>
      <c r="D670" s="498">
        <v>14.65</v>
      </c>
      <c r="E670" s="499">
        <v>0</v>
      </c>
      <c r="F670" s="499">
        <f t="shared" si="95"/>
        <v>2051</v>
      </c>
      <c r="G670" s="496">
        <v>42580</v>
      </c>
      <c r="H670" s="513">
        <v>200</v>
      </c>
      <c r="I670" s="498">
        <v>13.224</v>
      </c>
      <c r="J670" s="499">
        <v>0.08</v>
      </c>
      <c r="K670" s="499">
        <f t="shared" si="96"/>
        <v>2644.7200000000003</v>
      </c>
      <c r="L670" s="497"/>
      <c r="M670" s="499"/>
    </row>
    <row r="671" spans="1:13" x14ac:dyDescent="0.25">
      <c r="A671" s="497"/>
      <c r="B671" s="545">
        <v>42573</v>
      </c>
      <c r="C671" s="497">
        <v>140</v>
      </c>
      <c r="D671" s="498">
        <v>14.08</v>
      </c>
      <c r="E671" s="499">
        <v>0</v>
      </c>
      <c r="F671" s="499">
        <f t="shared" si="95"/>
        <v>1971.2</v>
      </c>
      <c r="G671" s="496">
        <v>42580</v>
      </c>
      <c r="H671" s="513">
        <v>200</v>
      </c>
      <c r="I671" s="498">
        <v>13.58</v>
      </c>
      <c r="J671" s="499">
        <v>0.06</v>
      </c>
      <c r="K671" s="499">
        <f t="shared" si="96"/>
        <v>2715.94</v>
      </c>
      <c r="L671" s="497"/>
      <c r="M671" s="499"/>
    </row>
    <row r="672" spans="1:13" x14ac:dyDescent="0.25">
      <c r="A672" s="497"/>
      <c r="B672" s="545">
        <v>42576</v>
      </c>
      <c r="C672" s="497">
        <v>200</v>
      </c>
      <c r="D672" s="498">
        <v>13.55</v>
      </c>
      <c r="E672" s="499">
        <v>0</v>
      </c>
      <c r="F672" s="499">
        <f t="shared" si="95"/>
        <v>2710</v>
      </c>
      <c r="G672" s="496">
        <v>42586</v>
      </c>
      <c r="H672" s="513">
        <v>400</v>
      </c>
      <c r="I672" s="498">
        <v>13.78</v>
      </c>
      <c r="J672" s="499">
        <v>0.12</v>
      </c>
      <c r="K672" s="499">
        <f t="shared" si="96"/>
        <v>5511.88</v>
      </c>
      <c r="L672" s="497"/>
      <c r="M672" s="499"/>
    </row>
    <row r="673" spans="1:13" x14ac:dyDescent="0.25">
      <c r="A673" s="497"/>
      <c r="B673" s="545">
        <v>42578</v>
      </c>
      <c r="C673" s="497">
        <v>200</v>
      </c>
      <c r="D673" s="498">
        <v>13.18</v>
      </c>
      <c r="E673" s="499">
        <v>0</v>
      </c>
      <c r="F673" s="499">
        <f t="shared" si="95"/>
        <v>2636</v>
      </c>
      <c r="G673" s="496">
        <v>42586</v>
      </c>
      <c r="H673" s="513">
        <v>400</v>
      </c>
      <c r="I673" s="498">
        <v>13.72</v>
      </c>
      <c r="J673" s="499">
        <v>0.12</v>
      </c>
      <c r="K673" s="499">
        <f t="shared" si="96"/>
        <v>5487.88</v>
      </c>
      <c r="L673" s="497"/>
      <c r="M673" s="499"/>
    </row>
    <row r="674" spans="1:13" x14ac:dyDescent="0.25">
      <c r="A674" s="497"/>
      <c r="B674" s="545">
        <v>42580</v>
      </c>
      <c r="C674" s="497">
        <v>200</v>
      </c>
      <c r="D674" s="498">
        <v>13.15</v>
      </c>
      <c r="E674" s="499">
        <v>0</v>
      </c>
      <c r="F674" s="499">
        <f t="shared" si="95"/>
        <v>2630</v>
      </c>
      <c r="G674" s="496">
        <v>42586</v>
      </c>
      <c r="H674" s="513">
        <v>140</v>
      </c>
      <c r="I674" s="498">
        <v>13.88</v>
      </c>
      <c r="J674" s="499">
        <v>0.04</v>
      </c>
      <c r="K674" s="499">
        <f t="shared" si="96"/>
        <v>1943.16</v>
      </c>
      <c r="L674" s="497"/>
      <c r="M674" s="499"/>
    </row>
    <row r="675" spans="1:13" x14ac:dyDescent="0.25">
      <c r="A675" s="497"/>
      <c r="B675" s="545">
        <v>42583</v>
      </c>
      <c r="C675" s="594">
        <v>20</v>
      </c>
      <c r="D675" s="498">
        <v>13.02</v>
      </c>
      <c r="E675" s="499">
        <v>0</v>
      </c>
      <c r="F675" s="499">
        <f t="shared" si="95"/>
        <v>260.39999999999998</v>
      </c>
      <c r="G675" s="496">
        <v>42593</v>
      </c>
      <c r="H675" s="513">
        <v>460</v>
      </c>
      <c r="I675" s="498">
        <v>14.59</v>
      </c>
      <c r="J675" s="499">
        <v>0.15</v>
      </c>
      <c r="K675" s="499">
        <f t="shared" si="96"/>
        <v>6711.25</v>
      </c>
      <c r="L675" s="497"/>
      <c r="M675" s="499"/>
    </row>
    <row r="676" spans="1:13" x14ac:dyDescent="0.25">
      <c r="A676" s="497"/>
      <c r="B676" s="545">
        <v>42583</v>
      </c>
      <c r="C676" s="497">
        <v>180</v>
      </c>
      <c r="D676" s="498">
        <v>13.02</v>
      </c>
      <c r="E676" s="499">
        <v>0</v>
      </c>
      <c r="F676" s="499">
        <f t="shared" si="95"/>
        <v>2343.6</v>
      </c>
      <c r="G676" s="496">
        <v>42594</v>
      </c>
      <c r="H676" s="513">
        <v>500</v>
      </c>
      <c r="I676" s="498">
        <v>14.88</v>
      </c>
      <c r="J676" s="499">
        <v>0.16</v>
      </c>
      <c r="K676" s="499">
        <f t="shared" si="96"/>
        <v>7439.84</v>
      </c>
      <c r="L676" s="497"/>
      <c r="M676" s="499"/>
    </row>
    <row r="677" spans="1:13" x14ac:dyDescent="0.25">
      <c r="A677" s="497"/>
      <c r="B677" s="545">
        <v>42584</v>
      </c>
      <c r="C677" s="497">
        <v>120</v>
      </c>
      <c r="D677" s="498">
        <v>12.68</v>
      </c>
      <c r="E677" s="499">
        <v>0</v>
      </c>
      <c r="F677" s="499">
        <f t="shared" si="95"/>
        <v>1521.6</v>
      </c>
      <c r="G677" s="496">
        <v>42598</v>
      </c>
      <c r="H677" s="513">
        <v>500</v>
      </c>
      <c r="I677" s="498">
        <v>15.18</v>
      </c>
      <c r="J677" s="499">
        <v>0.17</v>
      </c>
      <c r="K677" s="499">
        <f t="shared" si="96"/>
        <v>7589.83</v>
      </c>
      <c r="L677" s="497"/>
      <c r="M677" s="499"/>
    </row>
    <row r="678" spans="1:13" x14ac:dyDescent="0.25">
      <c r="A678" s="497"/>
      <c r="B678" s="545">
        <v>42584</v>
      </c>
      <c r="C678" s="497">
        <v>80</v>
      </c>
      <c r="D678" s="498">
        <v>12.68</v>
      </c>
      <c r="E678" s="499">
        <v>0</v>
      </c>
      <c r="F678" s="499">
        <f t="shared" si="95"/>
        <v>1014.4</v>
      </c>
      <c r="G678" s="496">
        <v>42599</v>
      </c>
      <c r="H678" s="513">
        <v>500</v>
      </c>
      <c r="I678" s="498">
        <v>15.18</v>
      </c>
      <c r="J678" s="499">
        <v>0.17</v>
      </c>
      <c r="K678" s="499">
        <f t="shared" si="96"/>
        <v>7589.83</v>
      </c>
      <c r="L678" s="497"/>
      <c r="M678" s="499"/>
    </row>
    <row r="679" spans="1:13" x14ac:dyDescent="0.25">
      <c r="A679" s="497"/>
      <c r="B679" s="545">
        <v>42585</v>
      </c>
      <c r="C679" s="497">
        <v>242</v>
      </c>
      <c r="D679" s="498">
        <v>13.38</v>
      </c>
      <c r="E679" s="499">
        <v>0</v>
      </c>
      <c r="F679" s="499">
        <f t="shared" si="95"/>
        <v>3237.96</v>
      </c>
      <c r="G679" s="496">
        <v>42599</v>
      </c>
      <c r="H679" s="513">
        <v>500</v>
      </c>
      <c r="I679" s="498">
        <v>15.41</v>
      </c>
      <c r="J679" s="499">
        <v>0.17</v>
      </c>
      <c r="K679" s="499">
        <f t="shared" si="96"/>
        <v>7704.83</v>
      </c>
      <c r="L679" s="497"/>
      <c r="M679" s="499"/>
    </row>
    <row r="680" spans="1:13" x14ac:dyDescent="0.25">
      <c r="A680" s="497"/>
      <c r="B680" s="545">
        <v>42585</v>
      </c>
      <c r="C680" s="497">
        <v>158</v>
      </c>
      <c r="D680" s="498">
        <v>13.38</v>
      </c>
      <c r="E680" s="499">
        <v>0</v>
      </c>
      <c r="F680" s="499">
        <f t="shared" si="95"/>
        <v>2114.04</v>
      </c>
      <c r="G680" s="496">
        <v>42599</v>
      </c>
      <c r="H680" s="513">
        <v>500</v>
      </c>
      <c r="I680" s="498">
        <v>15.65</v>
      </c>
      <c r="J680" s="499">
        <v>0.17</v>
      </c>
      <c r="K680" s="499">
        <f t="shared" si="96"/>
        <v>7824.83</v>
      </c>
      <c r="L680" s="497"/>
      <c r="M680" s="499"/>
    </row>
    <row r="681" spans="1:13" ht="45" x14ac:dyDescent="0.25">
      <c r="A681" s="497"/>
      <c r="B681" s="545">
        <v>42594</v>
      </c>
      <c r="C681" s="497">
        <v>500</v>
      </c>
      <c r="D681" s="498">
        <v>14.65</v>
      </c>
      <c r="E681" s="499">
        <v>0</v>
      </c>
      <c r="F681" s="499">
        <f t="shared" si="95"/>
        <v>7325</v>
      </c>
      <c r="G681" s="616" t="s">
        <v>255</v>
      </c>
      <c r="H681" s="513">
        <v>500</v>
      </c>
      <c r="I681" s="498">
        <v>16.18</v>
      </c>
      <c r="J681" s="499">
        <v>0.18</v>
      </c>
      <c r="K681" s="499">
        <f t="shared" si="96"/>
        <v>8089.82</v>
      </c>
      <c r="L681" s="497"/>
      <c r="M681" s="499"/>
    </row>
    <row r="682" spans="1:13" x14ac:dyDescent="0.25">
      <c r="A682" s="497"/>
      <c r="B682" s="545">
        <v>42599</v>
      </c>
      <c r="C682" s="497">
        <v>242</v>
      </c>
      <c r="D682" s="498">
        <v>14.95</v>
      </c>
      <c r="E682" s="499">
        <v>0</v>
      </c>
      <c r="F682" s="499">
        <f t="shared" si="95"/>
        <v>3617.8999999999996</v>
      </c>
      <c r="G682" s="616"/>
      <c r="H682" s="513">
        <v>500</v>
      </c>
      <c r="I682" s="498">
        <v>16.38</v>
      </c>
      <c r="J682" s="499">
        <v>0.18</v>
      </c>
      <c r="K682" s="499">
        <f t="shared" si="96"/>
        <v>8189.8199999999988</v>
      </c>
      <c r="L682" s="497"/>
      <c r="M682" s="499"/>
    </row>
    <row r="683" spans="1:13" x14ac:dyDescent="0.25">
      <c r="A683" s="497"/>
      <c r="B683" s="545">
        <v>42599</v>
      </c>
      <c r="C683" s="497">
        <v>200</v>
      </c>
      <c r="D683" s="498">
        <v>14.95</v>
      </c>
      <c r="E683" s="499">
        <v>0</v>
      </c>
      <c r="F683" s="499">
        <f t="shared" si="95"/>
        <v>2990</v>
      </c>
      <c r="G683" s="616"/>
      <c r="H683" s="513">
        <v>178</v>
      </c>
      <c r="I683" s="498">
        <v>16.5</v>
      </c>
      <c r="J683" s="499">
        <v>0.06</v>
      </c>
      <c r="K683" s="499">
        <f t="shared" si="96"/>
        <v>2936.94</v>
      </c>
      <c r="L683" s="497"/>
      <c r="M683" s="499"/>
    </row>
    <row r="684" spans="1:13" x14ac:dyDescent="0.25">
      <c r="A684" s="497"/>
      <c r="B684" s="545">
        <v>42599</v>
      </c>
      <c r="C684" s="497">
        <v>36</v>
      </c>
      <c r="D684" s="498">
        <v>14.95</v>
      </c>
      <c r="E684" s="499">
        <v>0</v>
      </c>
      <c r="F684" s="499">
        <f t="shared" si="95"/>
        <v>538.19999999999993</v>
      </c>
      <c r="G684" s="616"/>
      <c r="H684" s="513">
        <v>500</v>
      </c>
      <c r="I684" s="498">
        <v>16.72</v>
      </c>
      <c r="J684" s="499">
        <v>0.18</v>
      </c>
      <c r="K684" s="499">
        <f t="shared" si="96"/>
        <v>8359.82</v>
      </c>
      <c r="L684" s="497"/>
      <c r="M684" s="499"/>
    </row>
    <row r="685" spans="1:13" x14ac:dyDescent="0.25">
      <c r="A685" s="497"/>
      <c r="B685" s="545">
        <v>42599</v>
      </c>
      <c r="C685" s="497">
        <v>22</v>
      </c>
      <c r="D685" s="498">
        <v>14.95</v>
      </c>
      <c r="E685" s="499">
        <v>0</v>
      </c>
      <c r="F685" s="499">
        <f t="shared" si="95"/>
        <v>328.9</v>
      </c>
      <c r="G685" s="496">
        <v>42601</v>
      </c>
      <c r="H685" s="513">
        <v>500</v>
      </c>
      <c r="I685" s="498">
        <v>16.82</v>
      </c>
      <c r="J685" s="499">
        <v>0.18</v>
      </c>
      <c r="K685" s="499">
        <f t="shared" si="96"/>
        <v>8409.82</v>
      </c>
      <c r="L685" s="497"/>
      <c r="M685" s="499"/>
    </row>
    <row r="686" spans="1:13" x14ac:dyDescent="0.25">
      <c r="A686" s="497"/>
      <c r="B686" s="545">
        <v>42604</v>
      </c>
      <c r="C686" s="497">
        <v>1000</v>
      </c>
      <c r="D686" s="498">
        <v>15.68</v>
      </c>
      <c r="E686" s="499">
        <v>0</v>
      </c>
      <c r="F686" s="499">
        <f t="shared" si="95"/>
        <v>15680</v>
      </c>
      <c r="G686" s="496">
        <v>42605</v>
      </c>
      <c r="H686" s="513">
        <v>500</v>
      </c>
      <c r="I686" s="498">
        <v>15.98</v>
      </c>
      <c r="J686" s="499">
        <v>0.17</v>
      </c>
      <c r="K686" s="499">
        <f t="shared" si="96"/>
        <v>7989.83</v>
      </c>
      <c r="L686" s="497"/>
      <c r="M686" s="499"/>
    </row>
    <row r="687" spans="1:13" x14ac:dyDescent="0.25">
      <c r="A687" s="497"/>
      <c r="B687" s="545">
        <v>42604</v>
      </c>
      <c r="C687" s="497">
        <v>500</v>
      </c>
      <c r="D687" s="498">
        <v>15.48</v>
      </c>
      <c r="E687" s="499">
        <v>0</v>
      </c>
      <c r="F687" s="499">
        <f t="shared" si="95"/>
        <v>7740</v>
      </c>
      <c r="G687" s="496">
        <v>42605</v>
      </c>
      <c r="H687" s="513">
        <v>500</v>
      </c>
      <c r="I687" s="498">
        <v>16.25</v>
      </c>
      <c r="J687" s="499">
        <v>0.18</v>
      </c>
      <c r="K687" s="499">
        <f t="shared" si="96"/>
        <v>8124.82</v>
      </c>
      <c r="L687" s="497"/>
      <c r="M687" s="499"/>
    </row>
    <row r="688" spans="1:13" x14ac:dyDescent="0.25">
      <c r="A688" s="497"/>
      <c r="B688" s="545">
        <v>42606</v>
      </c>
      <c r="C688" s="497">
        <v>178</v>
      </c>
      <c r="D688" s="498">
        <v>16.059999999999999</v>
      </c>
      <c r="E688" s="499">
        <v>0</v>
      </c>
      <c r="F688" s="499">
        <f t="shared" si="95"/>
        <v>2858.68</v>
      </c>
      <c r="G688" s="496">
        <v>42605</v>
      </c>
      <c r="H688" s="513">
        <v>500</v>
      </c>
      <c r="I688" s="498">
        <v>16.48</v>
      </c>
      <c r="J688" s="499">
        <v>0.18</v>
      </c>
      <c r="K688" s="499">
        <f t="shared" si="96"/>
        <v>8239.82</v>
      </c>
      <c r="L688" s="497"/>
      <c r="M688" s="499"/>
    </row>
    <row r="689" spans="1:13" x14ac:dyDescent="0.25">
      <c r="A689" s="497"/>
      <c r="B689" s="545">
        <v>42608</v>
      </c>
      <c r="C689" s="497">
        <v>500</v>
      </c>
      <c r="D689" s="498">
        <v>15.98</v>
      </c>
      <c r="E689" s="499">
        <v>0</v>
      </c>
      <c r="F689" s="499">
        <f t="shared" si="95"/>
        <v>7990</v>
      </c>
      <c r="G689" s="496">
        <v>42615</v>
      </c>
      <c r="H689" s="513">
        <v>500</v>
      </c>
      <c r="I689" s="498">
        <v>15.65</v>
      </c>
      <c r="J689" s="499">
        <v>0.17</v>
      </c>
      <c r="K689" s="499">
        <f t="shared" si="96"/>
        <v>7824.83</v>
      </c>
      <c r="L689" s="497"/>
      <c r="M689" s="499"/>
    </row>
    <row r="690" spans="1:13" ht="30" x14ac:dyDescent="0.25">
      <c r="A690" s="497"/>
      <c r="B690" s="545">
        <v>42608</v>
      </c>
      <c r="C690" s="497">
        <v>500</v>
      </c>
      <c r="D690" s="498">
        <v>15.85</v>
      </c>
      <c r="E690" s="499">
        <v>0</v>
      </c>
      <c r="F690" s="499">
        <f t="shared" si="95"/>
        <v>7925</v>
      </c>
      <c r="G690" s="496">
        <v>42621</v>
      </c>
      <c r="H690" s="513">
        <v>500</v>
      </c>
      <c r="I690" s="498">
        <v>16.72</v>
      </c>
      <c r="J690" s="499">
        <v>0.18</v>
      </c>
      <c r="K690" s="499">
        <f t="shared" si="96"/>
        <v>8359.82</v>
      </c>
      <c r="L690" s="617" t="s">
        <v>268</v>
      </c>
      <c r="M690" s="499"/>
    </row>
    <row r="691" spans="1:13" x14ac:dyDescent="0.25">
      <c r="A691" s="497"/>
      <c r="B691" s="545">
        <v>42612</v>
      </c>
      <c r="C691" s="497">
        <v>500</v>
      </c>
      <c r="D691" s="498">
        <v>15.68</v>
      </c>
      <c r="E691" s="499">
        <v>0</v>
      </c>
      <c r="F691" s="499">
        <f t="shared" si="95"/>
        <v>7840</v>
      </c>
      <c r="G691" s="496">
        <v>42621</v>
      </c>
      <c r="H691" s="513">
        <v>500</v>
      </c>
      <c r="I691" s="498">
        <v>16.28</v>
      </c>
      <c r="J691" s="499">
        <v>0.18</v>
      </c>
      <c r="K691" s="499">
        <f t="shared" si="96"/>
        <v>8139.8200000000006</v>
      </c>
      <c r="L691" s="617"/>
      <c r="M691" s="499"/>
    </row>
    <row r="692" spans="1:13" x14ac:dyDescent="0.25">
      <c r="A692" s="497"/>
      <c r="B692" s="545">
        <v>42612</v>
      </c>
      <c r="C692" s="497">
        <v>500</v>
      </c>
      <c r="D692" s="498">
        <v>15.55</v>
      </c>
      <c r="E692" s="499">
        <v>0</v>
      </c>
      <c r="F692" s="499">
        <f t="shared" si="95"/>
        <v>7775</v>
      </c>
      <c r="G692" s="496">
        <v>42621</v>
      </c>
      <c r="H692" s="513">
        <v>220</v>
      </c>
      <c r="I692" s="498">
        <v>16.77</v>
      </c>
      <c r="J692" s="499">
        <v>0.08</v>
      </c>
      <c r="K692" s="499">
        <f t="shared" si="96"/>
        <v>3689.32</v>
      </c>
      <c r="L692" s="617"/>
      <c r="M692" s="499"/>
    </row>
    <row r="693" spans="1:13" x14ac:dyDescent="0.25">
      <c r="A693" s="497"/>
      <c r="B693" s="545">
        <v>42613</v>
      </c>
      <c r="C693" s="497">
        <v>500</v>
      </c>
      <c r="D693" s="498">
        <v>15.244999999999999</v>
      </c>
      <c r="E693" s="499">
        <v>0</v>
      </c>
      <c r="F693" s="499">
        <f t="shared" si="95"/>
        <v>7622.5</v>
      </c>
      <c r="G693" s="496">
        <v>42625</v>
      </c>
      <c r="H693" s="513">
        <v>500</v>
      </c>
      <c r="I693" s="498">
        <v>15.5</v>
      </c>
      <c r="J693" s="499">
        <v>0.17</v>
      </c>
      <c r="K693" s="499">
        <f t="shared" si="96"/>
        <v>7749.83</v>
      </c>
      <c r="L693" s="497"/>
      <c r="M693" s="499"/>
    </row>
    <row r="694" spans="1:13" x14ac:dyDescent="0.25">
      <c r="A694" s="497"/>
      <c r="B694" s="545">
        <v>42613</v>
      </c>
      <c r="C694" s="497">
        <v>500</v>
      </c>
      <c r="D694" s="498">
        <v>15.08</v>
      </c>
      <c r="E694" s="499">
        <v>0</v>
      </c>
      <c r="F694" s="499">
        <f t="shared" si="95"/>
        <v>7540</v>
      </c>
      <c r="G694" s="496">
        <v>42628</v>
      </c>
      <c r="H694" s="513">
        <v>300</v>
      </c>
      <c r="I694" s="498">
        <v>14.46</v>
      </c>
      <c r="J694" s="499">
        <v>0.09</v>
      </c>
      <c r="K694" s="499">
        <f t="shared" si="96"/>
        <v>4337.91</v>
      </c>
      <c r="L694" s="497"/>
      <c r="M694" s="499"/>
    </row>
    <row r="695" spans="1:13" x14ac:dyDescent="0.25">
      <c r="A695" s="497"/>
      <c r="B695" s="545">
        <v>42622</v>
      </c>
      <c r="C695" s="497">
        <v>220</v>
      </c>
      <c r="D695" s="498">
        <v>16.25</v>
      </c>
      <c r="E695" s="499">
        <v>0</v>
      </c>
      <c r="F695" s="499">
        <f t="shared" si="95"/>
        <v>3575</v>
      </c>
      <c r="G695" s="496">
        <v>42634</v>
      </c>
      <c r="H695" s="513">
        <v>322</v>
      </c>
      <c r="I695" s="498">
        <v>14.28</v>
      </c>
      <c r="J695" s="499">
        <v>0.1</v>
      </c>
      <c r="K695" s="499">
        <f t="shared" si="96"/>
        <v>4598.0599999999995</v>
      </c>
      <c r="L695" s="497"/>
      <c r="M695" s="499"/>
    </row>
    <row r="696" spans="1:13" x14ac:dyDescent="0.25">
      <c r="A696" s="497"/>
      <c r="B696" s="545">
        <v>42622</v>
      </c>
      <c r="C696" s="497">
        <v>500</v>
      </c>
      <c r="D696" s="498">
        <v>15.98</v>
      </c>
      <c r="E696" s="499">
        <v>0</v>
      </c>
      <c r="F696" s="499">
        <f t="shared" si="95"/>
        <v>7990</v>
      </c>
      <c r="G696" s="496">
        <v>42634</v>
      </c>
      <c r="H696" s="513">
        <v>400</v>
      </c>
      <c r="I696" s="498">
        <v>14.64</v>
      </c>
      <c r="J696" s="499">
        <v>0.13</v>
      </c>
      <c r="K696" s="499">
        <f t="shared" si="96"/>
        <v>5855.87</v>
      </c>
      <c r="L696" s="497"/>
      <c r="M696" s="499"/>
    </row>
    <row r="697" spans="1:13" x14ac:dyDescent="0.25">
      <c r="A697" s="497"/>
      <c r="B697" s="545">
        <v>42622</v>
      </c>
      <c r="C697" s="497">
        <v>500</v>
      </c>
      <c r="D697" s="498">
        <v>15.75</v>
      </c>
      <c r="E697" s="499">
        <v>0</v>
      </c>
      <c r="F697" s="499">
        <f t="shared" si="95"/>
        <v>7875</v>
      </c>
      <c r="G697" s="496">
        <v>42639</v>
      </c>
      <c r="H697" s="513">
        <v>200</v>
      </c>
      <c r="I697" s="498">
        <v>14.72</v>
      </c>
      <c r="J697" s="499">
        <v>0.06</v>
      </c>
      <c r="K697" s="499">
        <f t="shared" si="96"/>
        <v>2943.94</v>
      </c>
      <c r="L697" s="497"/>
      <c r="M697" s="499"/>
    </row>
    <row r="698" spans="1:13" x14ac:dyDescent="0.25">
      <c r="A698" s="497"/>
      <c r="B698" s="545">
        <v>42625</v>
      </c>
      <c r="C698" s="497">
        <v>500</v>
      </c>
      <c r="D698" s="498">
        <v>15.22</v>
      </c>
      <c r="E698" s="499">
        <v>0</v>
      </c>
      <c r="F698" s="499">
        <f t="shared" si="95"/>
        <v>7610</v>
      </c>
      <c r="G698" s="496">
        <v>42641</v>
      </c>
      <c r="H698" s="513">
        <v>300</v>
      </c>
      <c r="I698" s="498">
        <v>15.28</v>
      </c>
      <c r="J698" s="499">
        <v>0.1</v>
      </c>
      <c r="K698" s="499">
        <f t="shared" si="96"/>
        <v>4583.8999999999996</v>
      </c>
      <c r="L698" s="497"/>
      <c r="M698" s="499"/>
    </row>
    <row r="699" spans="1:13" ht="30" x14ac:dyDescent="0.25">
      <c r="A699" s="599" t="s">
        <v>277</v>
      </c>
      <c r="B699" s="545">
        <v>42626</v>
      </c>
      <c r="C699" s="497">
        <v>600</v>
      </c>
      <c r="D699" s="498">
        <v>14.91</v>
      </c>
      <c r="E699" s="499">
        <v>-3</v>
      </c>
      <c r="F699" s="499">
        <f t="shared" si="95"/>
        <v>8943</v>
      </c>
      <c r="G699" s="496">
        <v>42641</v>
      </c>
      <c r="H699" s="513">
        <v>400</v>
      </c>
      <c r="I699" s="498">
        <v>15.06</v>
      </c>
      <c r="J699" s="499">
        <v>0.13</v>
      </c>
      <c r="K699" s="499">
        <f t="shared" si="96"/>
        <v>6023.87</v>
      </c>
      <c r="L699" s="497"/>
      <c r="M699" s="499"/>
    </row>
    <row r="700" spans="1:13" x14ac:dyDescent="0.25">
      <c r="A700" s="599"/>
      <c r="B700" s="545">
        <v>42626</v>
      </c>
      <c r="C700" s="497">
        <v>400</v>
      </c>
      <c r="D700" s="498">
        <v>14.75</v>
      </c>
      <c r="E700" s="499">
        <v>0</v>
      </c>
      <c r="F700" s="499">
        <f t="shared" si="95"/>
        <v>5900</v>
      </c>
      <c r="G700" s="496">
        <v>42641</v>
      </c>
      <c r="H700" s="513">
        <v>322</v>
      </c>
      <c r="I700" s="498">
        <v>14.39</v>
      </c>
      <c r="J700" s="499">
        <v>0.1</v>
      </c>
      <c r="K700" s="499">
        <f t="shared" si="96"/>
        <v>4633.4799999999996</v>
      </c>
      <c r="L700" s="497"/>
      <c r="M700" s="499"/>
    </row>
    <row r="701" spans="1:13" x14ac:dyDescent="0.25">
      <c r="A701" s="599"/>
      <c r="B701" s="545">
        <v>42626</v>
      </c>
      <c r="C701" s="497">
        <v>300</v>
      </c>
      <c r="D701" s="498">
        <v>14.48</v>
      </c>
      <c r="E701" s="499">
        <v>0</v>
      </c>
      <c r="F701" s="499">
        <f t="shared" si="95"/>
        <v>4344</v>
      </c>
      <c r="G701" s="496">
        <v>42641</v>
      </c>
      <c r="H701" s="513">
        <v>500</v>
      </c>
      <c r="I701" s="498">
        <v>14.26</v>
      </c>
      <c r="J701" s="499">
        <v>0.16</v>
      </c>
      <c r="K701" s="499">
        <f t="shared" si="96"/>
        <v>7129.84</v>
      </c>
      <c r="L701" s="497"/>
      <c r="M701" s="499"/>
    </row>
    <row r="702" spans="1:13" x14ac:dyDescent="0.25">
      <c r="A702" s="599"/>
      <c r="B702" s="545">
        <v>42626</v>
      </c>
      <c r="C702" s="497">
        <v>300</v>
      </c>
      <c r="D702" s="498">
        <v>14.25</v>
      </c>
      <c r="E702" s="499">
        <v>0</v>
      </c>
      <c r="F702" s="499">
        <f t="shared" si="95"/>
        <v>4275</v>
      </c>
      <c r="G702" s="496">
        <v>42642</v>
      </c>
      <c r="H702" s="513">
        <v>300</v>
      </c>
      <c r="I702" s="498">
        <v>15.28</v>
      </c>
      <c r="J702" s="499">
        <v>0.1</v>
      </c>
      <c r="K702" s="499">
        <f t="shared" si="96"/>
        <v>4583.8999999999996</v>
      </c>
      <c r="L702" s="497"/>
      <c r="M702" s="499"/>
    </row>
    <row r="703" spans="1:13" x14ac:dyDescent="0.25">
      <c r="A703" s="599"/>
      <c r="B703" s="545">
        <v>42627</v>
      </c>
      <c r="C703" s="497">
        <v>200</v>
      </c>
      <c r="D703" s="498">
        <v>14.02</v>
      </c>
      <c r="E703" s="499">
        <v>-1</v>
      </c>
      <c r="F703" s="499">
        <f t="shared" si="95"/>
        <v>2803</v>
      </c>
      <c r="G703" s="496">
        <v>42642</v>
      </c>
      <c r="H703" s="513">
        <v>700</v>
      </c>
      <c r="I703" s="498">
        <v>15.78</v>
      </c>
      <c r="J703" s="499">
        <v>0.24</v>
      </c>
      <c r="K703" s="499">
        <f t="shared" si="96"/>
        <v>11045.76</v>
      </c>
      <c r="L703" s="497"/>
      <c r="M703" s="499"/>
    </row>
    <row r="704" spans="1:13" x14ac:dyDescent="0.25">
      <c r="A704" s="497"/>
      <c r="B704" s="545">
        <v>42628</v>
      </c>
      <c r="C704" s="497">
        <v>300</v>
      </c>
      <c r="D704" s="498">
        <v>14.3</v>
      </c>
      <c r="E704" s="499">
        <v>0</v>
      </c>
      <c r="F704" s="499">
        <f t="shared" si="95"/>
        <v>4290</v>
      </c>
      <c r="G704" s="496">
        <v>42642</v>
      </c>
      <c r="H704" s="513">
        <v>214</v>
      </c>
      <c r="I704" s="498">
        <v>15.98</v>
      </c>
      <c r="J704" s="499">
        <v>7.0000000000000007E-2</v>
      </c>
      <c r="K704" s="499">
        <f t="shared" si="96"/>
        <v>3419.65</v>
      </c>
      <c r="L704" s="497"/>
      <c r="M704" s="499"/>
    </row>
    <row r="705" spans="1:13" x14ac:dyDescent="0.25">
      <c r="A705" s="497"/>
      <c r="B705" s="545">
        <v>42632</v>
      </c>
      <c r="C705" s="497">
        <v>200</v>
      </c>
      <c r="D705" s="498">
        <v>14.06</v>
      </c>
      <c r="E705" s="499">
        <v>0</v>
      </c>
      <c r="F705" s="499">
        <f t="shared" si="95"/>
        <v>2812</v>
      </c>
      <c r="G705" s="496">
        <v>42648</v>
      </c>
      <c r="H705" s="513">
        <v>1000</v>
      </c>
      <c r="I705" s="498">
        <v>16.079999999999998</v>
      </c>
      <c r="J705" s="499">
        <v>0.35</v>
      </c>
      <c r="K705" s="499">
        <f t="shared" si="96"/>
        <v>16079.649999999998</v>
      </c>
      <c r="L705" s="497"/>
      <c r="M705" s="499"/>
    </row>
    <row r="706" spans="1:13" x14ac:dyDescent="0.25">
      <c r="A706" s="497"/>
      <c r="B706" s="545">
        <v>42633</v>
      </c>
      <c r="C706" s="497">
        <v>200</v>
      </c>
      <c r="D706" s="498">
        <v>14.11</v>
      </c>
      <c r="E706" s="499">
        <v>0</v>
      </c>
      <c r="F706" s="499">
        <f t="shared" si="95"/>
        <v>2822</v>
      </c>
      <c r="G706" s="496">
        <v>42648</v>
      </c>
      <c r="H706" s="513">
        <v>500</v>
      </c>
      <c r="I706" s="498">
        <v>16.38</v>
      </c>
      <c r="J706" s="499">
        <v>0.18</v>
      </c>
      <c r="K706" s="499">
        <f t="shared" si="96"/>
        <v>8189.8199999999988</v>
      </c>
      <c r="L706" s="497"/>
      <c r="M706" s="499"/>
    </row>
    <row r="707" spans="1:13" x14ac:dyDescent="0.25">
      <c r="A707" s="497"/>
      <c r="B707" s="545">
        <v>42633</v>
      </c>
      <c r="C707" s="497">
        <v>122</v>
      </c>
      <c r="D707" s="498">
        <v>14.1</v>
      </c>
      <c r="E707" s="499">
        <v>0</v>
      </c>
      <c r="F707" s="499">
        <f t="shared" si="95"/>
        <v>1720.2</v>
      </c>
      <c r="G707" s="496">
        <v>42649</v>
      </c>
      <c r="H707" s="513">
        <v>500</v>
      </c>
      <c r="I707" s="498">
        <v>16.16</v>
      </c>
      <c r="J707" s="499">
        <v>0.18</v>
      </c>
      <c r="K707" s="499">
        <f t="shared" si="96"/>
        <v>8079.82</v>
      </c>
      <c r="L707" s="497"/>
      <c r="M707" s="499"/>
    </row>
    <row r="708" spans="1:13" x14ac:dyDescent="0.25">
      <c r="A708" s="497"/>
      <c r="B708" s="545">
        <v>42636</v>
      </c>
      <c r="C708" s="497">
        <v>200</v>
      </c>
      <c r="D708" s="498">
        <v>14.38</v>
      </c>
      <c r="E708" s="499">
        <v>0</v>
      </c>
      <c r="F708" s="499">
        <f t="shared" si="95"/>
        <v>2876</v>
      </c>
      <c r="G708" s="496">
        <v>42671</v>
      </c>
      <c r="H708" s="513">
        <v>1000</v>
      </c>
      <c r="I708" s="498">
        <v>14.22</v>
      </c>
      <c r="J708" s="499">
        <v>0.31</v>
      </c>
      <c r="K708" s="499">
        <f t="shared" si="96"/>
        <v>14219.69</v>
      </c>
      <c r="L708" s="497"/>
      <c r="M708" s="499"/>
    </row>
    <row r="709" spans="1:13" x14ac:dyDescent="0.25">
      <c r="A709" s="497"/>
      <c r="B709" s="545">
        <v>42639</v>
      </c>
      <c r="C709" s="497">
        <v>200</v>
      </c>
      <c r="D709" s="498">
        <v>14.5</v>
      </c>
      <c r="E709" s="499">
        <v>0</v>
      </c>
      <c r="F709" s="499">
        <f t="shared" ref="F709:F723" si="97">C709*D709+E709</f>
        <v>2900</v>
      </c>
      <c r="G709" s="496">
        <v>42674</v>
      </c>
      <c r="H709" s="513">
        <v>300</v>
      </c>
      <c r="I709" s="498">
        <v>13.42</v>
      </c>
      <c r="J709" s="499">
        <v>0.09</v>
      </c>
      <c r="K709" s="499">
        <f t="shared" si="96"/>
        <v>4025.91</v>
      </c>
      <c r="L709" s="497"/>
      <c r="M709" s="499"/>
    </row>
    <row r="710" spans="1:13" x14ac:dyDescent="0.25">
      <c r="A710" s="497"/>
      <c r="B710" s="545">
        <v>42639</v>
      </c>
      <c r="C710" s="497">
        <v>200</v>
      </c>
      <c r="D710" s="498">
        <v>14.38</v>
      </c>
      <c r="E710" s="499">
        <v>0</v>
      </c>
      <c r="F710" s="499">
        <f t="shared" si="97"/>
        <v>2876</v>
      </c>
      <c r="G710" s="496">
        <v>42674</v>
      </c>
      <c r="H710" s="513">
        <v>200</v>
      </c>
      <c r="I710" s="498">
        <v>13.25</v>
      </c>
      <c r="J710" s="499">
        <v>-0.74</v>
      </c>
      <c r="K710" s="499">
        <f t="shared" si="96"/>
        <v>2650.74</v>
      </c>
      <c r="L710" s="497"/>
      <c r="M710" s="499"/>
    </row>
    <row r="711" spans="1:13" x14ac:dyDescent="0.25">
      <c r="A711" s="497"/>
      <c r="B711" s="545">
        <v>42640</v>
      </c>
      <c r="C711" s="497">
        <v>322</v>
      </c>
      <c r="D711" s="498">
        <v>13.97</v>
      </c>
      <c r="E711" s="499">
        <v>0</v>
      </c>
      <c r="F711" s="499">
        <f t="shared" si="97"/>
        <v>4498.34</v>
      </c>
      <c r="G711" s="496">
        <v>42676</v>
      </c>
      <c r="H711" s="513">
        <v>200</v>
      </c>
      <c r="I711" s="498">
        <v>13.05</v>
      </c>
      <c r="J711" s="499">
        <v>0.06</v>
      </c>
      <c r="K711" s="499">
        <f t="shared" si="96"/>
        <v>2609.94</v>
      </c>
      <c r="L711" s="497"/>
      <c r="M711" s="499"/>
    </row>
    <row r="712" spans="1:13" x14ac:dyDescent="0.25">
      <c r="A712" s="497"/>
      <c r="B712" s="545">
        <v>42641</v>
      </c>
      <c r="C712" s="497">
        <v>300</v>
      </c>
      <c r="D712" s="498">
        <v>14.02</v>
      </c>
      <c r="E712" s="499">
        <v>-1.26</v>
      </c>
      <c r="F712" s="499">
        <f t="shared" si="97"/>
        <v>4204.74</v>
      </c>
      <c r="G712" s="496">
        <v>42677</v>
      </c>
      <c r="H712" s="513">
        <v>500</v>
      </c>
      <c r="I712" s="498">
        <v>13.96</v>
      </c>
      <c r="J712" s="499">
        <v>0.15</v>
      </c>
      <c r="K712" s="499">
        <f t="shared" si="96"/>
        <v>6979.85</v>
      </c>
      <c r="L712" s="497"/>
      <c r="M712" s="499"/>
    </row>
    <row r="713" spans="1:13" x14ac:dyDescent="0.25">
      <c r="A713" s="497"/>
      <c r="B713" s="545">
        <v>42641</v>
      </c>
      <c r="C713" s="497">
        <v>200</v>
      </c>
      <c r="D713" s="498">
        <v>14.17</v>
      </c>
      <c r="E713" s="499">
        <v>0</v>
      </c>
      <c r="F713" s="499">
        <f t="shared" si="97"/>
        <v>2834</v>
      </c>
      <c r="G713" s="496">
        <v>42677</v>
      </c>
      <c r="H713" s="513">
        <v>2000</v>
      </c>
      <c r="I713" s="498">
        <v>14.5</v>
      </c>
      <c r="J713" s="499">
        <v>0.63</v>
      </c>
      <c r="K713" s="499">
        <f t="shared" si="96"/>
        <v>28999.37</v>
      </c>
      <c r="L713" s="497"/>
      <c r="M713" s="499"/>
    </row>
    <row r="714" spans="1:13" x14ac:dyDescent="0.25">
      <c r="A714" s="497"/>
      <c r="B714" s="545">
        <v>42642</v>
      </c>
      <c r="C714" s="497">
        <v>414</v>
      </c>
      <c r="D714" s="498">
        <v>15.66</v>
      </c>
      <c r="E714" s="499">
        <v>0</v>
      </c>
      <c r="F714" s="499">
        <f t="shared" si="97"/>
        <v>6483.24</v>
      </c>
      <c r="G714" s="496">
        <v>42682</v>
      </c>
      <c r="H714" s="513">
        <v>1000</v>
      </c>
      <c r="I714" s="498">
        <v>14.28</v>
      </c>
      <c r="J714" s="499">
        <v>0.31</v>
      </c>
      <c r="K714" s="499">
        <f t="shared" si="96"/>
        <v>14279.69</v>
      </c>
      <c r="L714" s="497"/>
      <c r="M714" s="499"/>
    </row>
    <row r="715" spans="1:13" ht="30" x14ac:dyDescent="0.25">
      <c r="A715" s="599" t="s">
        <v>292</v>
      </c>
      <c r="B715" s="545">
        <v>42647</v>
      </c>
      <c r="C715" s="497">
        <v>500</v>
      </c>
      <c r="D715" s="498">
        <v>15.86</v>
      </c>
      <c r="E715" s="499">
        <v>0</v>
      </c>
      <c r="F715" s="499">
        <f t="shared" si="97"/>
        <v>7930</v>
      </c>
      <c r="G715" s="496">
        <v>42685</v>
      </c>
      <c r="H715" s="513">
        <v>500</v>
      </c>
      <c r="I715" s="498">
        <v>15.88</v>
      </c>
      <c r="J715" s="499">
        <v>0.17</v>
      </c>
      <c r="K715" s="499">
        <f t="shared" si="96"/>
        <v>7939.83</v>
      </c>
      <c r="L715" s="497"/>
      <c r="M715" s="499"/>
    </row>
    <row r="716" spans="1:13" x14ac:dyDescent="0.25">
      <c r="A716" s="599"/>
      <c r="B716" s="545">
        <v>42647</v>
      </c>
      <c r="C716" s="497">
        <v>500</v>
      </c>
      <c r="D716" s="498">
        <v>15.62</v>
      </c>
      <c r="E716" s="499">
        <v>0</v>
      </c>
      <c r="F716" s="499">
        <f t="shared" si="97"/>
        <v>7810</v>
      </c>
      <c r="G716" s="496">
        <v>42695</v>
      </c>
      <c r="H716" s="513">
        <v>2272</v>
      </c>
      <c r="I716" s="498">
        <v>16.28</v>
      </c>
      <c r="J716" s="499">
        <v>0.81</v>
      </c>
      <c r="K716" s="499">
        <f t="shared" si="96"/>
        <v>36987.350000000006</v>
      </c>
      <c r="L716" s="497"/>
      <c r="M716" s="499"/>
    </row>
    <row r="717" spans="1:13" x14ac:dyDescent="0.25">
      <c r="A717" s="599"/>
      <c r="B717" s="545">
        <v>42649</v>
      </c>
      <c r="C717" s="497">
        <v>500</v>
      </c>
      <c r="D717" s="498">
        <v>15.97</v>
      </c>
      <c r="E717" s="499">
        <v>0</v>
      </c>
      <c r="F717" s="499">
        <f t="shared" si="97"/>
        <v>7985</v>
      </c>
      <c r="G717" s="496">
        <v>42695</v>
      </c>
      <c r="H717" s="513">
        <v>500</v>
      </c>
      <c r="I717" s="498">
        <v>16.45</v>
      </c>
      <c r="J717" s="499">
        <v>0.18</v>
      </c>
      <c r="K717" s="499">
        <f t="shared" si="96"/>
        <v>8224.82</v>
      </c>
      <c r="L717" s="497"/>
      <c r="M717" s="499"/>
    </row>
    <row r="718" spans="1:13" x14ac:dyDescent="0.25">
      <c r="A718" s="599"/>
      <c r="B718" s="545">
        <v>42649</v>
      </c>
      <c r="C718" s="497">
        <v>500</v>
      </c>
      <c r="D718" s="498">
        <v>15.84</v>
      </c>
      <c r="E718" s="499">
        <v>0</v>
      </c>
      <c r="F718" s="499">
        <f t="shared" si="97"/>
        <v>7920</v>
      </c>
      <c r="G718" s="496">
        <v>42696</v>
      </c>
      <c r="H718" s="513">
        <v>500</v>
      </c>
      <c r="I718" s="498">
        <v>16.54</v>
      </c>
      <c r="J718" s="499">
        <v>0.18</v>
      </c>
      <c r="K718" s="499">
        <f t="shared" si="96"/>
        <v>8269.82</v>
      </c>
      <c r="L718" s="497"/>
      <c r="M718" s="499"/>
    </row>
    <row r="719" spans="1:13" x14ac:dyDescent="0.25">
      <c r="A719" s="497"/>
      <c r="B719" s="545">
        <v>42649</v>
      </c>
      <c r="C719" s="497">
        <v>500</v>
      </c>
      <c r="D719" s="498">
        <v>16.079999999999998</v>
      </c>
      <c r="E719" s="499">
        <v>0</v>
      </c>
      <c r="F719" s="499">
        <f t="shared" si="97"/>
        <v>8039.9999999999991</v>
      </c>
      <c r="G719" s="496">
        <v>42697</v>
      </c>
      <c r="H719" s="513">
        <v>200</v>
      </c>
      <c r="I719" s="498">
        <v>16.79</v>
      </c>
      <c r="J719" s="499">
        <v>7.0000000000000007E-2</v>
      </c>
      <c r="K719" s="499">
        <f t="shared" si="96"/>
        <v>3357.93</v>
      </c>
      <c r="L719" s="497"/>
      <c r="M719" s="499"/>
    </row>
    <row r="720" spans="1:13" x14ac:dyDescent="0.25">
      <c r="A720" s="497"/>
      <c r="B720" s="545">
        <v>42650</v>
      </c>
      <c r="C720" s="497">
        <v>300</v>
      </c>
      <c r="D720" s="498">
        <v>15.75</v>
      </c>
      <c r="E720" s="499">
        <v>0</v>
      </c>
      <c r="F720" s="499">
        <f t="shared" si="97"/>
        <v>4725</v>
      </c>
      <c r="G720" s="496">
        <v>42697</v>
      </c>
      <c r="H720" s="513">
        <v>500</v>
      </c>
      <c r="I720" s="498">
        <v>16.59</v>
      </c>
      <c r="J720" s="499">
        <v>0.18</v>
      </c>
      <c r="K720" s="499">
        <f t="shared" si="96"/>
        <v>8294.82</v>
      </c>
      <c r="L720" s="497"/>
      <c r="M720" s="499"/>
    </row>
    <row r="721" spans="1:13" x14ac:dyDescent="0.25">
      <c r="A721" s="497"/>
      <c r="B721" s="545">
        <v>42650</v>
      </c>
      <c r="C721" s="497">
        <v>300</v>
      </c>
      <c r="D721" s="498">
        <v>15.58</v>
      </c>
      <c r="E721" s="499">
        <v>0</v>
      </c>
      <c r="F721" s="499">
        <f t="shared" si="97"/>
        <v>4674</v>
      </c>
      <c r="G721" s="496">
        <v>42704</v>
      </c>
      <c r="H721" s="513">
        <v>1000</v>
      </c>
      <c r="I721" s="498">
        <v>16.420000000000002</v>
      </c>
      <c r="J721" s="499">
        <v>0.36</v>
      </c>
      <c r="K721" s="499">
        <f t="shared" si="96"/>
        <v>16419.64</v>
      </c>
      <c r="L721" s="497"/>
      <c r="M721" s="499"/>
    </row>
    <row r="722" spans="1:13" x14ac:dyDescent="0.25">
      <c r="A722" s="497"/>
      <c r="B722" s="545">
        <v>42653</v>
      </c>
      <c r="C722" s="497">
        <v>394</v>
      </c>
      <c r="D722" s="498">
        <v>15.72</v>
      </c>
      <c r="E722" s="499">
        <v>0</v>
      </c>
      <c r="F722" s="499">
        <f t="shared" si="97"/>
        <v>6193.68</v>
      </c>
      <c r="G722" s="496">
        <v>42704</v>
      </c>
      <c r="H722" s="513">
        <v>300</v>
      </c>
      <c r="I722" s="498">
        <v>16.78</v>
      </c>
      <c r="J722" s="499">
        <v>1.61</v>
      </c>
      <c r="K722" s="499">
        <f t="shared" si="96"/>
        <v>5032.3900000000003</v>
      </c>
      <c r="L722" s="497"/>
      <c r="M722" s="499"/>
    </row>
    <row r="723" spans="1:13" x14ac:dyDescent="0.25">
      <c r="A723" s="497"/>
      <c r="B723" s="545">
        <v>42653</v>
      </c>
      <c r="C723" s="497">
        <v>6</v>
      </c>
      <c r="D723" s="498">
        <v>15.72</v>
      </c>
      <c r="E723" s="499">
        <v>0</v>
      </c>
      <c r="F723" s="499">
        <f t="shared" si="97"/>
        <v>94.320000000000007</v>
      </c>
      <c r="G723" s="496">
        <v>42704</v>
      </c>
      <c r="H723" s="513">
        <v>1000</v>
      </c>
      <c r="I723" s="498">
        <v>17.079999999999998</v>
      </c>
      <c r="J723" s="499">
        <v>0.37</v>
      </c>
      <c r="K723" s="499">
        <f t="shared" si="96"/>
        <v>17079.63</v>
      </c>
      <c r="L723" s="497"/>
      <c r="M723" s="499"/>
    </row>
    <row r="724" spans="1:13" x14ac:dyDescent="0.25">
      <c r="A724" s="497"/>
      <c r="B724" s="545">
        <v>42655</v>
      </c>
      <c r="C724" s="497">
        <v>22</v>
      </c>
      <c r="D724" s="498">
        <v>15.48</v>
      </c>
      <c r="E724" s="499">
        <v>0</v>
      </c>
      <c r="F724" s="499">
        <f>C724*D724+E724</f>
        <v>340.56</v>
      </c>
      <c r="G724" s="496">
        <v>42704</v>
      </c>
      <c r="H724" s="513">
        <v>1000</v>
      </c>
      <c r="I724" s="498">
        <v>17.32</v>
      </c>
      <c r="J724" s="499">
        <v>0.38</v>
      </c>
      <c r="K724" s="499">
        <f t="shared" si="96"/>
        <v>17319.62</v>
      </c>
      <c r="L724" s="497"/>
      <c r="M724" s="499"/>
    </row>
    <row r="725" spans="1:13" x14ac:dyDescent="0.25">
      <c r="A725" s="497"/>
      <c r="B725" s="545">
        <v>42655</v>
      </c>
      <c r="C725" s="497">
        <v>300</v>
      </c>
      <c r="D725" s="498">
        <v>15.48</v>
      </c>
      <c r="E725" s="499">
        <v>0</v>
      </c>
      <c r="F725" s="499">
        <f>C725*D725+E725</f>
        <v>4644</v>
      </c>
      <c r="G725" s="496">
        <v>42704</v>
      </c>
      <c r="H725" s="513">
        <v>500</v>
      </c>
      <c r="I725" s="498">
        <v>17.64</v>
      </c>
      <c r="J725" s="499">
        <v>0.19</v>
      </c>
      <c r="K725" s="499">
        <f t="shared" si="96"/>
        <v>8819.81</v>
      </c>
      <c r="L725" s="497"/>
      <c r="M725" s="499"/>
    </row>
    <row r="726" spans="1:13" x14ac:dyDescent="0.25">
      <c r="A726" s="600"/>
      <c r="B726" s="545">
        <v>42668</v>
      </c>
      <c r="C726" s="497">
        <v>500</v>
      </c>
      <c r="D726" s="498">
        <v>14.26</v>
      </c>
      <c r="E726" s="499">
        <v>-2.5</v>
      </c>
      <c r="F726" s="499">
        <f t="shared" ref="F726:F735" si="98">C726*D726+E726</f>
        <v>7127.5</v>
      </c>
      <c r="G726" s="496">
        <v>42705</v>
      </c>
      <c r="H726" s="513">
        <v>528</v>
      </c>
      <c r="I726" s="498">
        <v>18.7</v>
      </c>
      <c r="J726" s="499">
        <v>0.22</v>
      </c>
      <c r="K726" s="499">
        <f t="shared" si="96"/>
        <v>9873.380000000001</v>
      </c>
      <c r="L726" s="497"/>
      <c r="M726" s="499"/>
    </row>
    <row r="727" spans="1:13" x14ac:dyDescent="0.25">
      <c r="A727" s="600"/>
      <c r="B727" s="545">
        <v>42668</v>
      </c>
      <c r="C727" s="497">
        <v>500</v>
      </c>
      <c r="D727" s="498">
        <v>14.16</v>
      </c>
      <c r="E727" s="499">
        <v>0</v>
      </c>
      <c r="F727" s="499">
        <f t="shared" si="98"/>
        <v>7080</v>
      </c>
      <c r="G727" s="496">
        <v>42711</v>
      </c>
      <c r="H727" s="513">
        <v>500</v>
      </c>
      <c r="I727" s="498">
        <v>18.329999999999998</v>
      </c>
      <c r="J727" s="499">
        <v>0.2</v>
      </c>
      <c r="K727" s="499">
        <f t="shared" si="96"/>
        <v>9164.7999999999993</v>
      </c>
      <c r="L727" s="497"/>
      <c r="M727" s="499"/>
    </row>
    <row r="728" spans="1:13" x14ac:dyDescent="0.25">
      <c r="A728" s="600"/>
      <c r="B728" s="545">
        <v>42670</v>
      </c>
      <c r="C728" s="497">
        <v>500</v>
      </c>
      <c r="D728" s="498">
        <v>14.18</v>
      </c>
      <c r="E728" s="499">
        <v>0</v>
      </c>
      <c r="F728" s="499">
        <f t="shared" si="98"/>
        <v>7090</v>
      </c>
      <c r="G728" s="496">
        <v>42713</v>
      </c>
      <c r="H728" s="513">
        <v>500</v>
      </c>
      <c r="I728" s="498">
        <v>18.28</v>
      </c>
      <c r="J728" s="499">
        <v>0.2</v>
      </c>
      <c r="K728" s="499">
        <f t="shared" si="96"/>
        <v>9139.7999999999993</v>
      </c>
      <c r="L728" s="497"/>
      <c r="M728" s="499"/>
    </row>
    <row r="729" spans="1:13" x14ac:dyDescent="0.25">
      <c r="A729" s="600"/>
      <c r="B729" s="545">
        <v>42670</v>
      </c>
      <c r="C729" s="497">
        <v>500</v>
      </c>
      <c r="D729" s="498">
        <v>14.05</v>
      </c>
      <c r="E729" s="499">
        <v>0</v>
      </c>
      <c r="F729" s="499">
        <f t="shared" si="98"/>
        <v>7025</v>
      </c>
      <c r="G729" s="496">
        <v>42718</v>
      </c>
      <c r="H729" s="513">
        <v>200</v>
      </c>
      <c r="I729" s="498">
        <v>18.78</v>
      </c>
      <c r="J729" s="499">
        <v>0.08</v>
      </c>
      <c r="K729" s="499">
        <f t="shared" si="96"/>
        <v>3755.92</v>
      </c>
      <c r="L729" s="497"/>
      <c r="M729" s="499"/>
    </row>
    <row r="730" spans="1:13" x14ac:dyDescent="0.25">
      <c r="A730" s="600"/>
      <c r="B730" s="545">
        <v>42670</v>
      </c>
      <c r="C730" s="497">
        <v>500</v>
      </c>
      <c r="D730" s="498">
        <v>13.88</v>
      </c>
      <c r="E730" s="499">
        <v>0</v>
      </c>
      <c r="F730" s="499">
        <f t="shared" si="98"/>
        <v>6940</v>
      </c>
      <c r="G730" s="496">
        <v>42734</v>
      </c>
      <c r="H730" s="513">
        <v>1000</v>
      </c>
      <c r="I730" s="498">
        <v>17.72</v>
      </c>
      <c r="J730" s="499">
        <v>0.39</v>
      </c>
      <c r="K730" s="499">
        <f t="shared" si="96"/>
        <v>17719.61</v>
      </c>
      <c r="L730" s="497"/>
      <c r="M730" s="499"/>
    </row>
    <row r="731" spans="1:13" x14ac:dyDescent="0.25">
      <c r="A731" s="497"/>
      <c r="B731" s="545">
        <v>42671</v>
      </c>
      <c r="C731" s="497">
        <v>1000</v>
      </c>
      <c r="D731" s="498">
        <v>14.15</v>
      </c>
      <c r="E731" s="499">
        <v>0</v>
      </c>
      <c r="F731" s="499">
        <f t="shared" si="98"/>
        <v>14150</v>
      </c>
      <c r="G731" s="496">
        <v>42739</v>
      </c>
      <c r="H731" s="513">
        <v>500</v>
      </c>
      <c r="I731" s="498">
        <v>18.079999999999998</v>
      </c>
      <c r="J731" s="499">
        <v>0.2</v>
      </c>
      <c r="K731" s="499">
        <f t="shared" si="96"/>
        <v>9039.7999999999993</v>
      </c>
      <c r="L731" s="497"/>
      <c r="M731" s="499"/>
    </row>
    <row r="732" spans="1:13" x14ac:dyDescent="0.25">
      <c r="A732" s="497"/>
      <c r="B732" s="545">
        <v>42674</v>
      </c>
      <c r="C732" s="497">
        <v>300</v>
      </c>
      <c r="D732" s="498">
        <v>13.28</v>
      </c>
      <c r="E732" s="499">
        <v>-1.5</v>
      </c>
      <c r="F732" s="499">
        <f t="shared" si="98"/>
        <v>3982.5</v>
      </c>
      <c r="G732" s="496">
        <v>42748</v>
      </c>
      <c r="H732" s="513">
        <v>500</v>
      </c>
      <c r="I732" s="498">
        <v>17.48</v>
      </c>
      <c r="J732" s="499">
        <v>0.19</v>
      </c>
      <c r="K732" s="499">
        <f t="shared" si="96"/>
        <v>8739.81</v>
      </c>
      <c r="L732" s="497"/>
      <c r="M732" s="499"/>
    </row>
    <row r="733" spans="1:13" x14ac:dyDescent="0.25">
      <c r="A733" s="497"/>
      <c r="B733" s="545">
        <v>42674</v>
      </c>
      <c r="C733" s="497">
        <v>200</v>
      </c>
      <c r="D733" s="498">
        <v>13.15</v>
      </c>
      <c r="E733" s="499">
        <v>0.02</v>
      </c>
      <c r="F733" s="499">
        <f t="shared" si="98"/>
        <v>2630.02</v>
      </c>
      <c r="G733" s="496">
        <v>42761</v>
      </c>
      <c r="H733" s="513">
        <v>1000</v>
      </c>
      <c r="I733" s="498">
        <v>17.899999999999999</v>
      </c>
      <c r="J733" s="499">
        <v>0.39</v>
      </c>
      <c r="K733" s="499">
        <f t="shared" si="96"/>
        <v>17899.61</v>
      </c>
      <c r="L733" s="497"/>
      <c r="M733" s="499"/>
    </row>
    <row r="734" spans="1:13" x14ac:dyDescent="0.25">
      <c r="A734" s="497"/>
      <c r="B734" s="545">
        <v>42676</v>
      </c>
      <c r="C734" s="497">
        <v>200</v>
      </c>
      <c r="D734" s="498">
        <v>12.89</v>
      </c>
      <c r="E734" s="499">
        <v>0</v>
      </c>
      <c r="F734" s="499">
        <f t="shared" si="98"/>
        <v>2578</v>
      </c>
      <c r="G734" s="496">
        <v>42766</v>
      </c>
      <c r="H734" s="513">
        <v>300</v>
      </c>
      <c r="I734" s="498">
        <v>16.649999999999999</v>
      </c>
      <c r="J734" s="499">
        <v>0.11</v>
      </c>
      <c r="K734" s="499">
        <f t="shared" si="96"/>
        <v>4994.8900000000003</v>
      </c>
      <c r="L734" s="497"/>
      <c r="M734" s="499"/>
    </row>
    <row r="735" spans="1:13" x14ac:dyDescent="0.25">
      <c r="A735" s="497"/>
      <c r="B735" s="545">
        <v>42678</v>
      </c>
      <c r="C735" s="497">
        <v>500</v>
      </c>
      <c r="D735" s="498">
        <v>13.69</v>
      </c>
      <c r="E735" s="499">
        <v>0</v>
      </c>
      <c r="F735" s="499">
        <f t="shared" si="98"/>
        <v>6845</v>
      </c>
      <c r="G735" s="496">
        <v>42767</v>
      </c>
      <c r="H735" s="513">
        <v>612</v>
      </c>
      <c r="I735" s="498">
        <v>17.03</v>
      </c>
      <c r="J735" s="499">
        <v>0.23</v>
      </c>
      <c r="K735" s="499">
        <f t="shared" si="96"/>
        <v>10422.130000000001</v>
      </c>
      <c r="L735" s="497"/>
      <c r="M735" s="499"/>
    </row>
    <row r="736" spans="1:13" x14ac:dyDescent="0.25">
      <c r="A736" s="497"/>
      <c r="B736" s="545">
        <v>42678</v>
      </c>
      <c r="C736" s="497">
        <v>500</v>
      </c>
      <c r="D736" s="498">
        <v>13.69</v>
      </c>
      <c r="E736" s="499">
        <v>0</v>
      </c>
      <c r="F736" s="499">
        <f>C736*D736+E736</f>
        <v>6845</v>
      </c>
      <c r="G736" s="496">
        <v>42767</v>
      </c>
      <c r="H736" s="513">
        <v>288</v>
      </c>
      <c r="I736" s="498">
        <v>17.12</v>
      </c>
      <c r="J736" s="499">
        <v>0.11</v>
      </c>
      <c r="K736" s="499">
        <f t="shared" si="96"/>
        <v>4930.4500000000007</v>
      </c>
      <c r="L736" s="497"/>
      <c r="M736" s="499"/>
    </row>
    <row r="737" spans="1:13" x14ac:dyDescent="0.25">
      <c r="A737" s="497"/>
      <c r="B737" s="545">
        <v>42691</v>
      </c>
      <c r="C737" s="497">
        <v>150</v>
      </c>
      <c r="D737" s="498">
        <v>15.48</v>
      </c>
      <c r="E737" s="499">
        <v>0</v>
      </c>
      <c r="F737" s="499">
        <f t="shared" ref="F737:F753" si="99">C737*D737+E737</f>
        <v>2322</v>
      </c>
      <c r="G737" s="496">
        <v>42767</v>
      </c>
      <c r="H737" s="513">
        <v>700</v>
      </c>
      <c r="I737" s="498">
        <v>16.57</v>
      </c>
      <c r="J737" s="499">
        <v>0.25</v>
      </c>
      <c r="K737" s="499">
        <f t="shared" si="96"/>
        <v>11598.75</v>
      </c>
      <c r="L737" s="497"/>
      <c r="M737" s="499"/>
    </row>
    <row r="738" spans="1:13" x14ac:dyDescent="0.25">
      <c r="A738" s="497"/>
      <c r="B738" s="545">
        <v>42691</v>
      </c>
      <c r="C738" s="497">
        <v>300</v>
      </c>
      <c r="D738" s="498">
        <v>15.48</v>
      </c>
      <c r="E738" s="499">
        <v>0</v>
      </c>
      <c r="F738" s="499">
        <f t="shared" si="99"/>
        <v>4644</v>
      </c>
      <c r="G738" s="496">
        <v>42768</v>
      </c>
      <c r="H738" s="513">
        <v>200</v>
      </c>
      <c r="I738" s="498">
        <v>16.7</v>
      </c>
      <c r="J738" s="499">
        <v>7.0000000000000007E-2</v>
      </c>
      <c r="K738" s="499">
        <f t="shared" si="96"/>
        <v>3339.93</v>
      </c>
      <c r="L738" s="497"/>
      <c r="M738" s="499"/>
    </row>
    <row r="739" spans="1:13" x14ac:dyDescent="0.25">
      <c r="A739" s="497"/>
      <c r="B739" s="545">
        <v>42696</v>
      </c>
      <c r="C739" s="497">
        <v>1000</v>
      </c>
      <c r="D739" s="498">
        <v>16.12</v>
      </c>
      <c r="E739" s="499">
        <v>0</v>
      </c>
      <c r="F739" s="499">
        <f t="shared" si="99"/>
        <v>16120.000000000002</v>
      </c>
      <c r="G739" s="496">
        <v>42768</v>
      </c>
      <c r="H739" s="513">
        <v>500</v>
      </c>
      <c r="I739" s="498">
        <v>16.600000000000001</v>
      </c>
      <c r="J739" s="499">
        <v>-1.82</v>
      </c>
      <c r="K739" s="499">
        <f t="shared" si="96"/>
        <v>8301.82</v>
      </c>
      <c r="L739" s="497"/>
      <c r="M739" s="499"/>
    </row>
    <row r="740" spans="1:13" x14ac:dyDescent="0.25">
      <c r="A740" s="497"/>
      <c r="B740" s="545">
        <v>42699</v>
      </c>
      <c r="C740" s="497">
        <v>200</v>
      </c>
      <c r="D740" s="498">
        <v>16.28</v>
      </c>
      <c r="E740" s="499">
        <v>0</v>
      </c>
      <c r="F740" s="499">
        <f t="shared" si="99"/>
        <v>3256</v>
      </c>
      <c r="G740" s="496">
        <v>42768</v>
      </c>
      <c r="H740" s="513">
        <v>500</v>
      </c>
      <c r="I740" s="498">
        <v>16.75</v>
      </c>
      <c r="J740" s="499">
        <v>0.18</v>
      </c>
      <c r="K740" s="499">
        <f t="shared" si="96"/>
        <v>8374.82</v>
      </c>
      <c r="L740" s="497"/>
      <c r="M740" s="499"/>
    </row>
    <row r="741" spans="1:13" x14ac:dyDescent="0.25">
      <c r="A741" s="600"/>
      <c r="B741" s="545">
        <v>42699</v>
      </c>
      <c r="C741" s="497">
        <v>500</v>
      </c>
      <c r="D741" s="498">
        <v>16.16</v>
      </c>
      <c r="E741" s="499">
        <v>0</v>
      </c>
      <c r="F741" s="499">
        <f t="shared" si="99"/>
        <v>8080</v>
      </c>
      <c r="G741" s="496">
        <v>42769</v>
      </c>
      <c r="H741" s="601">
        <v>400</v>
      </c>
      <c r="I741" s="602">
        <v>16.95</v>
      </c>
      <c r="J741" s="603">
        <v>0.15</v>
      </c>
      <c r="K741" s="603">
        <f t="shared" si="96"/>
        <v>6779.85</v>
      </c>
      <c r="L741" s="497"/>
      <c r="M741" s="499"/>
    </row>
    <row r="742" spans="1:13" x14ac:dyDescent="0.25">
      <c r="A742" s="600"/>
      <c r="B742" s="545">
        <v>42702</v>
      </c>
      <c r="C742" s="497">
        <v>500</v>
      </c>
      <c r="D742" s="498">
        <v>16.059999999999999</v>
      </c>
      <c r="E742" s="499">
        <v>0</v>
      </c>
      <c r="F742" s="499">
        <f t="shared" si="99"/>
        <v>8029.9999999999991</v>
      </c>
      <c r="G742" s="496">
        <v>42769</v>
      </c>
      <c r="H742" s="601">
        <v>300</v>
      </c>
      <c r="I742" s="602">
        <v>17.32</v>
      </c>
      <c r="J742" s="603">
        <v>0.11</v>
      </c>
      <c r="K742" s="603">
        <f t="shared" si="96"/>
        <v>5195.8900000000003</v>
      </c>
      <c r="L742" s="497"/>
      <c r="M742" s="499"/>
    </row>
    <row r="743" spans="1:13" x14ac:dyDescent="0.25">
      <c r="A743" s="600"/>
      <c r="B743" s="545">
        <v>42702</v>
      </c>
      <c r="C743" s="497">
        <v>200</v>
      </c>
      <c r="D743" s="498">
        <v>15.8</v>
      </c>
      <c r="E743" s="499">
        <v>0</v>
      </c>
      <c r="F743" s="499">
        <f t="shared" si="99"/>
        <v>3160</v>
      </c>
      <c r="G743" s="496">
        <v>42781</v>
      </c>
      <c r="H743" s="513">
        <v>600</v>
      </c>
      <c r="I743" s="498">
        <v>16.52</v>
      </c>
      <c r="J743" s="499">
        <v>0.22</v>
      </c>
      <c r="K743" s="499">
        <f t="shared" si="96"/>
        <v>9911.7800000000007</v>
      </c>
      <c r="L743" s="497"/>
      <c r="M743" s="499"/>
    </row>
    <row r="744" spans="1:13" x14ac:dyDescent="0.25">
      <c r="A744" s="600"/>
      <c r="B744" s="545">
        <v>42702</v>
      </c>
      <c r="C744" s="497">
        <v>300</v>
      </c>
      <c r="D744" s="498">
        <v>15.65</v>
      </c>
      <c r="E744" s="499">
        <v>0</v>
      </c>
      <c r="F744" s="499">
        <f t="shared" si="99"/>
        <v>4695</v>
      </c>
      <c r="G744" s="496">
        <v>42781</v>
      </c>
      <c r="H744" s="513">
        <v>300</v>
      </c>
      <c r="I744" s="498">
        <v>16.440000000000001</v>
      </c>
      <c r="J744" s="499">
        <v>0.11</v>
      </c>
      <c r="K744" s="499">
        <f t="shared" si="96"/>
        <v>4931.8900000000003</v>
      </c>
      <c r="L744" s="497"/>
      <c r="M744" s="499"/>
    </row>
    <row r="745" spans="1:13" x14ac:dyDescent="0.25">
      <c r="A745" s="497"/>
      <c r="B745" s="545">
        <v>42703</v>
      </c>
      <c r="C745" s="497">
        <v>300</v>
      </c>
      <c r="D745" s="498">
        <v>14.78</v>
      </c>
      <c r="E745" s="499">
        <v>0</v>
      </c>
      <c r="F745" s="499">
        <f t="shared" si="99"/>
        <v>4434</v>
      </c>
      <c r="G745" s="496">
        <v>42782</v>
      </c>
      <c r="H745" s="513">
        <v>300</v>
      </c>
      <c r="I745" s="498">
        <v>17</v>
      </c>
      <c r="J745" s="499">
        <v>0.11</v>
      </c>
      <c r="K745" s="499">
        <f t="shared" si="96"/>
        <v>5099.8900000000003</v>
      </c>
      <c r="L745" s="497"/>
      <c r="M745" s="499"/>
    </row>
    <row r="746" spans="1:13" x14ac:dyDescent="0.25">
      <c r="A746" s="497"/>
      <c r="B746" s="545">
        <v>42705</v>
      </c>
      <c r="C746" s="497">
        <v>350</v>
      </c>
      <c r="D746" s="498">
        <v>17.600000000000001</v>
      </c>
      <c r="E746" s="499">
        <v>0</v>
      </c>
      <c r="F746" s="499">
        <f t="shared" si="99"/>
        <v>6160.0000000000009</v>
      </c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>
        <v>42711</v>
      </c>
      <c r="C747" s="497">
        <v>500</v>
      </c>
      <c r="D747" s="498">
        <v>18.12</v>
      </c>
      <c r="E747" s="499">
        <v>0</v>
      </c>
      <c r="F747" s="499">
        <f t="shared" si="99"/>
        <v>9060</v>
      </c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>
        <v>42713</v>
      </c>
      <c r="C748" s="497">
        <v>500</v>
      </c>
      <c r="D748" s="498">
        <v>18.12</v>
      </c>
      <c r="E748" s="499">
        <v>0</v>
      </c>
      <c r="F748" s="499">
        <f t="shared" si="99"/>
        <v>9060</v>
      </c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>
        <v>42718</v>
      </c>
      <c r="C749" s="497">
        <v>200</v>
      </c>
      <c r="D749" s="498">
        <v>18.73</v>
      </c>
      <c r="E749" s="499">
        <v>-1</v>
      </c>
      <c r="F749" s="499">
        <f t="shared" si="99"/>
        <v>3745</v>
      </c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>
        <v>42733</v>
      </c>
      <c r="C750" s="497">
        <v>1000</v>
      </c>
      <c r="D750" s="498">
        <v>17.64</v>
      </c>
      <c r="E750" s="499">
        <v>-1.5</v>
      </c>
      <c r="F750" s="499">
        <f t="shared" si="99"/>
        <v>17638.5</v>
      </c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>
        <v>42734</v>
      </c>
      <c r="C751" s="497">
        <v>1000</v>
      </c>
      <c r="D751" s="498">
        <v>17.329999999999998</v>
      </c>
      <c r="E751" s="499">
        <v>0</v>
      </c>
      <c r="F751" s="499">
        <f t="shared" si="99"/>
        <v>17330</v>
      </c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>
        <v>42741</v>
      </c>
      <c r="C752" s="497">
        <v>500</v>
      </c>
      <c r="D752" s="498">
        <v>17.88</v>
      </c>
      <c r="E752" s="499">
        <v>0</v>
      </c>
      <c r="F752" s="499">
        <f t="shared" si="99"/>
        <v>8940</v>
      </c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>
        <v>42748</v>
      </c>
      <c r="C753" s="497">
        <v>500</v>
      </c>
      <c r="D753" s="498">
        <v>17.260000000000002</v>
      </c>
      <c r="E753" s="499">
        <v>0</v>
      </c>
      <c r="F753" s="499">
        <f t="shared" si="99"/>
        <v>8630</v>
      </c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599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599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599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599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497"/>
      <c r="B761" s="545"/>
      <c r="C761" s="497"/>
      <c r="D761" s="498"/>
      <c r="E761" s="499"/>
      <c r="F761" s="499"/>
      <c r="G761" s="497"/>
      <c r="H761" s="513"/>
      <c r="I761" s="498"/>
      <c r="J761" s="499"/>
      <c r="K761" s="499"/>
      <c r="L761" s="497"/>
      <c r="M761" s="499"/>
    </row>
    <row r="762" spans="1:13" x14ac:dyDescent="0.25">
      <c r="A762" s="497"/>
      <c r="B762" s="545"/>
      <c r="C762" s="497"/>
      <c r="D762" s="498"/>
      <c r="E762" s="499"/>
      <c r="F762" s="499"/>
      <c r="G762" s="497"/>
      <c r="H762" s="513"/>
      <c r="I762" s="498"/>
      <c r="J762" s="499"/>
      <c r="K762" s="499"/>
      <c r="L762" s="497"/>
      <c r="M762" s="499"/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  <row r="764" spans="1:13" x14ac:dyDescent="0.25">
      <c r="A764" s="497"/>
      <c r="B764" s="545"/>
      <c r="C764" s="497"/>
      <c r="D764" s="498"/>
      <c r="E764" s="499"/>
      <c r="F764" s="499"/>
      <c r="G764" s="497"/>
      <c r="H764" s="513"/>
      <c r="I764" s="498"/>
      <c r="J764" s="499"/>
      <c r="K764" s="499"/>
      <c r="L764" s="497"/>
      <c r="M764" s="499"/>
    </row>
    <row r="765" spans="1:13" x14ac:dyDescent="0.25">
      <c r="A765" s="497"/>
      <c r="B765" s="545"/>
      <c r="C765" s="497"/>
      <c r="D765" s="498"/>
      <c r="E765" s="499"/>
      <c r="F765" s="499"/>
      <c r="G765" s="497"/>
      <c r="H765" s="513"/>
      <c r="I765" s="498"/>
      <c r="J765" s="499"/>
      <c r="K765" s="499"/>
      <c r="L765" s="497"/>
      <c r="M765" s="499"/>
    </row>
    <row r="766" spans="1:13" x14ac:dyDescent="0.25">
      <c r="A766" s="497"/>
      <c r="B766" s="545"/>
      <c r="C766" s="497"/>
      <c r="D766" s="498"/>
      <c r="E766" s="499"/>
      <c r="F766" s="499"/>
      <c r="G766" s="497"/>
      <c r="H766" s="513"/>
      <c r="I766" s="498"/>
      <c r="J766" s="499"/>
      <c r="K766" s="499"/>
      <c r="L766" s="497"/>
      <c r="M766" s="499"/>
    </row>
    <row r="767" spans="1:13" x14ac:dyDescent="0.25">
      <c r="A767" s="497"/>
      <c r="B767" s="545"/>
      <c r="C767" s="497"/>
      <c r="D767" s="498"/>
      <c r="E767" s="499"/>
      <c r="F767" s="499"/>
      <c r="G767" s="497"/>
      <c r="H767" s="513"/>
      <c r="I767" s="498"/>
      <c r="J767" s="499"/>
      <c r="K767" s="499"/>
      <c r="L767" s="497"/>
      <c r="M767" s="499"/>
    </row>
    <row r="768" spans="1:13" x14ac:dyDescent="0.25">
      <c r="A768" s="497"/>
      <c r="B768" s="545"/>
      <c r="C768" s="497"/>
      <c r="D768" s="498"/>
      <c r="E768" s="499"/>
      <c r="F768" s="499"/>
      <c r="G768" s="497"/>
      <c r="H768" s="513"/>
      <c r="I768" s="498"/>
      <c r="J768" s="499"/>
      <c r="K768" s="499"/>
      <c r="L768" s="497"/>
      <c r="M768" s="499"/>
    </row>
    <row r="769" spans="1:13" x14ac:dyDescent="0.25">
      <c r="A769" s="497"/>
      <c r="B769" s="545"/>
      <c r="C769" s="497"/>
      <c r="D769" s="498"/>
      <c r="E769" s="499"/>
      <c r="F769" s="499"/>
      <c r="G769" s="497"/>
      <c r="H769" s="513"/>
      <c r="I769" s="498"/>
      <c r="J769" s="499"/>
      <c r="K769" s="499"/>
      <c r="L769" s="497"/>
      <c r="M769" s="499"/>
    </row>
    <row r="770" spans="1:13" x14ac:dyDescent="0.25">
      <c r="A770" s="497"/>
      <c r="B770" s="545"/>
      <c r="C770" s="497"/>
      <c r="D770" s="498"/>
      <c r="E770" s="499"/>
      <c r="F770" s="499"/>
      <c r="G770" s="497"/>
      <c r="H770" s="513"/>
      <c r="I770" s="498"/>
      <c r="J770" s="499"/>
      <c r="K770" s="499"/>
      <c r="L770" s="497"/>
      <c r="M770" s="499"/>
    </row>
    <row r="771" spans="1:13" x14ac:dyDescent="0.25">
      <c r="A771" s="497"/>
      <c r="B771" s="545"/>
      <c r="C771" s="497"/>
      <c r="D771" s="498"/>
      <c r="E771" s="499"/>
      <c r="F771" s="499"/>
      <c r="G771" s="497"/>
      <c r="H771" s="513"/>
      <c r="I771" s="498"/>
      <c r="J771" s="499"/>
      <c r="K771" s="499"/>
      <c r="L771" s="497"/>
      <c r="M771" s="499"/>
    </row>
    <row r="772" spans="1:13" x14ac:dyDescent="0.25">
      <c r="A772" s="497"/>
      <c r="B772" s="545"/>
      <c r="C772" s="497"/>
      <c r="D772" s="498"/>
      <c r="E772" s="499"/>
      <c r="F772" s="499"/>
      <c r="G772" s="497"/>
      <c r="H772" s="513"/>
      <c r="I772" s="498"/>
      <c r="J772" s="499"/>
      <c r="K772" s="499"/>
      <c r="L772" s="497"/>
      <c r="M772" s="499"/>
    </row>
    <row r="773" spans="1:13" x14ac:dyDescent="0.25">
      <c r="A773" s="497"/>
      <c r="B773" s="545"/>
      <c r="C773" s="497"/>
      <c r="D773" s="498"/>
      <c r="E773" s="499"/>
      <c r="F773" s="499"/>
      <c r="G773" s="497"/>
      <c r="H773" s="513"/>
      <c r="I773" s="498"/>
      <c r="J773" s="499"/>
      <c r="K773" s="499"/>
      <c r="L773" s="497"/>
      <c r="M773" s="499"/>
    </row>
    <row r="774" spans="1:13" x14ac:dyDescent="0.25">
      <c r="A774" s="497"/>
      <c r="B774" s="545"/>
      <c r="C774" s="497"/>
      <c r="D774" s="498"/>
      <c r="E774" s="499"/>
      <c r="F774" s="499"/>
      <c r="G774" s="497"/>
      <c r="H774" s="513"/>
      <c r="I774" s="498"/>
      <c r="J774" s="499"/>
      <c r="K774" s="499"/>
      <c r="L774" s="497"/>
      <c r="M774" s="499"/>
    </row>
    <row r="775" spans="1:13" x14ac:dyDescent="0.25">
      <c r="A775" s="497"/>
      <c r="B775" s="545"/>
      <c r="C775" s="497"/>
      <c r="D775" s="498"/>
      <c r="E775" s="499"/>
      <c r="F775" s="499"/>
      <c r="G775" s="497"/>
      <c r="H775" s="513"/>
      <c r="I775" s="498"/>
      <c r="J775" s="499"/>
      <c r="K775" s="499"/>
      <c r="L775" s="497"/>
      <c r="M775" s="499"/>
    </row>
    <row r="776" spans="1:13" x14ac:dyDescent="0.25">
      <c r="A776" s="497"/>
      <c r="B776" s="545"/>
      <c r="C776" s="497"/>
      <c r="D776" s="498"/>
      <c r="E776" s="499"/>
      <c r="F776" s="499"/>
      <c r="G776" s="497"/>
      <c r="H776" s="513"/>
      <c r="I776" s="498"/>
      <c r="J776" s="499"/>
      <c r="K776" s="499"/>
      <c r="L776" s="497"/>
      <c r="M776" s="499"/>
    </row>
    <row r="777" spans="1:13" x14ac:dyDescent="0.25">
      <c r="A777" s="515" t="s">
        <v>81</v>
      </c>
      <c r="B777" s="604"/>
      <c r="C777" s="538">
        <f>SUM(C516:C776)</f>
        <v>133812</v>
      </c>
      <c r="D777" s="517"/>
      <c r="E777" s="517"/>
      <c r="F777" s="517">
        <f>SUM(F516:F776)</f>
        <v>1899450.8389999999</v>
      </c>
      <c r="G777" s="516"/>
      <c r="H777" s="538">
        <f>SUM(H516:H776)</f>
        <v>133812</v>
      </c>
      <c r="I777" s="605"/>
      <c r="J777" s="517"/>
      <c r="K777" s="517">
        <f>SUM(K516:K776)</f>
        <v>1911314.2100000016</v>
      </c>
      <c r="L777" s="516"/>
      <c r="M777" s="517">
        <f>SUM(M516:M526)</f>
        <v>2752.2000000000003</v>
      </c>
    </row>
    <row r="778" spans="1:13" ht="15.75" thickBot="1" x14ac:dyDescent="0.3">
      <c r="A778" s="518" t="s">
        <v>193</v>
      </c>
      <c r="B778" s="606"/>
      <c r="C778" s="520">
        <f>SumByColor($A$97, C516:C776)</f>
        <v>0</v>
      </c>
      <c r="D778" s="520"/>
      <c r="E778" s="520"/>
      <c r="F778" s="521">
        <f>SumByColor($A$97, F516:F776)</f>
        <v>0</v>
      </c>
      <c r="G778" s="520"/>
      <c r="H778" s="520">
        <f>SumByColor($A$97, H516:H776)</f>
        <v>0</v>
      </c>
      <c r="I778" s="520"/>
      <c r="J778" s="521"/>
      <c r="K778" s="521">
        <f>SumByColor($A$97, K516:K776)</f>
        <v>0</v>
      </c>
      <c r="L778" s="520"/>
      <c r="M778" s="521">
        <f>SumByColor($A$97, M516:M776)</f>
        <v>0</v>
      </c>
    </row>
    <row r="779" spans="1:13" x14ac:dyDescent="0.25">
      <c r="A779" s="497"/>
      <c r="B779" s="545"/>
      <c r="C779" s="497"/>
      <c r="D779" s="498"/>
      <c r="E779" s="499"/>
      <c r="F779" s="499"/>
      <c r="G779" s="497"/>
      <c r="H779" s="513"/>
      <c r="I779" s="498"/>
      <c r="J779" s="499"/>
      <c r="K779" s="499"/>
      <c r="L779" s="497"/>
      <c r="M779" s="499"/>
    </row>
  </sheetData>
  <mergeCells count="3">
    <mergeCell ref="O23:P23"/>
    <mergeCell ref="A80:A82"/>
    <mergeCell ref="A87:A89"/>
  </mergeCells>
  <conditionalFormatting sqref="F262:F280 H262:H280 H415 F415 H486:H510 F486:F510 K109:K207 F119:F208 H119:H208 K216 K251:K252 H251:H252 F251:F252">
    <cfRule type="expression" dxfId="2118" priority="151">
      <formula>F109&gt;0</formula>
    </cfRule>
    <cfRule type="expression" dxfId="2117" priority="152">
      <formula>F109&lt;0</formula>
    </cfRule>
  </conditionalFormatting>
  <conditionalFormatting sqref="O24:O61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4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46">
      <iconSet iconSet="3Arrows">
        <cfvo type="percent" val="0"/>
        <cfvo type="num" val="0"/>
        <cfvo type="num" val="0"/>
      </iconSet>
    </cfRule>
  </conditionalFormatting>
  <conditionalFormatting sqref="F255:F261">
    <cfRule type="expression" dxfId="2116" priority="144">
      <formula>F255&gt;0</formula>
    </cfRule>
    <cfRule type="expression" dxfId="2115" priority="145">
      <formula>F255&lt;0</formula>
    </cfRule>
  </conditionalFormatting>
  <conditionalFormatting sqref="H255:H261">
    <cfRule type="expression" dxfId="2114" priority="140">
      <formula>H255&gt;0</formula>
    </cfRule>
    <cfRule type="expression" dxfId="2113" priority="141">
      <formula>H255&lt;0</formula>
    </cfRule>
  </conditionalFormatting>
  <conditionalFormatting sqref="Q8">
    <cfRule type="expression" dxfId="2112" priority="126">
      <formula>Q8&gt;0</formula>
    </cfRule>
    <cfRule type="expression" dxfId="2111" priority="127">
      <formula>Q8&lt;0</formula>
    </cfRule>
  </conditionalFormatting>
  <conditionalFormatting sqref="Q7">
    <cfRule type="expression" dxfId="2110" priority="128">
      <formula>Q7&gt;0</formula>
    </cfRule>
    <cfRule type="expression" dxfId="2109" priority="129">
      <formula>Q7&lt;0</formula>
    </cfRule>
  </conditionalFormatting>
  <conditionalFormatting sqref="F363:F369">
    <cfRule type="expression" dxfId="2108" priority="100">
      <formula>F363&gt;0</formula>
    </cfRule>
    <cfRule type="expression" dxfId="2107" priority="101">
      <formula>F363&lt;0</formula>
    </cfRule>
  </conditionalFormatting>
  <conditionalFormatting sqref="F288:F306 H288:H306">
    <cfRule type="expression" dxfId="2106" priority="122">
      <formula>F288&gt;0</formula>
    </cfRule>
    <cfRule type="expression" dxfId="2105" priority="123">
      <formula>F288&lt;0</formula>
    </cfRule>
  </conditionalFormatting>
  <conditionalFormatting sqref="F281:F287">
    <cfRule type="expression" dxfId="2104" priority="120">
      <formula>F281&gt;0</formula>
    </cfRule>
    <cfRule type="expression" dxfId="2103" priority="121">
      <formula>F281&lt;0</formula>
    </cfRule>
  </conditionalFormatting>
  <conditionalFormatting sqref="H281:H287">
    <cfRule type="expression" dxfId="2102" priority="118">
      <formula>H281&gt;0</formula>
    </cfRule>
    <cfRule type="expression" dxfId="2101" priority="119">
      <formula>H281&lt;0</formula>
    </cfRule>
  </conditionalFormatting>
  <conditionalFormatting sqref="F314:F332 H314:H332">
    <cfRule type="expression" dxfId="2100" priority="116">
      <formula>F314&gt;0</formula>
    </cfRule>
    <cfRule type="expression" dxfId="2099" priority="117">
      <formula>F314&lt;0</formula>
    </cfRule>
  </conditionalFormatting>
  <conditionalFormatting sqref="F307:F313">
    <cfRule type="expression" dxfId="2098" priority="114">
      <formula>F307&gt;0</formula>
    </cfRule>
    <cfRule type="expression" dxfId="2097" priority="115">
      <formula>F307&lt;0</formula>
    </cfRule>
  </conditionalFormatting>
  <conditionalFormatting sqref="H307:H313">
    <cfRule type="expression" dxfId="2096" priority="112">
      <formula>H307&gt;0</formula>
    </cfRule>
    <cfRule type="expression" dxfId="2095" priority="113">
      <formula>H307&lt;0</formula>
    </cfRule>
  </conditionalFormatting>
  <conditionalFormatting sqref="F340:F357 H340:H357">
    <cfRule type="expression" dxfId="2094" priority="110">
      <formula>F340&gt;0</formula>
    </cfRule>
    <cfRule type="expression" dxfId="2093" priority="111">
      <formula>F340&lt;0</formula>
    </cfRule>
  </conditionalFormatting>
  <conditionalFormatting sqref="F333:F339">
    <cfRule type="expression" dxfId="2092" priority="108">
      <formula>F333&gt;0</formula>
    </cfRule>
    <cfRule type="expression" dxfId="2091" priority="109">
      <formula>F333&lt;0</formula>
    </cfRule>
  </conditionalFormatting>
  <conditionalFormatting sqref="H333:H339">
    <cfRule type="expression" dxfId="2090" priority="106">
      <formula>H333&gt;0</formula>
    </cfRule>
    <cfRule type="expression" dxfId="2089" priority="107">
      <formula>H333&lt;0</formula>
    </cfRule>
  </conditionalFormatting>
  <conditionalFormatting sqref="F358:F362 H358:H362">
    <cfRule type="expression" dxfId="2088" priority="104">
      <formula>F358&gt;0</formula>
    </cfRule>
    <cfRule type="expression" dxfId="2087" priority="105">
      <formula>F358&lt;0</formula>
    </cfRule>
  </conditionalFormatting>
  <conditionalFormatting sqref="F370:F385 H370:H385">
    <cfRule type="expression" dxfId="2086" priority="102">
      <formula>F370&gt;0</formula>
    </cfRule>
    <cfRule type="expression" dxfId="2085" priority="103">
      <formula>F370&lt;0</formula>
    </cfRule>
  </conditionalFormatting>
  <conditionalFormatting sqref="H363:H369">
    <cfRule type="expression" dxfId="2084" priority="98">
      <formula>H363&gt;0</formula>
    </cfRule>
    <cfRule type="expression" dxfId="2083" priority="99">
      <formula>H363&lt;0</formula>
    </cfRule>
  </conditionalFormatting>
  <conditionalFormatting sqref="F386 H386">
    <cfRule type="expression" dxfId="2082" priority="96">
      <formula>F386&gt;0</formula>
    </cfRule>
    <cfRule type="expression" dxfId="2081" priority="97">
      <formula>F386&lt;0</formula>
    </cfRule>
  </conditionalFormatting>
  <conditionalFormatting sqref="F387:F391 H387:H391">
    <cfRule type="expression" dxfId="2080" priority="94">
      <formula>F387&gt;0</formula>
    </cfRule>
    <cfRule type="expression" dxfId="2079" priority="95">
      <formula>F387&lt;0</formula>
    </cfRule>
  </conditionalFormatting>
  <conditionalFormatting sqref="F399:F414 H399:H414">
    <cfRule type="expression" dxfId="2078" priority="92">
      <formula>F399&gt;0</formula>
    </cfRule>
    <cfRule type="expression" dxfId="2077" priority="93">
      <formula>F399&lt;0</formula>
    </cfRule>
  </conditionalFormatting>
  <conditionalFormatting sqref="F392:F398">
    <cfRule type="expression" dxfId="2076" priority="90">
      <formula>F392&gt;0</formula>
    </cfRule>
    <cfRule type="expression" dxfId="2075" priority="91">
      <formula>F392&lt;0</formula>
    </cfRule>
  </conditionalFormatting>
  <conditionalFormatting sqref="H392:H398">
    <cfRule type="expression" dxfId="2074" priority="88">
      <formula>H392&gt;0</formula>
    </cfRule>
    <cfRule type="expression" dxfId="2073" priority="89">
      <formula>H392&lt;0</formula>
    </cfRule>
  </conditionalFormatting>
  <conditionalFormatting sqref="F416:F421 H416:H421">
    <cfRule type="expression" dxfId="2072" priority="86">
      <formula>F416&gt;0</formula>
    </cfRule>
    <cfRule type="expression" dxfId="2071" priority="87">
      <formula>F416&lt;0</formula>
    </cfRule>
  </conditionalFormatting>
  <conditionalFormatting sqref="F422 H422">
    <cfRule type="expression" dxfId="2070" priority="84">
      <formula>F422&gt;0</formula>
    </cfRule>
    <cfRule type="expression" dxfId="2069" priority="85">
      <formula>F422&lt;0</formula>
    </cfRule>
  </conditionalFormatting>
  <conditionalFormatting sqref="F423:F427 H423:H427">
    <cfRule type="expression" dxfId="2068" priority="82">
      <formula>F423&gt;0</formula>
    </cfRule>
    <cfRule type="expression" dxfId="2067" priority="83">
      <formula>F423&lt;0</formula>
    </cfRule>
  </conditionalFormatting>
  <conditionalFormatting sqref="F435:F450 H435:H450">
    <cfRule type="expression" dxfId="2066" priority="80">
      <formula>F435&gt;0</formula>
    </cfRule>
    <cfRule type="expression" dxfId="2065" priority="81">
      <formula>F435&lt;0</formula>
    </cfRule>
  </conditionalFormatting>
  <conditionalFormatting sqref="F428:F434">
    <cfRule type="expression" dxfId="2064" priority="78">
      <formula>F428&gt;0</formula>
    </cfRule>
    <cfRule type="expression" dxfId="2063" priority="79">
      <formula>F428&lt;0</formula>
    </cfRule>
  </conditionalFormatting>
  <conditionalFormatting sqref="H428:H434">
    <cfRule type="expression" dxfId="2062" priority="76">
      <formula>H428&gt;0</formula>
    </cfRule>
    <cfRule type="expression" dxfId="2061" priority="77">
      <formula>H428&lt;0</formula>
    </cfRule>
  </conditionalFormatting>
  <conditionalFormatting sqref="F451:F456 H451:H456">
    <cfRule type="expression" dxfId="2060" priority="74">
      <formula>F451&gt;0</formula>
    </cfRule>
    <cfRule type="expression" dxfId="2059" priority="75">
      <formula>F451&lt;0</formula>
    </cfRule>
  </conditionalFormatting>
  <conditionalFormatting sqref="F457 H457">
    <cfRule type="expression" dxfId="2058" priority="72">
      <formula>F457&gt;0</formula>
    </cfRule>
    <cfRule type="expression" dxfId="2057" priority="73">
      <formula>F457&lt;0</formula>
    </cfRule>
  </conditionalFormatting>
  <conditionalFormatting sqref="F458:F462 H458:H462">
    <cfRule type="expression" dxfId="2056" priority="70">
      <formula>F458&gt;0</formula>
    </cfRule>
    <cfRule type="expression" dxfId="2055" priority="71">
      <formula>F458&lt;0</formula>
    </cfRule>
  </conditionalFormatting>
  <conditionalFormatting sqref="F470:F485 H470:H485">
    <cfRule type="expression" dxfId="2054" priority="68">
      <formula>F470&gt;0</formula>
    </cfRule>
    <cfRule type="expression" dxfId="2053" priority="69">
      <formula>F470&lt;0</formula>
    </cfRule>
  </conditionalFormatting>
  <conditionalFormatting sqref="F463:F469">
    <cfRule type="expression" dxfId="2052" priority="66">
      <formula>F463&gt;0</formula>
    </cfRule>
    <cfRule type="expression" dxfId="2051" priority="67">
      <formula>F463&lt;0</formula>
    </cfRule>
  </conditionalFormatting>
  <conditionalFormatting sqref="H463:H469">
    <cfRule type="expression" dxfId="2050" priority="64">
      <formula>H463&gt;0</formula>
    </cfRule>
    <cfRule type="expression" dxfId="2049" priority="65">
      <formula>H463&lt;0</formula>
    </cfRule>
  </conditionalFormatting>
  <conditionalFormatting sqref="M514">
    <cfRule type="expression" dxfId="2048" priority="62">
      <formula>M514&gt;0</formula>
    </cfRule>
    <cfRule type="expression" dxfId="2047" priority="63">
      <formula>M514&lt;0</formula>
    </cfRule>
  </conditionalFormatting>
  <conditionalFormatting sqref="F107:F118">
    <cfRule type="expression" dxfId="2046" priority="58">
      <formula>F107&gt;0</formula>
    </cfRule>
    <cfRule type="expression" dxfId="2045" priority="59">
      <formula>F107&lt;0</formula>
    </cfRule>
  </conditionalFormatting>
  <conditionalFormatting sqref="H107:H118">
    <cfRule type="expression" dxfId="2044" priority="56">
      <formula>H107&gt;0</formula>
    </cfRule>
    <cfRule type="expression" dxfId="2043" priority="57">
      <formula>H107&lt;0</formula>
    </cfRule>
  </conditionalFormatting>
  <conditionalFormatting sqref="F101:F106 H101:H106">
    <cfRule type="expression" dxfId="2042" priority="54">
      <formula>F101&gt;0</formula>
    </cfRule>
    <cfRule type="expression" dxfId="2041" priority="55">
      <formula>F101&lt;0</formula>
    </cfRule>
  </conditionalFormatting>
  <conditionalFormatting sqref="J103:K103">
    <cfRule type="expression" dxfId="2040" priority="52">
      <formula>J103&gt;0</formula>
    </cfRule>
    <cfRule type="expression" dxfId="2039" priority="53">
      <formula>J103&lt;0</formula>
    </cfRule>
  </conditionalFormatting>
  <conditionalFormatting sqref="J104:K110">
    <cfRule type="expression" dxfId="2038" priority="50">
      <formula>J104&gt;0</formula>
    </cfRule>
    <cfRule type="expression" dxfId="2037" priority="51">
      <formula>J104&lt;0</formula>
    </cfRule>
  </conditionalFormatting>
  <conditionalFormatting sqref="L103:L185 L192 L194">
    <cfRule type="expression" dxfId="2036" priority="46">
      <formula>L103&gt;0</formula>
    </cfRule>
    <cfRule type="expression" dxfId="2035" priority="47">
      <formula>L103&lt;0</formula>
    </cfRule>
  </conditionalFormatting>
  <conditionalFormatting sqref="Q10">
    <cfRule type="expression" dxfId="2034" priority="44">
      <formula>Q10&gt;0</formula>
    </cfRule>
    <cfRule type="expression" dxfId="2033" priority="45">
      <formula>Q10&lt;0</formula>
    </cfRule>
  </conditionalFormatting>
  <conditionalFormatting sqref="K214:K215 H214:H216 F214:F216">
    <cfRule type="expression" dxfId="2032" priority="41">
      <formula>F214&gt;0</formula>
    </cfRule>
    <cfRule type="expression" dxfId="2031" priority="42">
      <formula>F214&lt;0</formula>
    </cfRule>
  </conditionalFormatting>
  <conditionalFormatting sqref="K210:K212 H210:H212 F210:F212">
    <cfRule type="expression" dxfId="2030" priority="39">
      <formula>F210&gt;0</formula>
    </cfRule>
    <cfRule type="expression" dxfId="2029" priority="40">
      <formula>F210&lt;0</formula>
    </cfRule>
  </conditionalFormatting>
  <conditionalFormatting sqref="K208:K209 H209 F209">
    <cfRule type="expression" dxfId="2028" priority="37">
      <formula>F208&gt;0</formula>
    </cfRule>
    <cfRule type="expression" dxfId="2027" priority="38">
      <formula>F208&lt;0</formula>
    </cfRule>
  </conditionalFormatting>
  <conditionalFormatting sqref="K213 H213 F213">
    <cfRule type="expression" dxfId="2026" priority="35">
      <formula>F213&gt;0</formula>
    </cfRule>
    <cfRule type="expression" dxfId="2025" priority="36">
      <formula>F213&lt;0</formula>
    </cfRule>
  </conditionalFormatting>
  <conditionalFormatting sqref="K221:K222">
    <cfRule type="expression" dxfId="2024" priority="33">
      <formula>K221&gt;0</formula>
    </cfRule>
    <cfRule type="expression" dxfId="2023" priority="34">
      <formula>K221&lt;0</formula>
    </cfRule>
  </conditionalFormatting>
  <conditionalFormatting sqref="K219:K220 H219:H222 F219:F222">
    <cfRule type="expression" dxfId="2022" priority="31">
      <formula>F219&gt;0</formula>
    </cfRule>
    <cfRule type="expression" dxfId="2021" priority="32">
      <formula>F219&lt;0</formula>
    </cfRule>
  </conditionalFormatting>
  <conditionalFormatting sqref="H217:H218 F217:F218 K217:K218">
    <cfRule type="expression" dxfId="2020" priority="29">
      <formula>F217&gt;0</formula>
    </cfRule>
    <cfRule type="expression" dxfId="2019" priority="30">
      <formula>F217&lt;0</formula>
    </cfRule>
  </conditionalFormatting>
  <conditionalFormatting sqref="K243:K244 H244 F244">
    <cfRule type="expression" dxfId="2018" priority="27">
      <formula>F243&gt;0</formula>
    </cfRule>
    <cfRule type="expression" dxfId="2017" priority="28">
      <formula>F243&lt;0</formula>
    </cfRule>
  </conditionalFormatting>
  <conditionalFormatting sqref="K225:K226 H225:H227 F225:F227">
    <cfRule type="expression" dxfId="2016" priority="25">
      <formula>F225&gt;0</formula>
    </cfRule>
    <cfRule type="expression" dxfId="2015" priority="26">
      <formula>F225&lt;0</formula>
    </cfRule>
  </conditionalFormatting>
  <conditionalFormatting sqref="K223:K224 H223:H224 F223:F224">
    <cfRule type="expression" dxfId="2014" priority="23">
      <formula>F223&gt;0</formula>
    </cfRule>
    <cfRule type="expression" dxfId="2013" priority="24">
      <formula>F223&lt;0</formula>
    </cfRule>
  </conditionalFormatting>
  <conditionalFormatting sqref="K237:K238 H237:H239 F237:F239">
    <cfRule type="expression" dxfId="2012" priority="21">
      <formula>F237&gt;0</formula>
    </cfRule>
    <cfRule type="expression" dxfId="2011" priority="22">
      <formula>F237&lt;0</formula>
    </cfRule>
  </conditionalFormatting>
  <conditionalFormatting sqref="K235:K236 H236 F236">
    <cfRule type="expression" dxfId="2010" priority="19">
      <formula>F235&gt;0</formula>
    </cfRule>
    <cfRule type="expression" dxfId="2009" priority="20">
      <formula>F235&lt;0</formula>
    </cfRule>
  </conditionalFormatting>
  <conditionalFormatting sqref="K233:K234 H233:H235 F233:F235">
    <cfRule type="expression" dxfId="2008" priority="17">
      <formula>F233&gt;0</formula>
    </cfRule>
    <cfRule type="expression" dxfId="2007" priority="18">
      <formula>F233&lt;0</formula>
    </cfRule>
  </conditionalFormatting>
  <conditionalFormatting sqref="K231:K232 H232 F232">
    <cfRule type="expression" dxfId="2006" priority="15">
      <formula>F231&gt;0</formula>
    </cfRule>
    <cfRule type="expression" dxfId="2005" priority="16">
      <formula>F231&lt;0</formula>
    </cfRule>
  </conditionalFormatting>
  <conditionalFormatting sqref="K229:K230 H229:H231 F229:F231">
    <cfRule type="expression" dxfId="2004" priority="13">
      <formula>F229&gt;0</formula>
    </cfRule>
    <cfRule type="expression" dxfId="2003" priority="14">
      <formula>F229&lt;0</formula>
    </cfRule>
  </conditionalFormatting>
  <conditionalFormatting sqref="K227:K228 H228 F228">
    <cfRule type="expression" dxfId="2002" priority="11">
      <formula>F227&gt;0</formula>
    </cfRule>
    <cfRule type="expression" dxfId="2001" priority="12">
      <formula>F227&lt;0</formula>
    </cfRule>
  </conditionalFormatting>
  <conditionalFormatting sqref="K241:K242 H241:H243 F241:F243">
    <cfRule type="expression" dxfId="2000" priority="9">
      <formula>F241&gt;0</formula>
    </cfRule>
    <cfRule type="expression" dxfId="1999" priority="10">
      <formula>F241&lt;0</formula>
    </cfRule>
  </conditionalFormatting>
  <conditionalFormatting sqref="K239:K240 H240 F240">
    <cfRule type="expression" dxfId="1998" priority="7">
      <formula>F239&gt;0</formula>
    </cfRule>
    <cfRule type="expression" dxfId="1997" priority="8">
      <formula>F239&lt;0</formula>
    </cfRule>
  </conditionalFormatting>
  <conditionalFormatting sqref="K249:K250 H249:H250 F249:F250">
    <cfRule type="expression" dxfId="1996" priority="5">
      <formula>F249&gt;0</formula>
    </cfRule>
    <cfRule type="expression" dxfId="1995" priority="6">
      <formula>F249&lt;0</formula>
    </cfRule>
  </conditionalFormatting>
  <conditionalFormatting sqref="K247:K248 H248 F248">
    <cfRule type="expression" dxfId="1994" priority="3">
      <formula>F247&gt;0</formula>
    </cfRule>
    <cfRule type="expression" dxfId="1993" priority="4">
      <formula>F247&lt;0</formula>
    </cfRule>
  </conditionalFormatting>
  <conditionalFormatting sqref="K245:K246 H245:H247 F245:F247">
    <cfRule type="expression" dxfId="1992" priority="1">
      <formula>F245&gt;0</formula>
    </cfRule>
    <cfRule type="expression" dxfId="1991" priority="2">
      <formula>F245&lt;0</formula>
    </cfRule>
  </conditionalFormatting>
  <hyperlinks>
    <hyperlink ref="A3" location="ACTIVE!A1" display="Back"/>
    <hyperlink ref="A51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1104</v>
      </c>
      <c r="Z1" s="11" t="s">
        <v>1102</v>
      </c>
      <c r="AA1" s="11" t="s">
        <v>1103</v>
      </c>
      <c r="AB1" s="11" t="s">
        <v>1105</v>
      </c>
      <c r="AC1" s="11" t="s">
        <v>1102</v>
      </c>
      <c r="AD1" s="11" t="s">
        <v>1103</v>
      </c>
      <c r="AE1" s="11" t="s">
        <v>1106</v>
      </c>
      <c r="AF1" s="11" t="s">
        <v>1102</v>
      </c>
      <c r="AG1" s="11" t="s">
        <v>1103</v>
      </c>
      <c r="AH1" s="11" t="s">
        <v>1107</v>
      </c>
      <c r="AI1" s="11" t="s">
        <v>1102</v>
      </c>
      <c r="AJ1" s="11" t="s">
        <v>1103</v>
      </c>
      <c r="AK1" s="11" t="s">
        <v>1108</v>
      </c>
      <c r="AM1" s="11" t="s">
        <v>1109</v>
      </c>
      <c r="AO1" s="11" t="s">
        <v>1110</v>
      </c>
    </row>
    <row r="2" spans="1:41" x14ac:dyDescent="0.25">
      <c r="A2" s="6" t="s">
        <v>781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7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300</v>
      </c>
      <c r="T2" s="1">
        <v>43103</v>
      </c>
      <c r="U2" t="s">
        <v>842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202</v>
      </c>
      <c r="AJ2">
        <f>$Q$2*$Q$4</f>
        <v>4170</v>
      </c>
      <c r="AK2">
        <f ca="1">AJ2*EXP(-$X$2 * AI2/365.25)</f>
        <v>4170</v>
      </c>
      <c r="AM2" s="2">
        <f>Q10</f>
        <v>0</v>
      </c>
      <c r="AO2">
        <f ca="1" xml:space="preserve"> (SUM(AB:AB) - SUM(AE:AE) - SUM(AH:AH) - SUM(AK:AK))/SUM(AB:AB)</f>
        <v>4.6687503202336465E-2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15.418666666666669</v>
      </c>
      <c r="T3" s="1"/>
      <c r="U3" t="s">
        <v>843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-43095</v>
      </c>
      <c r="AG3" s="2">
        <f t="shared" ref="AG3:AG17" si="8">M3</f>
        <v>0</v>
      </c>
      <c r="AH3">
        <f t="shared" ref="AH3:AH17" si="9">AG3*EXP(-AF3/365.25 * $X$2)</f>
        <v>0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13.9</v>
      </c>
      <c r="R4" s="495">
        <v>6.9999999999999999E-4</v>
      </c>
      <c r="T4" s="156"/>
      <c r="U4" s="1" t="s">
        <v>889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72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4170</v>
      </c>
      <c r="T5" s="1">
        <v>43112</v>
      </c>
      <c r="U5" t="s">
        <v>887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-43095</v>
      </c>
      <c r="AD5" s="2">
        <f t="shared" si="5"/>
        <v>0</v>
      </c>
      <c r="AE5">
        <f t="shared" si="6"/>
        <v>0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4625.6000000000004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72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-455.60000000000036</v>
      </c>
      <c r="R7">
        <v>300</v>
      </c>
      <c r="T7" s="1">
        <v>43117</v>
      </c>
      <c r="U7" t="s">
        <v>894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-455.60000000000036</v>
      </c>
      <c r="U8" t="s">
        <v>895</v>
      </c>
      <c r="W8" s="134"/>
      <c r="Z8">
        <f t="shared" si="1"/>
        <v>-43095</v>
      </c>
      <c r="AA8" s="2">
        <f t="shared" si="2"/>
        <v>0</v>
      </c>
      <c r="AB8">
        <f t="shared" si="3"/>
        <v>0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-9.8495330335524114E-2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207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3.4532374100719423E-2</v>
      </c>
      <c r="R11">
        <f>0.12</f>
        <v>0.12</v>
      </c>
      <c r="T11" s="817">
        <v>43124</v>
      </c>
      <c r="U11" t="s">
        <v>888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 t="s">
        <v>1218</v>
      </c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973</v>
      </c>
      <c r="Q13">
        <f>Q4/0.95</f>
        <v>14.631578947368421</v>
      </c>
      <c r="T13" s="1">
        <v>43210</v>
      </c>
      <c r="U13" t="s">
        <v>1009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1111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1115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SUM(C2:C7)</f>
        <v>650</v>
      </c>
      <c r="D18" s="18"/>
      <c r="E18" s="18"/>
      <c r="F18" s="18">
        <f>SUM(F2:F7)</f>
        <v>9758.5</v>
      </c>
      <c r="G18" s="14"/>
      <c r="H18" s="71">
        <f>SUM(H2:H5)</f>
        <v>350</v>
      </c>
      <c r="I18" s="18"/>
      <c r="J18" s="18"/>
      <c r="K18" s="18">
        <f>SUM(K2:K5)</f>
        <v>5108.8999999999996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5012</v>
      </c>
      <c r="G19" s="343"/>
      <c r="H19" s="343">
        <f>SumByColor($A$19,H2:H17)</f>
        <v>350</v>
      </c>
      <c r="I19" s="343"/>
      <c r="J19" s="343"/>
      <c r="K19" s="344">
        <f>SumByColor($A$19,K2:K17)</f>
        <v>5109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51" t="s">
        <v>78</v>
      </c>
      <c r="P20" s="851"/>
      <c r="W20" s="134"/>
    </row>
    <row r="21" spans="1:34" ht="15.75" thickTop="1" x14ac:dyDescent="0.25">
      <c r="O21" s="81">
        <v>1.1000000000000001</v>
      </c>
      <c r="P21" s="81">
        <f>O21*$Q$4</f>
        <v>15.290000000000001</v>
      </c>
      <c r="W21" s="134"/>
    </row>
    <row r="22" spans="1:34" x14ac:dyDescent="0.25">
      <c r="O22" s="81">
        <v>1.0900000000000001</v>
      </c>
      <c r="P22" s="81">
        <f t="shared" ref="P22:P41" si="10">O22*$Q$4</f>
        <v>15.151000000000002</v>
      </c>
      <c r="W22" s="134"/>
    </row>
    <row r="23" spans="1:34" x14ac:dyDescent="0.25">
      <c r="O23" s="81">
        <v>1.08</v>
      </c>
      <c r="P23" s="81">
        <f t="shared" si="10"/>
        <v>15.012000000000002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973</v>
      </c>
      <c r="O24" s="81">
        <v>1.07</v>
      </c>
      <c r="P24" s="81">
        <f t="shared" si="10"/>
        <v>14.873000000000001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14.734000000000002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14.595000000000001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14.456000000000001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14.317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14.178000000000001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14.039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13.9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13.761000000000001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8" si="14">C33*(E33-D33)</f>
        <v>-920.00000000000023</v>
      </c>
      <c r="G33" s="39">
        <f t="shared" ref="G33:G38" si="15">D33*C33</f>
        <v>6296</v>
      </c>
      <c r="H33" s="222">
        <f t="shared" ref="H33:H38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13.622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13.483000000000001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13.343999999999999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13.205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13.065999999999999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12.927000000000001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10"/>
        <v>12.788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10"/>
        <v>12.649000000000001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0"/>
        <v>12.51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781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90" priority="25">
      <formula>F47&gt;0</formula>
    </cfRule>
    <cfRule type="expression" dxfId="1989" priority="26">
      <formula>F47&lt;0</formula>
    </cfRule>
  </conditionalFormatting>
  <conditionalFormatting sqref="Q7">
    <cfRule type="expression" dxfId="1988" priority="23">
      <formula>Q7&gt;0</formula>
    </cfRule>
    <cfRule type="expression" dxfId="1987" priority="24">
      <formula>Q7&lt;0</formula>
    </cfRule>
  </conditionalFormatting>
  <conditionalFormatting sqref="Q8">
    <cfRule type="expression" dxfId="1986" priority="21">
      <formula>Q8&gt;0</formula>
    </cfRule>
    <cfRule type="expression" dxfId="1985" priority="22">
      <formula>Q8&lt;0</formula>
    </cfRule>
  </conditionalFormatting>
  <conditionalFormatting sqref="F25:F30 F34:F46">
    <cfRule type="expression" dxfId="1984" priority="19">
      <formula>F25&gt;0</formula>
    </cfRule>
    <cfRule type="expression" dxfId="1983" priority="20">
      <formula>F25&lt;0</formula>
    </cfRule>
  </conditionalFormatting>
  <conditionalFormatting sqref="H25:H30 H34:H46">
    <cfRule type="expression" dxfId="1982" priority="17">
      <formula>H25&gt;0</formula>
    </cfRule>
    <cfRule type="expression" dxfId="1981" priority="18">
      <formula>H25&lt;0</formula>
    </cfRule>
  </conditionalFormatting>
  <conditionalFormatting sqref="F89:F110">
    <cfRule type="expression" dxfId="1980" priority="15">
      <formula>F89&gt;0</formula>
    </cfRule>
    <cfRule type="expression" dxfId="1979" priority="16">
      <formula>F89&lt;0</formula>
    </cfRule>
  </conditionalFormatting>
  <conditionalFormatting sqref="H89:H110">
    <cfRule type="expression" dxfId="1978" priority="13">
      <formula>H89&gt;0</formula>
    </cfRule>
    <cfRule type="expression" dxfId="1977" priority="14">
      <formula>H89&lt;0</formula>
    </cfRule>
  </conditionalFormatting>
  <conditionalFormatting sqref="Q10">
    <cfRule type="expression" dxfId="1976" priority="11">
      <formula>Q10&gt;0</formula>
    </cfRule>
    <cfRule type="expression" dxfId="1975" priority="12">
      <formula>Q10&lt;0</formula>
    </cfRule>
  </conditionalFormatting>
  <conditionalFormatting sqref="J25:J38">
    <cfRule type="expression" dxfId="1974" priority="9">
      <formula>J25&gt;0</formula>
    </cfRule>
    <cfRule type="expression" dxfId="1973" priority="10">
      <formula>J25&lt;0</formula>
    </cfRule>
  </conditionalFormatting>
  <conditionalFormatting sqref="K25:K38">
    <cfRule type="expression" dxfId="1972" priority="7">
      <formula>K25&gt;0</formula>
    </cfRule>
    <cfRule type="expression" dxfId="1971" priority="8">
      <formula>K25&lt;0</formula>
    </cfRule>
  </conditionalFormatting>
  <conditionalFormatting sqref="L25:L38">
    <cfRule type="expression" dxfId="1970" priority="5">
      <formula>L25&gt;0</formula>
    </cfRule>
    <cfRule type="expression" dxfId="1969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68" priority="3">
      <formula>F31&gt;0</formula>
    </cfRule>
    <cfRule type="expression" dxfId="1967" priority="4">
      <formula>F31&lt;0</formula>
    </cfRule>
  </conditionalFormatting>
  <conditionalFormatting sqref="H31:H33">
    <cfRule type="expression" dxfId="1966" priority="1">
      <formula>H31&gt;0</formula>
    </cfRule>
    <cfRule type="expression" dxfId="1965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964</v>
      </c>
      <c r="B2" s="72">
        <v>43181</v>
      </c>
      <c r="C2" s="4">
        <v>100</v>
      </c>
      <c r="D2" s="3">
        <v>52.8</v>
      </c>
      <c r="E2" s="3">
        <v>0</v>
      </c>
      <c r="F2" s="3">
        <f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43228</v>
      </c>
      <c r="C3" s="4">
        <v>100</v>
      </c>
      <c r="D3" s="3">
        <v>46.08</v>
      </c>
      <c r="E3" s="3">
        <v>0</v>
      </c>
      <c r="F3" s="3">
        <f>C3*D3+E3</f>
        <v>4608</v>
      </c>
      <c r="G3" s="72"/>
      <c r="H3" s="176"/>
      <c r="I3" s="3"/>
      <c r="J3" s="3"/>
      <c r="K3" s="3"/>
      <c r="L3" s="72">
        <v>43294</v>
      </c>
      <c r="M3" s="43">
        <v>17.5</v>
      </c>
      <c r="O3" s="11" t="s">
        <v>58</v>
      </c>
      <c r="Q3" s="221">
        <f>IF(Q2=0, Q4, (F18-K18-M18)/Q2)</f>
        <v>49.308750000000003</v>
      </c>
      <c r="T3" s="1">
        <v>43160</v>
      </c>
      <c r="U3" t="s">
        <v>994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44.72</v>
      </c>
      <c r="R4" s="495">
        <v>-1.3899999999999999E-2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8944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9861.75</v>
      </c>
      <c r="T6" s="1">
        <v>43227</v>
      </c>
      <c r="U6" t="s">
        <v>1064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-917.75</v>
      </c>
      <c r="R7">
        <v>200</v>
      </c>
      <c r="U7" t="s">
        <v>1070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-917.75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-9.3061576292240225E-2</v>
      </c>
      <c r="T9" s="770">
        <v>43285</v>
      </c>
      <c r="U9" t="s">
        <v>1169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1215</v>
      </c>
    </row>
    <row r="13" spans="1:21" x14ac:dyDescent="0.25">
      <c r="H13" s="70"/>
      <c r="O13" s="11" t="s">
        <v>973</v>
      </c>
      <c r="Q13">
        <f>Q4/2.6</f>
        <v>17.2</v>
      </c>
    </row>
    <row r="14" spans="1:21" x14ac:dyDescent="0.25">
      <c r="H14" s="70"/>
      <c r="O14" s="11" t="s">
        <v>1062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26.25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26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49.192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973</v>
      </c>
      <c r="L24" s="220"/>
      <c r="O24" s="81">
        <v>1.0900000000000001</v>
      </c>
      <c r="P24" s="81">
        <f t="shared" ref="P24:P43" si="0">O24*$Q$4</f>
        <v>48.744800000000005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0"/>
        <v>48.297600000000003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0"/>
        <v>47.8504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0"/>
        <v>47.403199999999998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0"/>
        <v>46.956000000000003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0"/>
        <v>46.508800000000001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7" si="1">C30*(E30-D30)</f>
        <v>-347.24999999999966</v>
      </c>
      <c r="G30" s="39">
        <f t="shared" ref="G30:G37" si="2">D30*C30</f>
        <v>5271.25</v>
      </c>
      <c r="H30" s="222">
        <f t="shared" ref="H30:H37" si="3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0"/>
        <v>46.061599999999999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"/>
        <v>-579.24999999999966</v>
      </c>
      <c r="G31" s="39">
        <f t="shared" si="2"/>
        <v>5271.25</v>
      </c>
      <c r="H31" s="222">
        <f t="shared" si="3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0"/>
        <v>45.614399999999996</v>
      </c>
      <c r="Q31" s="2"/>
    </row>
    <row r="32" spans="1:17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1"/>
        <v>-985.25999999999954</v>
      </c>
      <c r="G32" s="39">
        <f t="shared" si="2"/>
        <v>9879.2599999999984</v>
      </c>
      <c r="H32" s="222">
        <f t="shared" si="3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0"/>
        <v>45.167200000000001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"/>
        <v>-378.00000000000011</v>
      </c>
      <c r="G33" s="39">
        <f t="shared" si="2"/>
        <v>9880</v>
      </c>
      <c r="H33" s="222">
        <f t="shared" si="3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0"/>
        <v>44.72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1"/>
        <v>-965.25999999999931</v>
      </c>
      <c r="G34" s="39">
        <f t="shared" si="2"/>
        <v>9879.2599999999984</v>
      </c>
      <c r="H34" s="222">
        <f t="shared" si="3"/>
        <v>-9.7705698604956176E-2</v>
      </c>
      <c r="I34" s="39"/>
      <c r="J34" s="39"/>
      <c r="K34" s="39"/>
      <c r="L34" s="155"/>
      <c r="O34" s="81">
        <v>0.99</v>
      </c>
      <c r="P34" s="81">
        <f t="shared" si="0"/>
        <v>44.272799999999997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1"/>
        <v>-1087.2599999999991</v>
      </c>
      <c r="G35" s="39">
        <f t="shared" si="2"/>
        <v>9879.2599999999984</v>
      </c>
      <c r="H35" s="222">
        <f t="shared" si="3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0"/>
        <v>43.825600000000001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1"/>
        <v>-803.25999999999885</v>
      </c>
      <c r="G36" s="39">
        <f t="shared" si="2"/>
        <v>9879.2599999999984</v>
      </c>
      <c r="H36" s="222">
        <f t="shared" si="3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0"/>
        <v>43.378399999999999</v>
      </c>
    </row>
    <row r="37" spans="1:17" x14ac:dyDescent="0.25">
      <c r="A37" s="33" t="s">
        <v>1207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1"/>
        <v>-779.76000000000022</v>
      </c>
      <c r="G37" s="39">
        <f t="shared" si="2"/>
        <v>9861.76</v>
      </c>
      <c r="H37" s="222">
        <f t="shared" si="3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0"/>
        <v>42.931199999999997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42.483999999999995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42.036799999999999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41.589600000000004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41.142400000000002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40.6952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40.247999999999998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64" priority="31">
      <formula>F47&gt;0</formula>
    </cfRule>
    <cfRule type="expression" dxfId="1963" priority="32">
      <formula>F47&lt;0</formula>
    </cfRule>
  </conditionalFormatting>
  <conditionalFormatting sqref="Q7">
    <cfRule type="expression" dxfId="1962" priority="29">
      <formula>Q7&gt;0</formula>
    </cfRule>
    <cfRule type="expression" dxfId="1961" priority="30">
      <formula>Q7&lt;0</formula>
    </cfRule>
  </conditionalFormatting>
  <conditionalFormatting sqref="Q8">
    <cfRule type="expression" dxfId="1960" priority="27">
      <formula>Q8&gt;0</formula>
    </cfRule>
    <cfRule type="expression" dxfId="1959" priority="28">
      <formula>Q8&lt;0</formula>
    </cfRule>
  </conditionalFormatting>
  <conditionalFormatting sqref="F31:F46">
    <cfRule type="expression" dxfId="1958" priority="25">
      <formula>F31&gt;0</formula>
    </cfRule>
    <cfRule type="expression" dxfId="1957" priority="26">
      <formula>F31&lt;0</formula>
    </cfRule>
  </conditionalFormatting>
  <conditionalFormatting sqref="H31:H46">
    <cfRule type="expression" dxfId="1956" priority="23">
      <formula>H31&gt;0</formula>
    </cfRule>
    <cfRule type="expression" dxfId="1955" priority="24">
      <formula>H31&lt;0</formula>
    </cfRule>
  </conditionalFormatting>
  <conditionalFormatting sqref="Q10">
    <cfRule type="expression" dxfId="1954" priority="21">
      <formula>Q10&gt;0</formula>
    </cfRule>
    <cfRule type="expression" dxfId="1953" priority="22">
      <formula>Q10&lt;0</formula>
    </cfRule>
  </conditionalFormatting>
  <conditionalFormatting sqref="J25:J38">
    <cfRule type="expression" dxfId="1952" priority="19">
      <formula>J25&gt;0</formula>
    </cfRule>
    <cfRule type="expression" dxfId="1951" priority="20">
      <formula>J25&lt;0</formula>
    </cfRule>
  </conditionalFormatting>
  <conditionalFormatting sqref="K38">
    <cfRule type="expression" dxfId="1950" priority="17">
      <formula>K38&gt;0</formula>
    </cfRule>
    <cfRule type="expression" dxfId="1949" priority="18">
      <formula>K38&lt;0</formula>
    </cfRule>
  </conditionalFormatting>
  <conditionalFormatting sqref="L25:L38">
    <cfRule type="expression" dxfId="1948" priority="15">
      <formula>L25&gt;0</formula>
    </cfRule>
    <cfRule type="expression" dxfId="1947" priority="16">
      <formula>L25&lt;0</formula>
    </cfRule>
  </conditionalFormatting>
  <conditionalFormatting sqref="F89:F110">
    <cfRule type="expression" dxfId="1946" priority="13">
      <formula>F89&gt;0</formula>
    </cfRule>
    <cfRule type="expression" dxfId="1945" priority="14">
      <formula>F89&lt;0</formula>
    </cfRule>
  </conditionalFormatting>
  <conditionalFormatting sqref="H89:H110">
    <cfRule type="expression" dxfId="1944" priority="11">
      <formula>H89&gt;0</formula>
    </cfRule>
    <cfRule type="expression" dxfId="1943" priority="12">
      <formula>H89&lt;0</formula>
    </cfRule>
  </conditionalFormatting>
  <conditionalFormatting sqref="J89:J102">
    <cfRule type="expression" dxfId="1942" priority="9">
      <formula>J89&gt;0</formula>
    </cfRule>
    <cfRule type="expression" dxfId="1941" priority="10">
      <formula>J89&lt;0</formula>
    </cfRule>
  </conditionalFormatting>
  <conditionalFormatting sqref="K89:K102">
    <cfRule type="expression" dxfId="1940" priority="7">
      <formula>K89&gt;0</formula>
    </cfRule>
    <cfRule type="expression" dxfId="1939" priority="8">
      <formula>K89&lt;0</formula>
    </cfRule>
  </conditionalFormatting>
  <conditionalFormatting sqref="L89:L102">
    <cfRule type="expression" dxfId="1938" priority="5">
      <formula>L89&gt;0</formula>
    </cfRule>
    <cfRule type="expression" dxfId="1937" priority="6">
      <formula>L89&lt;0</formula>
    </cfRule>
  </conditionalFormatting>
  <conditionalFormatting sqref="F25:F30">
    <cfRule type="expression" dxfId="1936" priority="3">
      <formula>F25&gt;0</formula>
    </cfRule>
    <cfRule type="expression" dxfId="1935" priority="4">
      <formula>F25&lt;0</formula>
    </cfRule>
  </conditionalFormatting>
  <conditionalFormatting sqref="H25:H30">
    <cfRule type="expression" dxfId="1934" priority="1">
      <formula>H25&gt;0</formula>
    </cfRule>
    <cfRule type="expression" dxfId="193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1044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1045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52.64</v>
      </c>
      <c r="T3" s="1"/>
      <c r="U3" s="22" t="s">
        <v>1079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52.64</v>
      </c>
      <c r="R4" s="495">
        <v>1.1900000000000001E-2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  <c r="U9" t="s">
        <v>1078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2.8495440729483283E-2</v>
      </c>
      <c r="R11">
        <v>1.5</v>
      </c>
    </row>
    <row r="12" spans="1:21" x14ac:dyDescent="0.25">
      <c r="H12" s="70"/>
      <c r="O12" s="11" t="s">
        <v>946</v>
      </c>
      <c r="Q12" s="1"/>
    </row>
    <row r="13" spans="1:21" x14ac:dyDescent="0.25">
      <c r="H13" s="70"/>
      <c r="O13" s="11" t="s">
        <v>973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21" ht="15.75" thickTop="1" x14ac:dyDescent="0.25">
      <c r="O17" s="81">
        <v>1.1000000000000001</v>
      </c>
      <c r="P17" s="81">
        <f>O17*$Q$4</f>
        <v>57.904000000000003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57.377600000000008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56.851200000000006</v>
      </c>
    </row>
    <row r="20" spans="1:21" x14ac:dyDescent="0.25">
      <c r="O20" s="81">
        <v>1.07</v>
      </c>
      <c r="P20" s="81">
        <f t="shared" si="0"/>
        <v>56.324800000000003</v>
      </c>
    </row>
    <row r="21" spans="1:21" x14ac:dyDescent="0.25">
      <c r="O21" s="81">
        <v>1.06</v>
      </c>
      <c r="P21" s="81">
        <f t="shared" si="0"/>
        <v>55.798400000000001</v>
      </c>
    </row>
    <row r="22" spans="1:21" x14ac:dyDescent="0.25">
      <c r="O22" s="81">
        <v>1.05</v>
      </c>
      <c r="P22" s="81">
        <f t="shared" si="0"/>
        <v>55.272000000000006</v>
      </c>
    </row>
    <row r="23" spans="1:21" x14ac:dyDescent="0.25">
      <c r="O23" s="81">
        <v>1.04</v>
      </c>
      <c r="P23" s="81">
        <f t="shared" si="0"/>
        <v>54.745600000000003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497</v>
      </c>
      <c r="O24" s="81">
        <v>1.03</v>
      </c>
      <c r="P24" s="81">
        <f t="shared" si="0"/>
        <v>54.219200000000001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53.692799999999998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53.166400000000003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52.64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52.113599999999998</v>
      </c>
      <c r="U28" t="s">
        <v>1077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51.587200000000003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51.0608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50.534399999999998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50.007999999999996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49.4816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48.955200000000005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48.428800000000003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47.9024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47.376000000000005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32" priority="35">
      <formula>F47&gt;0</formula>
    </cfRule>
    <cfRule type="expression" dxfId="1931" priority="36">
      <formula>F47&lt;0</formula>
    </cfRule>
  </conditionalFormatting>
  <conditionalFormatting sqref="Q7">
    <cfRule type="expression" dxfId="1930" priority="33">
      <formula>Q7&gt;0</formula>
    </cfRule>
    <cfRule type="expression" dxfId="1929" priority="34">
      <formula>Q7&lt;0</formula>
    </cfRule>
  </conditionalFormatting>
  <conditionalFormatting sqref="Q8">
    <cfRule type="expression" dxfId="1928" priority="31">
      <formula>Q8&gt;0</formula>
    </cfRule>
    <cfRule type="expression" dxfId="1927" priority="32">
      <formula>Q8&lt;0</formula>
    </cfRule>
  </conditionalFormatting>
  <conditionalFormatting sqref="F30:F46">
    <cfRule type="expression" dxfId="1926" priority="29">
      <formula>F30&gt;0</formula>
    </cfRule>
    <cfRule type="expression" dxfId="1925" priority="30">
      <formula>F30&lt;0</formula>
    </cfRule>
  </conditionalFormatting>
  <conditionalFormatting sqref="H30:H46">
    <cfRule type="expression" dxfId="1924" priority="27">
      <formula>H30&gt;0</formula>
    </cfRule>
    <cfRule type="expression" dxfId="1923" priority="28">
      <formula>H30&lt;0</formula>
    </cfRule>
  </conditionalFormatting>
  <conditionalFormatting sqref="Q10">
    <cfRule type="expression" dxfId="1922" priority="25">
      <formula>Q10&gt;0</formula>
    </cfRule>
    <cfRule type="expression" dxfId="1921" priority="26">
      <formula>Q10&lt;0</formula>
    </cfRule>
  </conditionalFormatting>
  <conditionalFormatting sqref="J25:J38">
    <cfRule type="expression" dxfId="1920" priority="23">
      <formula>J25&gt;0</formula>
    </cfRule>
    <cfRule type="expression" dxfId="1919" priority="24">
      <formula>J25&lt;0</formula>
    </cfRule>
  </conditionalFormatting>
  <conditionalFormatting sqref="K25:K38">
    <cfRule type="expression" dxfId="1918" priority="21">
      <formula>K25&gt;0</formula>
    </cfRule>
    <cfRule type="expression" dxfId="1917" priority="22">
      <formula>K25&lt;0</formula>
    </cfRule>
  </conditionalFormatting>
  <conditionalFormatting sqref="L25 L38">
    <cfRule type="expression" dxfId="1916" priority="19">
      <formula>L25&gt;0</formula>
    </cfRule>
    <cfRule type="expression" dxfId="1915" priority="20">
      <formula>L25&lt;0</formula>
    </cfRule>
  </conditionalFormatting>
  <conditionalFormatting sqref="F89:F110">
    <cfRule type="expression" dxfId="1914" priority="17">
      <formula>F89&gt;0</formula>
    </cfRule>
    <cfRule type="expression" dxfId="1913" priority="18">
      <formula>F89&lt;0</formula>
    </cfRule>
  </conditionalFormatting>
  <conditionalFormatting sqref="H89:H110">
    <cfRule type="expression" dxfId="1912" priority="15">
      <formula>H89&gt;0</formula>
    </cfRule>
    <cfRule type="expression" dxfId="1911" priority="16">
      <formula>H89&lt;0</formula>
    </cfRule>
  </conditionalFormatting>
  <conditionalFormatting sqref="J89:J102">
    <cfRule type="expression" dxfId="1910" priority="13">
      <formula>J89&gt;0</formula>
    </cfRule>
    <cfRule type="expression" dxfId="1909" priority="14">
      <formula>J89&lt;0</formula>
    </cfRule>
  </conditionalFormatting>
  <conditionalFormatting sqref="K89:K102">
    <cfRule type="expression" dxfId="1908" priority="11">
      <formula>K89&gt;0</formula>
    </cfRule>
    <cfRule type="expression" dxfId="1907" priority="12">
      <formula>K89&lt;0</formula>
    </cfRule>
  </conditionalFormatting>
  <conditionalFormatting sqref="L89:L102">
    <cfRule type="expression" dxfId="1906" priority="9">
      <formula>L89&gt;0</formula>
    </cfRule>
    <cfRule type="expression" dxfId="1905" priority="10">
      <formula>L89&lt;0</formula>
    </cfRule>
  </conditionalFormatting>
  <conditionalFormatting sqref="F25 F29">
    <cfRule type="expression" dxfId="1904" priority="7">
      <formula>F25&gt;0</formula>
    </cfRule>
    <cfRule type="expression" dxfId="1903" priority="8">
      <formula>F25&lt;0</formula>
    </cfRule>
  </conditionalFormatting>
  <conditionalFormatting sqref="H29 H25:H27">
    <cfRule type="expression" dxfId="1902" priority="5">
      <formula>H25&gt;0</formula>
    </cfRule>
    <cfRule type="expression" dxfId="1901" priority="6">
      <formula>H25&lt;0</formula>
    </cfRule>
  </conditionalFormatting>
  <conditionalFormatting sqref="F26:F28">
    <cfRule type="expression" dxfId="1900" priority="3">
      <formula>F26&gt;0</formula>
    </cfRule>
    <cfRule type="expression" dxfId="1899" priority="4">
      <formula>F26&lt;0</formula>
    </cfRule>
  </conditionalFormatting>
  <conditionalFormatting sqref="H28">
    <cfRule type="expression" dxfId="1898" priority="1">
      <formula>H28&gt;0</formula>
    </cfRule>
    <cfRule type="expression" dxfId="1897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3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1500</v>
      </c>
      <c r="T2" s="826" t="s">
        <v>347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27.715833333333347</v>
      </c>
      <c r="T3" s="813" t="s">
        <v>459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27.99</v>
      </c>
      <c r="R4" s="222">
        <v>-2.0999999999999999E-3</v>
      </c>
      <c r="T4" s="34" t="s">
        <v>671</v>
      </c>
      <c r="U4" s="22" t="s">
        <v>670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41985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41573.750000000022</v>
      </c>
      <c r="T6" s="813" t="s">
        <v>1014</v>
      </c>
      <c r="U6" t="s">
        <v>1016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2159.2199999999648</v>
      </c>
      <c r="R7">
        <v>200</v>
      </c>
      <c r="T7" s="813" t="s">
        <v>1145</v>
      </c>
      <c r="U7" t="s">
        <v>1146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411.2499999999709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208</v>
      </c>
      <c r="Q9" s="222">
        <f>IF(Q2=0, 0, Q8/Q6)</f>
        <v>9.8920592922209487E-3</v>
      </c>
      <c r="T9" s="813" t="s">
        <v>516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207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2.0007145409074674E-2</v>
      </c>
      <c r="R11">
        <v>0.14000000000000001</v>
      </c>
      <c r="T11" s="813">
        <v>43095</v>
      </c>
      <c r="U11" t="s">
        <v>784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946</v>
      </c>
      <c r="Q12" s="29" t="s">
        <v>1154</v>
      </c>
      <c r="U12" t="s">
        <v>790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1015</v>
      </c>
      <c r="Q13" s="2">
        <f>Q4/(2+2.15)*2</f>
        <v>13.489156626506022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/>
      <c r="Q14" s="736"/>
      <c r="T14" s="813">
        <v>43102</v>
      </c>
      <c r="U14" t="s">
        <v>847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1040</v>
      </c>
      <c r="Q15" s="29">
        <v>43285</v>
      </c>
      <c r="U15" t="s">
        <v>835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845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846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851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859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51" t="s">
        <v>78</v>
      </c>
      <c r="P22" s="851"/>
      <c r="U22" t="s">
        <v>860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30.789000000000001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30.5091</v>
      </c>
      <c r="Q24" s="2"/>
      <c r="T24" s="813">
        <v>43126</v>
      </c>
      <c r="U24" t="s">
        <v>910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30.229199999999999</v>
      </c>
      <c r="Q25" s="2"/>
      <c r="U25" t="s">
        <v>911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29.949300000000001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29.6694</v>
      </c>
      <c r="Q27" s="2"/>
      <c r="T27" s="814">
        <v>43153</v>
      </c>
      <c r="U27" t="s">
        <v>950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29.389499999999998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29.1096</v>
      </c>
      <c r="Q29" s="2"/>
      <c r="T29" s="814">
        <v>43161</v>
      </c>
      <c r="U29" t="s">
        <v>949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28.829699999999999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28.549799999999998</v>
      </c>
      <c r="Q31" s="2"/>
      <c r="T31" s="814">
        <v>43167</v>
      </c>
      <c r="U31" t="s">
        <v>976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28.2699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27.99</v>
      </c>
      <c r="Q33" s="2"/>
      <c r="T33" s="813">
        <v>43196</v>
      </c>
      <c r="U33" t="s">
        <v>969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H34" s="176"/>
      <c r="I34" s="3"/>
      <c r="J34" s="3"/>
      <c r="K34" s="3"/>
      <c r="O34" s="81">
        <v>0.99</v>
      </c>
      <c r="P34" s="81">
        <f t="shared" si="2"/>
        <v>27.710099999999997</v>
      </c>
      <c r="Q34" s="2"/>
      <c r="U34" t="s">
        <v>991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27.430199999999999</v>
      </c>
      <c r="Q35" s="2"/>
      <c r="T35" s="813">
        <v>43200</v>
      </c>
      <c r="U35" t="s">
        <v>1006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27.150299999999998</v>
      </c>
      <c r="T36" s="813">
        <v>43203</v>
      </c>
      <c r="U36" t="s">
        <v>1005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26.870399999999997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7" si="3">D38*C38+E38</f>
        <v>1942.4</v>
      </c>
      <c r="G38" s="29"/>
      <c r="O38" s="81">
        <v>0.95</v>
      </c>
      <c r="P38" s="81">
        <f t="shared" si="2"/>
        <v>26.590499999999999</v>
      </c>
      <c r="T38" s="813">
        <v>43210</v>
      </c>
      <c r="U38" t="s">
        <v>1011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26.310599999999997</v>
      </c>
      <c r="U39" t="s">
        <v>1012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26.0307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25.750799999999998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25.4709</v>
      </c>
      <c r="T42" s="813">
        <v>43214</v>
      </c>
      <c r="U42" t="s">
        <v>1017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25.190999999999999</v>
      </c>
      <c r="T43" s="813">
        <v>43221</v>
      </c>
      <c r="U43" t="s">
        <v>1058</v>
      </c>
      <c r="W43" s="134"/>
      <c r="AA43" s="2"/>
      <c r="AD43" s="2"/>
      <c r="AG43" s="2"/>
      <c r="AI43" s="2"/>
    </row>
    <row r="44" spans="1:39" x14ac:dyDescent="0.25">
      <c r="A44" t="s">
        <v>1139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1056</v>
      </c>
      <c r="W44" s="134"/>
      <c r="AA44" s="2"/>
      <c r="AD44" s="2"/>
      <c r="AG44" s="2"/>
      <c r="AI44" s="2"/>
    </row>
    <row r="45" spans="1:39" x14ac:dyDescent="0.25">
      <c r="B45" s="477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735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1057</v>
      </c>
      <c r="W46" s="134"/>
      <c r="AA46" s="2"/>
      <c r="AD46" s="2"/>
      <c r="AG46" s="2"/>
      <c r="AI46" s="2"/>
    </row>
    <row r="47" spans="1:39" x14ac:dyDescent="0.25">
      <c r="B47" s="735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29"/>
      <c r="C48" s="4"/>
      <c r="D48" s="231"/>
      <c r="E48" s="3"/>
      <c r="F48" s="3"/>
      <c r="G48" s="29"/>
      <c r="T48" s="813">
        <v>43236</v>
      </c>
      <c r="U48" t="s">
        <v>1082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1013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1084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1086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1097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11320</v>
      </c>
      <c r="D57" s="18"/>
      <c r="E57" s="18"/>
      <c r="F57" s="18">
        <f>SUM(F2:F56)</f>
        <v>298301.67</v>
      </c>
      <c r="G57" s="14"/>
      <c r="H57" s="14">
        <f>SUM(H2:H56)</f>
        <v>9820</v>
      </c>
      <c r="I57" s="18"/>
      <c r="J57" s="18"/>
      <c r="K57" s="18">
        <f>SUM(K2:K56)</f>
        <v>255509.51999999996</v>
      </c>
      <c r="L57" s="14"/>
      <c r="M57" s="18">
        <f>SUM(M2:M56)</f>
        <v>1218.4000000000001</v>
      </c>
      <c r="U57" t="s">
        <v>1156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9820</v>
      </c>
      <c r="D58" s="343"/>
      <c r="E58" s="343"/>
      <c r="F58" s="344">
        <f>SumByColor($A$58,F2:F56)</f>
        <v>253951</v>
      </c>
      <c r="G58" s="344"/>
      <c r="H58" s="747">
        <f>SumByColor($A$58,H2:H56)</f>
        <v>9820</v>
      </c>
      <c r="I58" s="343"/>
      <c r="J58" s="343"/>
      <c r="K58" s="344">
        <f>SumByColor($A$58,K2:K56)</f>
        <v>255514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1140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1141</v>
      </c>
      <c r="AA61" s="2"/>
      <c r="AD61" s="2"/>
      <c r="AG61" s="2"/>
      <c r="AI61" s="2"/>
    </row>
    <row r="62" spans="1:39" x14ac:dyDescent="0.25">
      <c r="U62" t="s">
        <v>1142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497</v>
      </c>
      <c r="K63" s="220" t="s">
        <v>150</v>
      </c>
      <c r="L63" s="220" t="s">
        <v>728</v>
      </c>
      <c r="AA63" s="2"/>
      <c r="AD63" s="2"/>
      <c r="AG63" s="2"/>
      <c r="AI63" s="2"/>
    </row>
    <row r="64" spans="1:39" x14ac:dyDescent="0.25">
      <c r="A64" t="s">
        <v>336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/>
      <c r="L64" s="39"/>
      <c r="T64" s="813">
        <v>43284</v>
      </c>
      <c r="U64" t="s">
        <v>1152</v>
      </c>
    </row>
    <row r="65" spans="1:21" x14ac:dyDescent="0.25">
      <c r="A65" t="s">
        <v>336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/>
      <c r="L65" s="39"/>
      <c r="U65" t="s">
        <v>1153</v>
      </c>
    </row>
    <row r="66" spans="1:21" x14ac:dyDescent="0.25">
      <c r="A66" t="s">
        <v>366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/>
      <c r="L66" s="39"/>
    </row>
    <row r="67" spans="1:21" x14ac:dyDescent="0.25">
      <c r="A67" t="s">
        <v>390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/>
      <c r="L67" s="39"/>
    </row>
    <row r="68" spans="1:21" x14ac:dyDescent="0.25">
      <c r="A68" t="s">
        <v>406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/>
      <c r="L68" s="39"/>
    </row>
    <row r="69" spans="1:21" x14ac:dyDescent="0.25">
      <c r="A69" t="s">
        <v>367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/>
      <c r="L69" s="39"/>
    </row>
    <row r="70" spans="1:21" x14ac:dyDescent="0.25">
      <c r="A70" t="s">
        <v>430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438</v>
      </c>
      <c r="J70" s="39"/>
      <c r="K70" s="39"/>
      <c r="L70" s="39"/>
    </row>
    <row r="71" spans="1:21" x14ac:dyDescent="0.25">
      <c r="A71" t="s">
        <v>337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7">C71*(E71-D71)</f>
        <v>-217.15200000000294</v>
      </c>
      <c r="G71" s="39">
        <f t="shared" ref="G71:G102" si="8">D71*C71</f>
        <v>20155.152000000002</v>
      </c>
      <c r="H71" s="222">
        <f t="shared" ref="H71:H102" si="9">(E71-D71)/D71</f>
        <v>-1.0774019466586158E-2</v>
      </c>
      <c r="I71" s="39">
        <v>33</v>
      </c>
      <c r="J71" s="39"/>
      <c r="K71" s="39"/>
      <c r="L71" s="39"/>
    </row>
    <row r="72" spans="1:21" x14ac:dyDescent="0.25">
      <c r="A72" t="s">
        <v>462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7"/>
        <v>-815.12000000000171</v>
      </c>
      <c r="G72" s="39">
        <f t="shared" si="8"/>
        <v>26591.120000000003</v>
      </c>
      <c r="H72" s="222">
        <f t="shared" si="9"/>
        <v>-3.0653842335336072E-2</v>
      </c>
      <c r="I72" s="39"/>
      <c r="J72" s="39"/>
      <c r="K72" s="39"/>
      <c r="L72" s="39"/>
      <c r="T72" s="848">
        <v>43377</v>
      </c>
      <c r="U72" t="s">
        <v>1189</v>
      </c>
    </row>
    <row r="73" spans="1:21" x14ac:dyDescent="0.25">
      <c r="A73" t="s">
        <v>467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7"/>
        <v>-1989.12</v>
      </c>
      <c r="G73" s="39">
        <f t="shared" si="8"/>
        <v>44927.12</v>
      </c>
      <c r="H73" s="222">
        <f t="shared" si="9"/>
        <v>-4.4274371470951167E-2</v>
      </c>
      <c r="I73" s="39"/>
      <c r="J73" s="39"/>
      <c r="K73" s="39"/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7"/>
        <v>-3487.4999999999991</v>
      </c>
      <c r="G74" s="39">
        <f t="shared" si="8"/>
        <v>47932.5</v>
      </c>
      <c r="H74" s="222">
        <f t="shared" si="9"/>
        <v>-7.2758566734470329E-2</v>
      </c>
      <c r="I74" s="39"/>
      <c r="J74" s="39"/>
      <c r="K74" s="39">
        <v>-1739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7"/>
        <v>-4805.9000000000033</v>
      </c>
      <c r="G75" s="39">
        <f t="shared" si="8"/>
        <v>53595.9</v>
      </c>
      <c r="H75" s="222">
        <f t="shared" si="9"/>
        <v>-8.9669172455355772E-2</v>
      </c>
      <c r="I75" s="39"/>
      <c r="J75" s="39">
        <v>23.65</v>
      </c>
      <c r="K75" s="39">
        <v>-3059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7"/>
        <v>-4532.9999999999973</v>
      </c>
      <c r="G76" s="39">
        <f t="shared" si="8"/>
        <v>47793</v>
      </c>
      <c r="H76" s="222">
        <f t="shared" si="9"/>
        <v>-9.4846525641830354E-2</v>
      </c>
      <c r="I76" s="39"/>
      <c r="J76" s="39">
        <v>25.81</v>
      </c>
      <c r="K76" s="39">
        <v>-2785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7"/>
        <v>-4142.9999999999955</v>
      </c>
      <c r="G77" s="39">
        <f t="shared" si="8"/>
        <v>47793</v>
      </c>
      <c r="H77" s="222">
        <f t="shared" si="9"/>
        <v>-8.6686334818906446E-2</v>
      </c>
      <c r="I77" s="39"/>
      <c r="J77" s="39"/>
      <c r="K77" s="39">
        <v>-2395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7"/>
        <v>-3764.9999999999968</v>
      </c>
      <c r="G78" s="39">
        <f t="shared" si="8"/>
        <v>47790</v>
      </c>
      <c r="H78" s="222">
        <f t="shared" si="9"/>
        <v>-7.878217200251092E-2</v>
      </c>
      <c r="I78" s="39"/>
      <c r="J78" s="39"/>
      <c r="K78" s="39">
        <v>-2016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7"/>
        <v>-3944.9999999999986</v>
      </c>
      <c r="G79" s="39">
        <f t="shared" si="8"/>
        <v>47790</v>
      </c>
      <c r="H79" s="222">
        <f t="shared" si="9"/>
        <v>-8.2548650345260488E-2</v>
      </c>
      <c r="I79" s="39">
        <v>31</v>
      </c>
      <c r="J79" s="39"/>
      <c r="K79" s="39">
        <v>-2196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7"/>
        <v>-11658.96</v>
      </c>
      <c r="G80" s="39">
        <f t="shared" si="8"/>
        <v>55182.96</v>
      </c>
      <c r="H80" s="222">
        <f t="shared" si="9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7"/>
        <v>-14922.88</v>
      </c>
      <c r="G81" s="39">
        <f t="shared" si="8"/>
        <v>59502.879999999997</v>
      </c>
      <c r="H81" s="222">
        <f t="shared" si="9"/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7"/>
        <v>-12982.879999999994</v>
      </c>
      <c r="G82" s="39">
        <f t="shared" si="8"/>
        <v>59502.879999999997</v>
      </c>
      <c r="H82" s="222">
        <f t="shared" si="9"/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7"/>
        <v>-10943.942999999997</v>
      </c>
      <c r="G83" s="39">
        <f t="shared" si="8"/>
        <v>57075.942999999999</v>
      </c>
      <c r="H83" s="222">
        <f t="shared" si="9"/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7"/>
        <v>-8839.9999999999964</v>
      </c>
      <c r="G84" s="39">
        <f t="shared" si="8"/>
        <v>59400</v>
      </c>
      <c r="H84" s="222">
        <f t="shared" si="9"/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7"/>
        <v>-14325.999999999993</v>
      </c>
      <c r="G85" s="39">
        <f t="shared" si="8"/>
        <v>59166</v>
      </c>
      <c r="H85" s="222">
        <f t="shared" si="9"/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7"/>
        <v>-16722.480000000003</v>
      </c>
      <c r="G86" s="39">
        <f t="shared" si="8"/>
        <v>67314.48</v>
      </c>
      <c r="H86" s="222">
        <f t="shared" si="9"/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7"/>
        <v>-16623.999999999996</v>
      </c>
      <c r="G87" s="39">
        <f t="shared" si="8"/>
        <v>58894</v>
      </c>
      <c r="H87" s="222">
        <f t="shared" si="9"/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7"/>
        <v>-16013.999999999996</v>
      </c>
      <c r="G88" s="39">
        <f t="shared" si="8"/>
        <v>58894</v>
      </c>
      <c r="H88" s="222">
        <f t="shared" si="9"/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7"/>
        <v>-18460.640000000003</v>
      </c>
      <c r="G89" s="39">
        <f t="shared" si="8"/>
        <v>62944.639999999999</v>
      </c>
      <c r="H89" s="222">
        <f t="shared" si="9"/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7"/>
        <v>-17704</v>
      </c>
      <c r="G90" s="39">
        <f t="shared" si="8"/>
        <v>58824</v>
      </c>
      <c r="H90" s="222">
        <f t="shared" si="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7"/>
        <v>-16223.999999999996</v>
      </c>
      <c r="G91" s="39">
        <f t="shared" si="8"/>
        <v>58824</v>
      </c>
      <c r="H91" s="222">
        <f t="shared" si="9"/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7"/>
        <v>-16123.999999999995</v>
      </c>
      <c r="G92" s="39">
        <f t="shared" si="8"/>
        <v>58824</v>
      </c>
      <c r="H92" s="222">
        <f t="shared" si="9"/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7"/>
        <v>-14664.000000000002</v>
      </c>
      <c r="G93" s="39">
        <f t="shared" si="8"/>
        <v>58824</v>
      </c>
      <c r="H93" s="222">
        <f t="shared" si="9"/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7"/>
        <v>-12171.6</v>
      </c>
      <c r="G94" s="39">
        <f t="shared" si="8"/>
        <v>54309.599999999999</v>
      </c>
      <c r="H94" s="222">
        <f t="shared" si="9"/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7"/>
        <v>-6716.6999999999953</v>
      </c>
      <c r="G95" s="39">
        <f t="shared" si="8"/>
        <v>51664.7</v>
      </c>
      <c r="H95" s="222">
        <f t="shared" si="9"/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7"/>
        <v>-5628.8000000000011</v>
      </c>
      <c r="G96" s="39">
        <f t="shared" si="8"/>
        <v>48956.799999999996</v>
      </c>
      <c r="H96" s="222">
        <f t="shared" si="9"/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7"/>
        <v>-7635.0399999999981</v>
      </c>
      <c r="G97" s="39">
        <f t="shared" si="8"/>
        <v>48707.040000000001</v>
      </c>
      <c r="H97" s="222">
        <f t="shared" si="9"/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7"/>
        <v>-6019.0400000000009</v>
      </c>
      <c r="G98" s="39">
        <f t="shared" si="8"/>
        <v>48707.040000000001</v>
      </c>
      <c r="H98" s="222">
        <f t="shared" si="9"/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7"/>
        <v>-5426.9999999999982</v>
      </c>
      <c r="G99" s="39">
        <f t="shared" si="8"/>
        <v>46002</v>
      </c>
      <c r="H99" s="222">
        <f t="shared" si="9"/>
        <v>-0.11797313160297374</v>
      </c>
      <c r="I99" s="193" t="s">
        <v>774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7"/>
        <v>-5021.7999999999993</v>
      </c>
      <c r="G100" s="39">
        <f t="shared" si="8"/>
        <v>43269.8</v>
      </c>
      <c r="H100" s="222">
        <f t="shared" si="9"/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7"/>
        <v>-3724.4999999999982</v>
      </c>
      <c r="G101" s="39">
        <f t="shared" si="8"/>
        <v>40449.5</v>
      </c>
      <c r="H101" s="222">
        <f t="shared" si="9"/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7"/>
        <v>-4290.9999999999964</v>
      </c>
      <c r="G102" s="39">
        <f t="shared" si="8"/>
        <v>43211</v>
      </c>
      <c r="H102" s="222">
        <f t="shared" si="9"/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0">C103*(E103-D103)</f>
        <v>-3612.7</v>
      </c>
      <c r="G103" s="39">
        <f t="shared" ref="G103:G134" si="11">D103*C103</f>
        <v>40402.700000000004</v>
      </c>
      <c r="H103" s="222">
        <f t="shared" ref="H103:H134" si="12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0"/>
        <v>-4197.6999999999989</v>
      </c>
      <c r="G104" s="39">
        <f t="shared" si="11"/>
        <v>40402.700000000004</v>
      </c>
      <c r="H104" s="222">
        <f t="shared" si="12"/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0"/>
        <v>-5158.5</v>
      </c>
      <c r="G105" s="39">
        <f t="shared" si="11"/>
        <v>45823.5</v>
      </c>
      <c r="H105" s="222">
        <f t="shared" si="12"/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0"/>
        <v>-5729.0000000000018</v>
      </c>
      <c r="G106" s="39">
        <f t="shared" si="11"/>
        <v>51170</v>
      </c>
      <c r="H106" s="222">
        <f t="shared" si="12"/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0"/>
        <v>-4686.5000000000009</v>
      </c>
      <c r="G107" s="39">
        <f t="shared" si="11"/>
        <v>40202.5</v>
      </c>
      <c r="H107" s="222">
        <f t="shared" si="12"/>
        <v>-0.1165723524656427</v>
      </c>
      <c r="I107" s="39"/>
      <c r="J107" s="39"/>
      <c r="K107" s="39">
        <v>-2938</v>
      </c>
      <c r="L107" s="39"/>
      <c r="M107" t="s">
        <v>848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0"/>
        <v>-3841.5000000000023</v>
      </c>
      <c r="G108" s="39">
        <f t="shared" si="11"/>
        <v>40202.5</v>
      </c>
      <c r="H108" s="222">
        <f t="shared" si="12"/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0"/>
        <v>-3578.9</v>
      </c>
      <c r="G109" s="39">
        <f t="shared" si="11"/>
        <v>40160.9</v>
      </c>
      <c r="H109" s="222">
        <f t="shared" si="12"/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0"/>
        <v>-2889.8999999999987</v>
      </c>
      <c r="G110" s="39">
        <f t="shared" si="11"/>
        <v>40160.9</v>
      </c>
      <c r="H110" s="222">
        <f t="shared" si="12"/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0"/>
        <v>-1500</v>
      </c>
      <c r="G111" s="39">
        <f t="shared" si="11"/>
        <v>31220</v>
      </c>
      <c r="H111" s="222">
        <f t="shared" si="12"/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0"/>
        <v>-1485.6400000000015</v>
      </c>
      <c r="G112" s="39">
        <f t="shared" si="11"/>
        <v>40004.639999999999</v>
      </c>
      <c r="H112" s="222">
        <f t="shared" si="12"/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0"/>
        <v>-1901.6400000000019</v>
      </c>
      <c r="G113" s="39">
        <f t="shared" si="11"/>
        <v>40004.639999999999</v>
      </c>
      <c r="H113" s="222">
        <f t="shared" si="12"/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0"/>
        <v>-594.99999999999886</v>
      </c>
      <c r="G114" s="39">
        <f t="shared" si="11"/>
        <v>30855</v>
      </c>
      <c r="H114" s="222">
        <f t="shared" si="12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0"/>
        <v>9.055999999998221</v>
      </c>
      <c r="G115" s="39">
        <f t="shared" si="11"/>
        <v>24694.944</v>
      </c>
      <c r="H115" s="222">
        <f t="shared" si="12"/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0"/>
        <v>-350.99999999999943</v>
      </c>
      <c r="G116" s="39">
        <f t="shared" si="11"/>
        <v>39819</v>
      </c>
      <c r="H116" s="222">
        <f t="shared" si="12"/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0"/>
        <v>-1669.4999999999993</v>
      </c>
      <c r="G117" s="39">
        <f t="shared" si="11"/>
        <v>45679.5</v>
      </c>
      <c r="H117" s="222">
        <f t="shared" si="12"/>
        <v>-3.6548123337602191E-2</v>
      </c>
      <c r="I117" s="193" t="s">
        <v>919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0"/>
        <v>-1602.0000000000009</v>
      </c>
      <c r="G118" s="39">
        <f t="shared" si="11"/>
        <v>53928</v>
      </c>
      <c r="H118" s="222">
        <f t="shared" si="12"/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0"/>
        <v>-4302.0000000000009</v>
      </c>
      <c r="G119" s="39">
        <f t="shared" si="11"/>
        <v>53928</v>
      </c>
      <c r="H119" s="222">
        <f t="shared" si="12"/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0"/>
        <v>-2106.0000000000032</v>
      </c>
      <c r="G120" s="39">
        <f t="shared" si="11"/>
        <v>53928</v>
      </c>
      <c r="H120" s="222">
        <f t="shared" si="12"/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0"/>
        <v>-4446.0000000000045</v>
      </c>
      <c r="G121" s="39">
        <f t="shared" si="11"/>
        <v>53928</v>
      </c>
      <c r="H121" s="222">
        <f t="shared" si="12"/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0"/>
        <v>-3286.7999999999947</v>
      </c>
      <c r="G122" s="39">
        <f t="shared" si="11"/>
        <v>53704.799999999996</v>
      </c>
      <c r="H122" s="222">
        <f t="shared" si="12"/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0"/>
        <v>-5780.0000000000009</v>
      </c>
      <c r="G123" s="39">
        <f t="shared" si="11"/>
        <v>58960</v>
      </c>
      <c r="H123" s="222">
        <f t="shared" si="12"/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0"/>
        <v>-13344.599999999999</v>
      </c>
      <c r="G124" s="39">
        <f t="shared" si="11"/>
        <v>66198.600000000006</v>
      </c>
      <c r="H124" s="222">
        <f t="shared" si="12"/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0"/>
        <v>-13365</v>
      </c>
      <c r="G125" s="39">
        <f t="shared" si="11"/>
        <v>70815</v>
      </c>
      <c r="H125" s="222">
        <f t="shared" si="12"/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0"/>
        <v>-13349.999999999998</v>
      </c>
      <c r="G126" s="39">
        <f t="shared" si="11"/>
        <v>82290</v>
      </c>
      <c r="H126" s="222">
        <f t="shared" si="12"/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0"/>
        <v>-10050.000000000004</v>
      </c>
      <c r="G127" s="39">
        <f t="shared" si="11"/>
        <v>82290</v>
      </c>
      <c r="H127" s="222">
        <f t="shared" si="12"/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0"/>
        <v>-11618.999999999993</v>
      </c>
      <c r="G128" s="39">
        <f t="shared" si="11"/>
        <v>81459</v>
      </c>
      <c r="H128" s="222">
        <f t="shared" si="12"/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0"/>
        <v>-9646</v>
      </c>
      <c r="G129" s="39">
        <f t="shared" si="11"/>
        <v>76678</v>
      </c>
      <c r="H129" s="222">
        <f t="shared" si="12"/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0"/>
        <v>-9250.0000000000073</v>
      </c>
      <c r="G130" s="39">
        <f t="shared" si="11"/>
        <v>69450</v>
      </c>
      <c r="H130" s="222">
        <f t="shared" si="12"/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0"/>
        <v>-10025.000000000004</v>
      </c>
      <c r="G131" s="39">
        <f t="shared" si="11"/>
        <v>69450</v>
      </c>
      <c r="H131" s="222">
        <f t="shared" si="12"/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0"/>
        <v>-7954.0000000000009</v>
      </c>
      <c r="G132" s="39">
        <f t="shared" si="11"/>
        <v>57114</v>
      </c>
      <c r="H132" s="222">
        <f t="shared" si="12"/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0"/>
        <v>-8754.9999999999964</v>
      </c>
      <c r="G133" s="39">
        <f t="shared" si="11"/>
        <v>69205</v>
      </c>
      <c r="H133" s="222">
        <f t="shared" si="12"/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0"/>
        <v>-7005.2000000000025</v>
      </c>
      <c r="G134" s="39">
        <f t="shared" si="11"/>
        <v>56765.2</v>
      </c>
      <c r="H134" s="222">
        <f t="shared" si="12"/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3">C135*(E135-D135)</f>
        <v>-8205</v>
      </c>
      <c r="G135" s="39">
        <f t="shared" ref="G135:G157" si="14">D135*C135</f>
        <v>68905</v>
      </c>
      <c r="H135" s="222">
        <f t="shared" ref="H135:H157" si="15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3"/>
        <v>-6930.0000000000045</v>
      </c>
      <c r="G136" s="39">
        <f t="shared" si="14"/>
        <v>61468</v>
      </c>
      <c r="H136" s="222">
        <f t="shared" si="15"/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3"/>
        <v>-5678</v>
      </c>
      <c r="G137" s="39">
        <f t="shared" si="14"/>
        <v>48824</v>
      </c>
      <c r="H137" s="222">
        <f t="shared" si="15"/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3"/>
        <v>-5867.9999999999982</v>
      </c>
      <c r="G138" s="39">
        <f t="shared" si="14"/>
        <v>43653</v>
      </c>
      <c r="H138" s="222">
        <f t="shared" si="15"/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3"/>
        <v>-5909.1999999999989</v>
      </c>
      <c r="G139" s="39">
        <f t="shared" si="14"/>
        <v>48732.2</v>
      </c>
      <c r="H139" s="222">
        <f t="shared" si="15"/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3"/>
        <v>-6607.9999999999973</v>
      </c>
      <c r="G140" s="39">
        <f t="shared" si="14"/>
        <v>56128</v>
      </c>
      <c r="H140" s="222">
        <f t="shared" si="15"/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3"/>
        <v>-7839.9999999999964</v>
      </c>
      <c r="G141" s="39">
        <f t="shared" si="14"/>
        <v>56120</v>
      </c>
      <c r="H141" s="222">
        <f t="shared" si="15"/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3"/>
        <v>-6979.9999999999973</v>
      </c>
      <c r="G142" s="39">
        <f t="shared" si="14"/>
        <v>56120</v>
      </c>
      <c r="H142" s="222">
        <f t="shared" si="15"/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3"/>
        <v>-5384</v>
      </c>
      <c r="G143" s="39">
        <f t="shared" si="14"/>
        <v>55984</v>
      </c>
      <c r="H143" s="222">
        <f t="shared" si="15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3"/>
        <v>-6204.0000000000009</v>
      </c>
      <c r="G144" s="39">
        <f t="shared" si="14"/>
        <v>55984</v>
      </c>
      <c r="H144" s="222">
        <f t="shared" si="15"/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3"/>
        <v>-6444.0000000000027</v>
      </c>
      <c r="G145" s="39">
        <f t="shared" si="14"/>
        <v>55984</v>
      </c>
      <c r="H145" s="222">
        <f t="shared" si="15"/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3"/>
        <v>-6841.9999999999991</v>
      </c>
      <c r="G146" s="39">
        <f t="shared" si="14"/>
        <v>60896</v>
      </c>
      <c r="H146" s="222">
        <f t="shared" si="15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3"/>
        <v>-6923.3999999999969</v>
      </c>
      <c r="G147" s="39">
        <f t="shared" si="14"/>
        <v>60647.4</v>
      </c>
      <c r="H147" s="222">
        <f t="shared" si="15"/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3"/>
        <v>-4856.0000000000018</v>
      </c>
      <c r="G148" s="39">
        <f t="shared" si="14"/>
        <v>55576</v>
      </c>
      <c r="H148" s="222">
        <f t="shared" si="15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3"/>
        <v>-3471</v>
      </c>
      <c r="G149" s="39">
        <f t="shared" si="14"/>
        <v>42486</v>
      </c>
      <c r="H149" s="222">
        <f t="shared" si="15"/>
        <v>-8.1697500353057478E-2</v>
      </c>
      <c r="I149" s="840" t="s">
        <v>1130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3"/>
        <v>-3644.1640000000007</v>
      </c>
      <c r="G150" s="39">
        <f t="shared" si="14"/>
        <v>48157.763999999996</v>
      </c>
      <c r="H150" s="222">
        <f t="shared" si="15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3"/>
        <v>-3383.4000000000019</v>
      </c>
      <c r="G151" s="39">
        <f t="shared" si="14"/>
        <v>42398.25</v>
      </c>
      <c r="H151" s="222">
        <f t="shared" si="15"/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3"/>
        <v>1001.100000000001</v>
      </c>
      <c r="G152" s="39">
        <f t="shared" si="14"/>
        <v>42093.9</v>
      </c>
      <c r="H152" s="222">
        <f t="shared" si="15"/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3"/>
        <v>2961.2550000000015</v>
      </c>
      <c r="G153" s="39">
        <f t="shared" si="14"/>
        <v>41573.745000000003</v>
      </c>
      <c r="H153" s="222">
        <f t="shared" si="15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3"/>
        <v>1935.0000000000041</v>
      </c>
      <c r="G154" s="39">
        <f t="shared" si="14"/>
        <v>41580</v>
      </c>
      <c r="H154" s="222">
        <f t="shared" si="15"/>
        <v>4.6536796536796633E-2</v>
      </c>
      <c r="I154" s="39"/>
      <c r="J154" s="39"/>
      <c r="K154" s="39">
        <v>3689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3"/>
        <v>1470.0000000000007</v>
      </c>
      <c r="G155" s="39">
        <f t="shared" si="14"/>
        <v>41580</v>
      </c>
      <c r="H155" s="222">
        <f t="shared" si="15"/>
        <v>3.5353535353535373E-2</v>
      </c>
      <c r="I155" s="39"/>
      <c r="J155" s="39"/>
      <c r="K155" s="39">
        <v>3224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3"/>
        <v>2070.0000000000036</v>
      </c>
      <c r="G156" s="39">
        <f t="shared" si="14"/>
        <v>41580</v>
      </c>
      <c r="H156" s="222">
        <f t="shared" si="15"/>
        <v>4.9783549783549881E-2</v>
      </c>
      <c r="I156" s="39"/>
      <c r="J156" s="39"/>
      <c r="K156" s="39">
        <v>3854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3"/>
        <v>495.00000000000279</v>
      </c>
      <c r="G157" s="39">
        <f t="shared" si="14"/>
        <v>41580</v>
      </c>
      <c r="H157" s="222">
        <f t="shared" si="15"/>
        <v>1.1904761904761972E-2</v>
      </c>
      <c r="I157" s="39"/>
      <c r="J157" s="39"/>
      <c r="K157" s="39">
        <v>2249</v>
      </c>
      <c r="L157" s="39">
        <v>13.52</v>
      </c>
    </row>
    <row r="158" spans="1:12" x14ac:dyDescent="0.25">
      <c r="B158" s="10"/>
      <c r="C158" s="10"/>
      <c r="D158" s="39"/>
      <c r="E158" s="39"/>
      <c r="F158" s="39"/>
      <c r="G158" s="39"/>
      <c r="H158" s="222"/>
      <c r="I158" s="39"/>
      <c r="J158" s="39"/>
      <c r="K158" s="39"/>
      <c r="L158" s="39"/>
    </row>
    <row r="159" spans="1:12" x14ac:dyDescent="0.25">
      <c r="B159" s="10"/>
      <c r="C159" s="10"/>
      <c r="D159" s="39"/>
      <c r="E159" s="39"/>
      <c r="F159" s="39"/>
      <c r="G159" s="39"/>
      <c r="H159" s="222"/>
      <c r="I159" s="39"/>
      <c r="J159" s="39"/>
      <c r="K159" s="39"/>
      <c r="L159" s="39"/>
    </row>
    <row r="160" spans="1:12" x14ac:dyDescent="0.25">
      <c r="B160" s="10"/>
      <c r="C160" s="10"/>
      <c r="D160" s="39"/>
      <c r="E160" s="39"/>
      <c r="F160" s="39"/>
      <c r="G160" s="39"/>
      <c r="H160" s="222"/>
      <c r="I160" s="39"/>
      <c r="J160" s="39"/>
      <c r="K160" s="39"/>
      <c r="L160" s="39"/>
    </row>
    <row r="161" spans="2:12" x14ac:dyDescent="0.25">
      <c r="B161" s="10"/>
      <c r="C161" s="10"/>
      <c r="D161" s="39"/>
      <c r="E161" s="39"/>
      <c r="F161" s="39"/>
      <c r="G161" s="39"/>
      <c r="H161" s="222"/>
      <c r="I161" s="39"/>
      <c r="J161" s="39"/>
      <c r="K161" s="39"/>
      <c r="L161" s="39"/>
    </row>
    <row r="162" spans="2:12" x14ac:dyDescent="0.25">
      <c r="B162" s="10"/>
      <c r="C162" s="10"/>
      <c r="D162" s="39"/>
      <c r="E162" s="39"/>
      <c r="F162" s="39"/>
      <c r="G162" s="39"/>
      <c r="H162" s="222"/>
      <c r="I162" s="39"/>
      <c r="J162" s="39"/>
      <c r="K162" s="39"/>
      <c r="L162" s="39"/>
    </row>
    <row r="163" spans="2:12" x14ac:dyDescent="0.25">
      <c r="B163" s="10"/>
      <c r="C163" s="10"/>
      <c r="D163" s="39"/>
      <c r="E163" s="39"/>
      <c r="F163" s="39"/>
      <c r="G163" s="39"/>
      <c r="H163" s="222"/>
      <c r="I163" s="39"/>
      <c r="J163" s="39"/>
      <c r="K163" s="39"/>
      <c r="L163" s="39"/>
    </row>
    <row r="164" spans="2:12" x14ac:dyDescent="0.25">
      <c r="B164" s="10"/>
      <c r="C164" s="10"/>
      <c r="D164" s="39"/>
      <c r="E164" s="39"/>
      <c r="F164" s="39"/>
      <c r="G164" s="39"/>
      <c r="H164" s="222"/>
      <c r="I164" s="39"/>
      <c r="J164" s="39"/>
      <c r="K164" s="39"/>
      <c r="L164" s="39"/>
    </row>
    <row r="165" spans="2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2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2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2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16">C169*(E169-D169)</f>
        <v>-33.800000000000097</v>
      </c>
      <c r="G169" s="363">
        <f t="shared" ref="G169:G182" si="17">D169*C169</f>
        <v>3591.7999999999997</v>
      </c>
      <c r="H169" s="364">
        <f t="shared" ref="H169:H182" si="18">(E169-D169)/D169</f>
        <v>-9.410323514672336E-3</v>
      </c>
      <c r="I169" s="363"/>
    </row>
    <row r="170" spans="2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16"/>
        <v>85.200000000000387</v>
      </c>
      <c r="G170" s="363">
        <f t="shared" si="17"/>
        <v>3591.7999999999997</v>
      </c>
      <c r="H170" s="364">
        <f t="shared" si="18"/>
        <v>2.3720697143493622E-2</v>
      </c>
      <c r="I170" s="363"/>
    </row>
    <row r="171" spans="2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16"/>
        <v>-136.80000000000021</v>
      </c>
      <c r="G171" s="363">
        <f t="shared" si="17"/>
        <v>3591.7999999999997</v>
      </c>
      <c r="H171" s="364">
        <f t="shared" si="18"/>
        <v>-3.8086753159975562E-2</v>
      </c>
      <c r="I171" s="363"/>
    </row>
    <row r="172" spans="2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16"/>
        <v>-147.56000000000029</v>
      </c>
      <c r="G172" s="363">
        <f t="shared" si="17"/>
        <v>4959.3599999999997</v>
      </c>
      <c r="H172" s="364">
        <f t="shared" si="18"/>
        <v>-2.9753839205058776E-2</v>
      </c>
      <c r="I172" s="363"/>
    </row>
    <row r="173" spans="2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16"/>
        <v>-49.199999999999591</v>
      </c>
      <c r="G173" s="363">
        <f t="shared" si="17"/>
        <v>8408.4</v>
      </c>
      <c r="H173" s="364">
        <f t="shared" si="18"/>
        <v>-5.8512915655772315E-3</v>
      </c>
      <c r="I173" s="363"/>
    </row>
    <row r="174" spans="2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16"/>
        <v>109.60000000000036</v>
      </c>
      <c r="G174" s="363">
        <f t="shared" si="17"/>
        <v>6994.4000000000005</v>
      </c>
      <c r="H174" s="364">
        <f t="shared" si="18"/>
        <v>1.5669678600022927E-2</v>
      </c>
      <c r="I174" s="363"/>
    </row>
    <row r="175" spans="2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16"/>
        <v>-6.4000000000007162</v>
      </c>
      <c r="G175" s="363">
        <f t="shared" si="17"/>
        <v>6994.4000000000005</v>
      </c>
      <c r="H175" s="364">
        <f t="shared" si="18"/>
        <v>-9.150177284685914E-4</v>
      </c>
      <c r="I175" s="363"/>
    </row>
    <row r="176" spans="2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16"/>
        <v>166.71999999999912</v>
      </c>
      <c r="G176" s="363">
        <f t="shared" si="17"/>
        <v>5554.880000000001</v>
      </c>
      <c r="H176" s="364">
        <f t="shared" si="18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16"/>
        <v>218.88000000000034</v>
      </c>
      <c r="G177" s="363">
        <f t="shared" si="17"/>
        <v>5544.32</v>
      </c>
      <c r="H177" s="364">
        <f t="shared" si="18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16"/>
        <v>298.88000000000034</v>
      </c>
      <c r="G178" s="363">
        <f t="shared" si="17"/>
        <v>5544.32</v>
      </c>
      <c r="H178" s="364">
        <f t="shared" si="18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16"/>
        <v>363.18000000000006</v>
      </c>
      <c r="G179" s="363">
        <f t="shared" si="17"/>
        <v>1845.42</v>
      </c>
      <c r="H179" s="364">
        <f t="shared" si="18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16"/>
        <v>329.12000000000035</v>
      </c>
      <c r="G180" s="363">
        <f t="shared" si="17"/>
        <v>5384.48</v>
      </c>
      <c r="H180" s="364">
        <f t="shared" si="18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16"/>
        <v>169.60000000000036</v>
      </c>
      <c r="G181" s="363">
        <f t="shared" si="17"/>
        <v>5384</v>
      </c>
      <c r="H181" s="364">
        <f t="shared" si="18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16"/>
        <v>474.7199999999998</v>
      </c>
      <c r="G182" s="363">
        <f t="shared" si="17"/>
        <v>5384.48</v>
      </c>
      <c r="H182" s="364">
        <f t="shared" si="18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19">C183*(E183-D183)</f>
        <v>588.31999999999994</v>
      </c>
      <c r="G183" s="363">
        <f t="shared" ref="G183:G196" si="20">D183*C183</f>
        <v>5384.48</v>
      </c>
      <c r="H183" s="364">
        <f t="shared" ref="H183:H225" si="21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19"/>
        <v>673.12000000000012</v>
      </c>
      <c r="G184" s="363">
        <f t="shared" si="20"/>
        <v>5384.48</v>
      </c>
      <c r="H184" s="364">
        <f t="shared" si="21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19"/>
        <v>597.9200000000003</v>
      </c>
      <c r="G185" s="363">
        <f t="shared" si="20"/>
        <v>5384.48</v>
      </c>
      <c r="H185" s="364">
        <f t="shared" si="21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19"/>
        <v>489.12000000000035</v>
      </c>
      <c r="G186" s="363">
        <f t="shared" si="20"/>
        <v>5384.48</v>
      </c>
      <c r="H186" s="364">
        <f t="shared" si="21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19"/>
        <v>409.12000000000035</v>
      </c>
      <c r="G187" s="363">
        <f t="shared" si="20"/>
        <v>5384.48</v>
      </c>
      <c r="H187" s="364">
        <f t="shared" si="21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19"/>
        <v>439.52</v>
      </c>
      <c r="G188" s="363">
        <f t="shared" si="20"/>
        <v>5384.48</v>
      </c>
      <c r="H188" s="364">
        <f t="shared" si="21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19"/>
        <v>369.12000000000035</v>
      </c>
      <c r="G189" s="363">
        <f t="shared" si="20"/>
        <v>5384.48</v>
      </c>
      <c r="H189" s="364">
        <f t="shared" si="21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19"/>
        <v>341.92000000000007</v>
      </c>
      <c r="G190" s="363">
        <f t="shared" si="20"/>
        <v>5384.48</v>
      </c>
      <c r="H190" s="364">
        <f t="shared" si="21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19"/>
        <v>442.72000000000048</v>
      </c>
      <c r="G191" s="363">
        <f t="shared" si="20"/>
        <v>5384.48</v>
      </c>
      <c r="H191" s="364">
        <f t="shared" si="21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19"/>
        <v>90.619999999999621</v>
      </c>
      <c r="G192" s="363">
        <f t="shared" si="20"/>
        <v>7821.38</v>
      </c>
      <c r="H192" s="364">
        <f t="shared" si="21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19"/>
        <v>51.480000000000103</v>
      </c>
      <c r="G193" s="363">
        <f t="shared" si="20"/>
        <v>8837.92</v>
      </c>
      <c r="H193" s="364">
        <f t="shared" si="21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19"/>
        <v>-376.80000000000007</v>
      </c>
      <c r="G194" s="363">
        <f t="shared" si="20"/>
        <v>10159.799999999999</v>
      </c>
      <c r="H194" s="364">
        <f t="shared" si="21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19"/>
        <v>-388.00000000000239</v>
      </c>
      <c r="G195" s="363">
        <f t="shared" si="20"/>
        <v>13408.000000000002</v>
      </c>
      <c r="H195" s="364">
        <f t="shared" si="21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19"/>
        <v>-262.9400000000004</v>
      </c>
      <c r="G196" s="363">
        <f t="shared" si="20"/>
        <v>13354.939999999999</v>
      </c>
      <c r="H196" s="364">
        <f t="shared" si="21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19"/>
        <v>-514.93999999999858</v>
      </c>
      <c r="G197" s="363">
        <f t="shared" ref="G197:G202" si="22">D197*C197</f>
        <v>13354.939999999999</v>
      </c>
      <c r="H197" s="364">
        <f t="shared" si="21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19"/>
        <v>-582.93999999999892</v>
      </c>
      <c r="G198" s="363">
        <f t="shared" si="22"/>
        <v>16522.939999999999</v>
      </c>
      <c r="H198" s="364">
        <f t="shared" si="21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19"/>
        <v>-292.93999999999801</v>
      </c>
      <c r="G199" s="363">
        <f t="shared" si="22"/>
        <v>16522.939999999999</v>
      </c>
      <c r="H199" s="364">
        <f t="shared" si="21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19"/>
        <v>-217.93999999999869</v>
      </c>
      <c r="G200" s="363">
        <f t="shared" si="22"/>
        <v>16522.939999999999</v>
      </c>
      <c r="H200" s="364">
        <f t="shared" si="21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19"/>
        <v>-92.93999999999869</v>
      </c>
      <c r="G201" s="363">
        <f t="shared" si="22"/>
        <v>16522.939999999999</v>
      </c>
      <c r="H201" s="364">
        <f t="shared" si="21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19"/>
        <v>-397.93999999999841</v>
      </c>
      <c r="G202" s="363">
        <f t="shared" si="22"/>
        <v>16522.939999999999</v>
      </c>
      <c r="H202" s="364">
        <f t="shared" si="21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19"/>
        <v>-27.939999999997411</v>
      </c>
      <c r="G203" s="363">
        <f t="shared" ref="G203:G225" si="23">D203*C203</f>
        <v>16522.939999999999</v>
      </c>
      <c r="H203" s="364">
        <f t="shared" si="21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19"/>
        <v>-142.9399999999994</v>
      </c>
      <c r="G204" s="363">
        <f t="shared" si="23"/>
        <v>16522.939999999999</v>
      </c>
      <c r="H204" s="364">
        <f t="shared" si="21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19"/>
        <v>-357.93999999999926</v>
      </c>
      <c r="G205" s="363">
        <f t="shared" si="23"/>
        <v>16522.939999999999</v>
      </c>
      <c r="H205" s="364">
        <f t="shared" si="21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19"/>
        <v>-442.94000000000011</v>
      </c>
      <c r="G206" s="363">
        <f t="shared" si="23"/>
        <v>16522.939999999999</v>
      </c>
      <c r="H206" s="364">
        <f t="shared" si="21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19"/>
        <v>-542.93999999999801</v>
      </c>
      <c r="G207" s="363">
        <f t="shared" si="23"/>
        <v>16522.939999999999</v>
      </c>
      <c r="H207" s="364">
        <f t="shared" si="21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19"/>
        <v>-224.94000000000014</v>
      </c>
      <c r="G208" s="363">
        <f t="shared" si="23"/>
        <v>16474.939999999999</v>
      </c>
      <c r="H208" s="364">
        <f t="shared" si="21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19"/>
        <v>-139.93999999999929</v>
      </c>
      <c r="G209" s="363">
        <f t="shared" si="23"/>
        <v>16474.939999999999</v>
      </c>
      <c r="H209" s="364">
        <f t="shared" si="21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19"/>
        <v>-847.93799999999919</v>
      </c>
      <c r="G210" s="363">
        <f t="shared" si="23"/>
        <v>19639.937999999998</v>
      </c>
      <c r="H210" s="364">
        <f t="shared" si="21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19"/>
        <v>-833.93799999999771</v>
      </c>
      <c r="G211" s="363">
        <f t="shared" si="23"/>
        <v>22757.937999999998</v>
      </c>
      <c r="H211" s="364">
        <f t="shared" si="21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19"/>
        <v>-840.93799999999885</v>
      </c>
      <c r="G212" s="363">
        <f t="shared" si="23"/>
        <v>22757.937999999998</v>
      </c>
      <c r="H212" s="364">
        <f t="shared" si="21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19"/>
        <v>-700.9379999999968</v>
      </c>
      <c r="G213" s="363">
        <f t="shared" si="23"/>
        <v>22757.937999999998</v>
      </c>
      <c r="H213" s="364">
        <f t="shared" si="21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19"/>
        <v>-1125.9439999999984</v>
      </c>
      <c r="G214" s="363">
        <f t="shared" si="23"/>
        <v>25837.944</v>
      </c>
      <c r="H214" s="364">
        <f t="shared" si="21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19"/>
        <v>-1205.9439999999995</v>
      </c>
      <c r="G215" s="363">
        <f t="shared" si="23"/>
        <v>25837.944</v>
      </c>
      <c r="H215" s="364">
        <f t="shared" si="21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19"/>
        <v>-965.94399999999894</v>
      </c>
      <c r="G216" s="363">
        <f t="shared" si="23"/>
        <v>25837.944</v>
      </c>
      <c r="H216" s="364">
        <f t="shared" si="21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19"/>
        <v>-1477.9439999999995</v>
      </c>
      <c r="G217" s="363">
        <f t="shared" si="23"/>
        <v>25837.944</v>
      </c>
      <c r="H217" s="364">
        <f t="shared" si="21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19"/>
        <v>-1773.936000000002</v>
      </c>
      <c r="G218" s="363">
        <f t="shared" si="23"/>
        <v>28845.936000000002</v>
      </c>
      <c r="H218" s="364">
        <f t="shared" si="21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19"/>
        <v>-1935.9360000000017</v>
      </c>
      <c r="G219" s="363">
        <f t="shared" si="23"/>
        <v>28845.936000000002</v>
      </c>
      <c r="H219" s="364">
        <f t="shared" si="21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19"/>
        <v>-1989.9360000000006</v>
      </c>
      <c r="G220" s="363">
        <f t="shared" si="23"/>
        <v>28845.936000000002</v>
      </c>
      <c r="H220" s="364">
        <f t="shared" si="21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19"/>
        <v>-2133.9360000000006</v>
      </c>
      <c r="G221" s="363">
        <f t="shared" si="23"/>
        <v>28845.936000000002</v>
      </c>
      <c r="H221" s="364">
        <f t="shared" si="21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19"/>
        <v>-2505.9399999999991</v>
      </c>
      <c r="G222" s="363">
        <f t="shared" si="23"/>
        <v>31785.94</v>
      </c>
      <c r="H222" s="364">
        <f t="shared" si="21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19"/>
        <v>-2945.94</v>
      </c>
      <c r="G223" s="363">
        <f t="shared" si="23"/>
        <v>31785.94</v>
      </c>
      <c r="H223" s="364">
        <f t="shared" si="21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19"/>
        <v>-2415.9399999999991</v>
      </c>
      <c r="G224" s="363">
        <f t="shared" si="23"/>
        <v>31785.94</v>
      </c>
      <c r="H224" s="364">
        <f t="shared" si="21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19"/>
        <v>-2785.94</v>
      </c>
      <c r="G225" s="363">
        <f t="shared" si="23"/>
        <v>31785.94</v>
      </c>
      <c r="H225" s="364">
        <f t="shared" si="21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24">C226*(E226-D226)</f>
        <v>-1145.9399999999996</v>
      </c>
      <c r="G226" s="363">
        <f t="shared" ref="G226:G231" si="25">D226*C226</f>
        <v>31785.94</v>
      </c>
      <c r="H226" s="364">
        <f t="shared" ref="H226:H231" si="26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24"/>
        <v>-520.01099999999701</v>
      </c>
      <c r="G227" s="363">
        <f t="shared" si="25"/>
        <v>28654.010999999999</v>
      </c>
      <c r="H227" s="364">
        <f t="shared" si="26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24"/>
        <v>-783.99999999999886</v>
      </c>
      <c r="G228" s="363">
        <f t="shared" si="25"/>
        <v>31764</v>
      </c>
      <c r="H228" s="364">
        <f t="shared" si="26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24"/>
        <v>350.64000000000027</v>
      </c>
      <c r="G229" s="363">
        <f t="shared" si="25"/>
        <v>15759.359999999999</v>
      </c>
      <c r="H229" s="364">
        <f t="shared" si="26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24"/>
        <v>-398.86400000000037</v>
      </c>
      <c r="G230" s="363">
        <f t="shared" si="25"/>
        <v>25214.864000000001</v>
      </c>
      <c r="H230" s="364">
        <f t="shared" si="26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24"/>
        <v>1280.8600000000013</v>
      </c>
      <c r="G231" s="363">
        <f t="shared" si="25"/>
        <v>12271.14</v>
      </c>
      <c r="H231" s="364">
        <f t="shared" si="26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27">C232*(E232-D232)</f>
        <v>648.8599999999991</v>
      </c>
      <c r="G232" s="363">
        <f t="shared" ref="G232:G238" si="28">D232*C232</f>
        <v>12271.14</v>
      </c>
      <c r="H232" s="364">
        <f t="shared" ref="H232:H238" si="29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27"/>
        <v>1108.8599999999985</v>
      </c>
      <c r="G233" s="363">
        <f t="shared" si="28"/>
        <v>12211.14</v>
      </c>
      <c r="H233" s="364">
        <f t="shared" si="29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27"/>
        <v>1467.7889999999991</v>
      </c>
      <c r="G234" s="363">
        <f t="shared" si="28"/>
        <v>8789.2109999999993</v>
      </c>
      <c r="H234" s="364">
        <f t="shared" si="29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27"/>
        <v>1645.7100000000005</v>
      </c>
      <c r="G235" s="363">
        <f t="shared" si="28"/>
        <v>5310.29</v>
      </c>
      <c r="H235" s="364">
        <f t="shared" si="29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27"/>
        <v>1537.7099999999996</v>
      </c>
      <c r="G236" s="363">
        <f t="shared" si="28"/>
        <v>8728.2900000000009</v>
      </c>
      <c r="H236" s="364">
        <f t="shared" si="29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27"/>
        <v>1754.0499999999997</v>
      </c>
      <c r="G237" s="363">
        <f t="shared" si="28"/>
        <v>1717.95</v>
      </c>
      <c r="H237" s="364">
        <f t="shared" si="29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27"/>
        <v>1742.0399999999997</v>
      </c>
      <c r="G238" s="363">
        <f t="shared" si="28"/>
        <v>8673.9599999999991</v>
      </c>
      <c r="H238" s="364">
        <f t="shared" si="29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30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30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30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31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30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31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30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31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30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31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30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31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30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31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30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31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30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31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30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31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30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31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30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31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30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31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30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31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30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31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30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31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30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31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30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30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30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896" priority="107">
      <formula>F94&gt;0</formula>
    </cfRule>
    <cfRule type="expression" dxfId="1895" priority="108">
      <formula>F94&lt;0</formula>
    </cfRule>
  </conditionalFormatting>
  <conditionalFormatting sqref="F178:F191 F194:F238 F241:F242">
    <cfRule type="expression" dxfId="1894" priority="103">
      <formula>F178&gt;0</formula>
    </cfRule>
    <cfRule type="expression" dxfId="1893" priority="104">
      <formula>F178&lt;0</formula>
    </cfRule>
  </conditionalFormatting>
  <conditionalFormatting sqref="F178:F191 F194:F238 F241:F242">
    <cfRule type="expression" dxfId="1892" priority="105">
      <formula>F178&gt;0</formula>
    </cfRule>
    <cfRule type="expression" dxfId="1891" priority="106">
      <formula>F178&lt;0</formula>
    </cfRule>
  </conditionalFormatting>
  <conditionalFormatting sqref="H173:H191 H194:H238 H241:H242">
    <cfRule type="expression" dxfId="1890" priority="101">
      <formula>H173&gt;0</formula>
    </cfRule>
    <cfRule type="expression" dxfId="1889" priority="102">
      <formula>H173&lt;0</formula>
    </cfRule>
  </conditionalFormatting>
  <conditionalFormatting sqref="F169:F172">
    <cfRule type="expression" dxfId="1888" priority="95">
      <formula>F169&gt;0</formula>
    </cfRule>
    <cfRule type="expression" dxfId="1887" priority="96">
      <formula>F169&lt;0</formula>
    </cfRule>
  </conditionalFormatting>
  <conditionalFormatting sqref="H169:H172">
    <cfRule type="expression" dxfId="1886" priority="93">
      <formula>H169&gt;0</formula>
    </cfRule>
    <cfRule type="expression" dxfId="1885" priority="94">
      <formula>H169&lt;0</formula>
    </cfRule>
  </conditionalFormatting>
  <conditionalFormatting sqref="Q8">
    <cfRule type="expression" dxfId="1884" priority="89">
      <formula>Q8&gt;0</formula>
    </cfRule>
    <cfRule type="expression" dxfId="1883" priority="90">
      <formula>Q8&lt;0</formula>
    </cfRule>
  </conditionalFormatting>
  <conditionalFormatting sqref="Q7">
    <cfRule type="expression" dxfId="1882" priority="91">
      <formula>Q7&gt;0</formula>
    </cfRule>
    <cfRule type="expression" dxfId="1881" priority="92">
      <formula>Q7&lt;0</formula>
    </cfRule>
  </conditionalFormatting>
  <conditionalFormatting sqref="F192">
    <cfRule type="expression" dxfId="1880" priority="85">
      <formula>F192&gt;0</formula>
    </cfRule>
    <cfRule type="expression" dxfId="1879" priority="86">
      <formula>F192&lt;0</formula>
    </cfRule>
  </conditionalFormatting>
  <conditionalFormatting sqref="F192">
    <cfRule type="expression" dxfId="1878" priority="87">
      <formula>F192&gt;0</formula>
    </cfRule>
    <cfRule type="expression" dxfId="1877" priority="88">
      <formula>F192&lt;0</formula>
    </cfRule>
  </conditionalFormatting>
  <conditionalFormatting sqref="H192">
    <cfRule type="expression" dxfId="1876" priority="83">
      <formula>H192&gt;0</formula>
    </cfRule>
    <cfRule type="expression" dxfId="1875" priority="84">
      <formula>H192&lt;0</formula>
    </cfRule>
  </conditionalFormatting>
  <conditionalFormatting sqref="F193">
    <cfRule type="expression" dxfId="1874" priority="79">
      <formula>F193&gt;0</formula>
    </cfRule>
    <cfRule type="expression" dxfId="1873" priority="80">
      <formula>F193&lt;0</formula>
    </cfRule>
  </conditionalFormatting>
  <conditionalFormatting sqref="F193">
    <cfRule type="expression" dxfId="1872" priority="81">
      <formula>F193&gt;0</formula>
    </cfRule>
    <cfRule type="expression" dxfId="1871" priority="82">
      <formula>F193&lt;0</formula>
    </cfRule>
  </conditionalFormatting>
  <conditionalFormatting sqref="H193">
    <cfRule type="expression" dxfId="1870" priority="77">
      <formula>H193&gt;0</formula>
    </cfRule>
    <cfRule type="expression" dxfId="1869" priority="78">
      <formula>H193&lt;0</formula>
    </cfRule>
  </conditionalFormatting>
  <conditionalFormatting sqref="F239:F240">
    <cfRule type="expression" dxfId="1868" priority="73">
      <formula>F239&gt;0</formula>
    </cfRule>
    <cfRule type="expression" dxfId="1867" priority="74">
      <formula>F239&lt;0</formula>
    </cfRule>
  </conditionalFormatting>
  <conditionalFormatting sqref="F239:F240">
    <cfRule type="expression" dxfId="1866" priority="75">
      <formula>F239&gt;0</formula>
    </cfRule>
    <cfRule type="expression" dxfId="1865" priority="76">
      <formula>F239&lt;0</formula>
    </cfRule>
  </conditionalFormatting>
  <conditionalFormatting sqref="H239:H240">
    <cfRule type="expression" dxfId="1864" priority="71">
      <formula>H239&gt;0</formula>
    </cfRule>
    <cfRule type="expression" dxfId="1863" priority="72">
      <formula>H239&lt;0</formula>
    </cfRule>
  </conditionalFormatting>
  <conditionalFormatting sqref="F64:F79">
    <cfRule type="expression" dxfId="1862" priority="69">
      <formula>F64&gt;0</formula>
    </cfRule>
    <cfRule type="expression" dxfId="1861" priority="70">
      <formula>F64&lt;0</formula>
    </cfRule>
  </conditionalFormatting>
  <conditionalFormatting sqref="H64:H79">
    <cfRule type="expression" dxfId="1860" priority="67">
      <formula>H64&gt;0</formula>
    </cfRule>
    <cfRule type="expression" dxfId="1859" priority="68">
      <formula>H64&lt;0</formula>
    </cfRule>
  </conditionalFormatting>
  <conditionalFormatting sqref="Q10">
    <cfRule type="expression" dxfId="1858" priority="65">
      <formula>Q10&gt;0</formula>
    </cfRule>
    <cfRule type="expression" dxfId="1857" priority="66">
      <formula>Q10&lt;0</formula>
    </cfRule>
  </conditionalFormatting>
  <conditionalFormatting sqref="J74:K74">
    <cfRule type="expression" dxfId="1856" priority="63">
      <formula>J74&gt;0</formula>
    </cfRule>
    <cfRule type="expression" dxfId="1855" priority="64">
      <formula>J74&lt;0</formula>
    </cfRule>
  </conditionalFormatting>
  <conditionalFormatting sqref="K75">
    <cfRule type="expression" dxfId="1854" priority="61">
      <formula>K75&gt;0</formula>
    </cfRule>
    <cfRule type="expression" dxfId="1853" priority="62">
      <formula>K75&lt;0</formula>
    </cfRule>
  </conditionalFormatting>
  <conditionalFormatting sqref="K76:K89">
    <cfRule type="expression" dxfId="1852" priority="59">
      <formula>K76&gt;0</formula>
    </cfRule>
    <cfRule type="expression" dxfId="1851" priority="60">
      <formula>K76&lt;0</formula>
    </cfRule>
  </conditionalFormatting>
  <conditionalFormatting sqref="F81:F89">
    <cfRule type="expression" dxfId="1850" priority="57">
      <formula>F81&gt;0</formula>
    </cfRule>
    <cfRule type="expression" dxfId="1849" priority="58">
      <formula>F81&lt;0</formula>
    </cfRule>
  </conditionalFormatting>
  <conditionalFormatting sqref="H81:H89">
    <cfRule type="expression" dxfId="1848" priority="55">
      <formula>H81&gt;0</formula>
    </cfRule>
    <cfRule type="expression" dxfId="1847" priority="56">
      <formula>H81&lt;0</formula>
    </cfRule>
  </conditionalFormatting>
  <conditionalFormatting sqref="R4">
    <cfRule type="expression" dxfId="1846" priority="53">
      <formula>R4&gt;0</formula>
    </cfRule>
    <cfRule type="expression" dxfId="1845" priority="54">
      <formula>R4&lt;0</formula>
    </cfRule>
  </conditionalFormatting>
  <conditionalFormatting sqref="Q9">
    <cfRule type="expression" dxfId="1844" priority="51">
      <formula>Q9&gt;0</formula>
    </cfRule>
    <cfRule type="expression" dxfId="1843" priority="52">
      <formula>Q9&lt;0</formula>
    </cfRule>
  </conditionalFormatting>
  <conditionalFormatting sqref="K90:K93">
    <cfRule type="expression" dxfId="1842" priority="49">
      <formula>K90&gt;0</formula>
    </cfRule>
    <cfRule type="expression" dxfId="1841" priority="50">
      <formula>K90&lt;0</formula>
    </cfRule>
  </conditionalFormatting>
  <conditionalFormatting sqref="F90:F113">
    <cfRule type="expression" dxfId="1840" priority="47">
      <formula>F90&gt;0</formula>
    </cfRule>
    <cfRule type="expression" dxfId="1839" priority="48">
      <formula>F90&lt;0</formula>
    </cfRule>
  </conditionalFormatting>
  <conditionalFormatting sqref="H90:H113">
    <cfRule type="expression" dxfId="1838" priority="45">
      <formula>H90&gt;0</formula>
    </cfRule>
    <cfRule type="expression" dxfId="1837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836" priority="41">
      <formula>F114&gt;0</formula>
    </cfRule>
    <cfRule type="expression" dxfId="1835" priority="42">
      <formula>F114&lt;0</formula>
    </cfRule>
  </conditionalFormatting>
  <conditionalFormatting sqref="H114:H138">
    <cfRule type="expression" dxfId="1834" priority="39">
      <formula>H114&gt;0</formula>
    </cfRule>
    <cfRule type="expression" dxfId="1833" priority="40">
      <formula>H114&lt;0</formula>
    </cfRule>
  </conditionalFormatting>
  <conditionalFormatting sqref="K129:K131">
    <cfRule type="expression" dxfId="1832" priority="37">
      <formula>K129&gt;0</formula>
    </cfRule>
    <cfRule type="expression" dxfId="1831" priority="38">
      <formula>K129&lt;0</formula>
    </cfRule>
  </conditionalFormatting>
  <conditionalFormatting sqref="K133:K135">
    <cfRule type="expression" dxfId="1830" priority="35">
      <formula>K133&gt;0</formula>
    </cfRule>
    <cfRule type="expression" dxfId="1829" priority="36">
      <formula>K133&lt;0</formula>
    </cfRule>
  </conditionalFormatting>
  <conditionalFormatting sqref="K140">
    <cfRule type="expression" dxfId="1828" priority="31">
      <formula>K140&gt;0</formula>
    </cfRule>
    <cfRule type="expression" dxfId="1827" priority="32">
      <formula>K140&lt;0</formula>
    </cfRule>
  </conditionalFormatting>
  <conditionalFormatting sqref="K136:K138">
    <cfRule type="expression" dxfId="1826" priority="29">
      <formula>K136&gt;0</formula>
    </cfRule>
    <cfRule type="expression" dxfId="1825" priority="30">
      <formula>K136&lt;0</formula>
    </cfRule>
  </conditionalFormatting>
  <conditionalFormatting sqref="K139">
    <cfRule type="expression" dxfId="1824" priority="23">
      <formula>K139&gt;0</formula>
    </cfRule>
    <cfRule type="expression" dxfId="1823" priority="24">
      <formula>K139&lt;0</formula>
    </cfRule>
  </conditionalFormatting>
  <conditionalFormatting sqref="H148:H149 F148:F149 K148:K149">
    <cfRule type="expression" dxfId="1822" priority="21">
      <formula>F148&gt;0</formula>
    </cfRule>
    <cfRule type="expression" dxfId="1821" priority="22">
      <formula>F148&lt;0</formula>
    </cfRule>
  </conditionalFormatting>
  <conditionalFormatting sqref="H143:H147 F143:F147 K143:K147">
    <cfRule type="expression" dxfId="1820" priority="19">
      <formula>F143&gt;0</formula>
    </cfRule>
    <cfRule type="expression" dxfId="1819" priority="20">
      <formula>F143&lt;0</formula>
    </cfRule>
  </conditionalFormatting>
  <conditionalFormatting sqref="F80">
    <cfRule type="expression" dxfId="1818" priority="17">
      <formula>F80&gt;0</formula>
    </cfRule>
    <cfRule type="expression" dxfId="1817" priority="18">
      <formula>F80&lt;0</formula>
    </cfRule>
  </conditionalFormatting>
  <conditionalFormatting sqref="H80">
    <cfRule type="expression" dxfId="1816" priority="15">
      <formula>H80&gt;0</formula>
    </cfRule>
    <cfRule type="expression" dxfId="1815" priority="16">
      <formula>H80&lt;0</formula>
    </cfRule>
  </conditionalFormatting>
  <conditionalFormatting sqref="F164:F165 H164:H165 K164:K165">
    <cfRule type="expression" dxfId="1814" priority="13">
      <formula>F164&gt;0</formula>
    </cfRule>
    <cfRule type="expression" dxfId="1813" priority="14">
      <formula>F164&lt;0</formula>
    </cfRule>
  </conditionalFormatting>
  <conditionalFormatting sqref="F162:F163 H162:H163 K162:K163">
    <cfRule type="expression" dxfId="1812" priority="11">
      <formula>F162&gt;0</formula>
    </cfRule>
    <cfRule type="expression" dxfId="1811" priority="12">
      <formula>F162&lt;0</formula>
    </cfRule>
  </conditionalFormatting>
  <conditionalFormatting sqref="F160:F161 H160:H161 K160:K161">
    <cfRule type="expression" dxfId="1810" priority="9">
      <formula>F160&gt;0</formula>
    </cfRule>
    <cfRule type="expression" dxfId="1809" priority="10">
      <formula>F160&lt;0</formula>
    </cfRule>
  </conditionalFormatting>
  <conditionalFormatting sqref="F158:F159 H158:H159 K158:K159">
    <cfRule type="expression" dxfId="1808" priority="7">
      <formula>F158&gt;0</formula>
    </cfRule>
    <cfRule type="expression" dxfId="1807" priority="8">
      <formula>F158&lt;0</formula>
    </cfRule>
  </conditionalFormatting>
  <conditionalFormatting sqref="F157 H157 K156:K157">
    <cfRule type="expression" dxfId="1806" priority="5">
      <formula>F156&gt;0</formula>
    </cfRule>
    <cfRule type="expression" dxfId="1805" priority="6">
      <formula>F156&lt;0</formula>
    </cfRule>
  </conditionalFormatting>
  <conditionalFormatting sqref="K154:K155 F154:F156 H154:H156">
    <cfRule type="expression" dxfId="1804" priority="3">
      <formula>F154&gt;0</formula>
    </cfRule>
    <cfRule type="expression" dxfId="1803" priority="4">
      <formula>F154&lt;0</formula>
    </cfRule>
  </conditionalFormatting>
  <conditionalFormatting sqref="F153 H153 K152:K153">
    <cfRule type="expression" dxfId="1802" priority="1">
      <formula>F152&gt;0</formula>
    </cfRule>
    <cfRule type="expression" dxfId="1801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264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11.25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11.25</v>
      </c>
      <c r="R4" s="475">
        <v>4.4999999999999997E-3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12.375000000000002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12.262500000000001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12.15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12.037500000000001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11.925000000000001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11.8125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11.700000000000001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11.5875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11.475</v>
      </c>
      <c r="Q49" s="2"/>
      <c r="T49" s="91" t="s">
        <v>103</v>
      </c>
      <c r="U49" s="86" t="s">
        <v>370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11.362500000000001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11.25</v>
      </c>
      <c r="Q51" s="2"/>
      <c r="T51" s="91" t="s">
        <v>104</v>
      </c>
      <c r="U51" s="86" t="s">
        <v>587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11.137499999999999</v>
      </c>
      <c r="Q52" s="2"/>
      <c r="T52" s="91" t="s">
        <v>105</v>
      </c>
      <c r="U52" s="86" t="s">
        <v>387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11.025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10.9125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10.799999999999999</v>
      </c>
      <c r="T55" s="91" t="s">
        <v>107</v>
      </c>
      <c r="U55" s="86" t="s">
        <v>588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10.6875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10.574999999999999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10.4625</v>
      </c>
      <c r="T58" s="91" t="s">
        <v>108</v>
      </c>
      <c r="U58" s="86" t="s">
        <v>531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10.35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10.237500000000001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10.125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252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262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275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00" priority="31">
      <formula>Q7&gt;0</formula>
    </cfRule>
    <cfRule type="expression" dxfId="1799" priority="32">
      <formula>Q7&lt;0</formula>
    </cfRule>
  </conditionalFormatting>
  <conditionalFormatting sqref="Q8">
    <cfRule type="expression" dxfId="1798" priority="29">
      <formula>Q8&gt;0</formula>
    </cfRule>
    <cfRule type="expression" dxfId="1797" priority="30">
      <formula>Q8&lt;0</formula>
    </cfRule>
  </conditionalFormatting>
  <conditionalFormatting sqref="F62:F65">
    <cfRule type="expression" dxfId="1796" priority="21">
      <formula>F62&gt;0</formula>
    </cfRule>
    <cfRule type="expression" dxfId="1795" priority="22">
      <formula>F62&lt;0</formula>
    </cfRule>
  </conditionalFormatting>
  <conditionalFormatting sqref="F66:F74 F78:F98 F102:F106">
    <cfRule type="expression" dxfId="1794" priority="17">
      <formula>F66&gt;0</formula>
    </cfRule>
    <cfRule type="expression" dxfId="1793" priority="18">
      <formula>F66&lt;0</formula>
    </cfRule>
  </conditionalFormatting>
  <conditionalFormatting sqref="F66:F74 F78:F98 F102:F106">
    <cfRule type="expression" dxfId="1792" priority="19">
      <formula>F66&gt;0</formula>
    </cfRule>
    <cfRule type="expression" dxfId="1791" priority="20">
      <formula>F66&lt;0</formula>
    </cfRule>
  </conditionalFormatting>
  <conditionalFormatting sqref="H62:H74 H78:H98 H102:H106">
    <cfRule type="expression" dxfId="1790" priority="15">
      <formula>H62&gt;0</formula>
    </cfRule>
    <cfRule type="expression" dxfId="1789" priority="16">
      <formula>H62&lt;0</formula>
    </cfRule>
  </conditionalFormatting>
  <conditionalFormatting sqref="F57:F61">
    <cfRule type="expression" dxfId="1788" priority="13">
      <formula>F57&gt;0</formula>
    </cfRule>
    <cfRule type="expression" dxfId="1787" priority="14">
      <formula>F57&lt;0</formula>
    </cfRule>
  </conditionalFormatting>
  <conditionalFormatting sqref="H57:H61">
    <cfRule type="expression" dxfId="1786" priority="11">
      <formula>H57&gt;0</formula>
    </cfRule>
    <cfRule type="expression" dxfId="1785" priority="12">
      <formula>H57&lt;0</formula>
    </cfRule>
  </conditionalFormatting>
  <conditionalFormatting sqref="F75:F77">
    <cfRule type="expression" dxfId="1784" priority="7">
      <formula>F75&gt;0</formula>
    </cfRule>
    <cfRule type="expression" dxfId="1783" priority="8">
      <formula>F75&lt;0</formula>
    </cfRule>
  </conditionalFormatting>
  <conditionalFormatting sqref="F75:F77">
    <cfRule type="expression" dxfId="1782" priority="9">
      <formula>F75&gt;0</formula>
    </cfRule>
    <cfRule type="expression" dxfId="1781" priority="10">
      <formula>F75&lt;0</formula>
    </cfRule>
  </conditionalFormatting>
  <conditionalFormatting sqref="H75:H77">
    <cfRule type="expression" dxfId="1780" priority="5">
      <formula>H75&gt;0</formula>
    </cfRule>
    <cfRule type="expression" dxfId="1779" priority="6">
      <formula>H75&lt;0</formula>
    </cfRule>
  </conditionalFormatting>
  <conditionalFormatting sqref="F22:F30">
    <cfRule type="expression" dxfId="1778" priority="3">
      <formula>F22&gt;0</formula>
    </cfRule>
    <cfRule type="expression" dxfId="1777" priority="4">
      <formula>F22&lt;0</formula>
    </cfRule>
  </conditionalFormatting>
  <conditionalFormatting sqref="F99:F101">
    <cfRule type="expression" dxfId="1776" priority="1">
      <formula>F99&gt;0</formula>
    </cfRule>
    <cfRule type="expression" dxfId="177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35">
        <v>43292</v>
      </c>
      <c r="C3" s="4">
        <v>50</v>
      </c>
      <c r="D3" s="3">
        <v>126.18</v>
      </c>
      <c r="E3" s="3">
        <v>0</v>
      </c>
      <c r="F3" s="3">
        <f>C3*D3+E3</f>
        <v>6309</v>
      </c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118.6816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124.69</v>
      </c>
      <c r="R4" s="475">
        <v>-9.9000000000000008E-3</v>
      </c>
      <c r="T4" s="817">
        <v>43288</v>
      </c>
      <c r="U4" s="1" t="s">
        <v>1201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6234.5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5934.08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455.19999999999982</v>
      </c>
      <c r="R7" s="29">
        <v>43325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300.42000000000007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5.0626213330457304E-2</v>
      </c>
    </row>
    <row r="10" spans="1:21" x14ac:dyDescent="0.25">
      <c r="G10" s="29"/>
      <c r="H10" s="70"/>
      <c r="O10" s="11" t="s">
        <v>207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1010</v>
      </c>
      <c r="Q12" s="1" t="s">
        <v>1171</v>
      </c>
    </row>
    <row r="13" spans="1:21" x14ac:dyDescent="0.25">
      <c r="G13" s="29"/>
      <c r="H13" s="70"/>
      <c r="O13" s="11" t="s">
        <v>973</v>
      </c>
      <c r="Q13" s="2">
        <f>Q4/8.12</f>
        <v>15.355911330049262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50</v>
      </c>
      <c r="I18" s="18"/>
      <c r="J18" s="18"/>
      <c r="K18" s="18">
        <f>SUM(K2:K5)</f>
        <v>6368.92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5994</v>
      </c>
      <c r="G19" s="343"/>
      <c r="H19" s="343">
        <f>SumByColor($A$19,H2:H17)</f>
        <v>50</v>
      </c>
      <c r="I19" s="343"/>
      <c r="J19" s="343"/>
      <c r="K19" s="344">
        <f>SumByColor($A$19,K2:K17)</f>
        <v>6369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 t="shared" ref="F25" si="0">C25*(E25-D25)</f>
        <v>-23.999999999999488</v>
      </c>
      <c r="G25" s="39">
        <f t="shared" ref="G25" si="1">D25*C25</f>
        <v>5994</v>
      </c>
      <c r="H25" s="222">
        <f t="shared" ref="H25" si="2"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 t="shared" ref="F27" si="3">C27*(E27-D27)</f>
        <v>374.92000000000019</v>
      </c>
      <c r="G27" s="39">
        <f t="shared" ref="G27" si="4">D27*C27</f>
        <v>5934.08</v>
      </c>
      <c r="H27" s="222">
        <f t="shared" ref="H27" si="5">(E27-D27)/D27</f>
        <v>6.3180813201035399E-2</v>
      </c>
      <c r="I27" s="39"/>
      <c r="J27" s="39">
        <v>589.70000000000005</v>
      </c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  <c r="J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  <c r="J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  <c r="J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  <c r="J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1" t="s">
        <v>78</v>
      </c>
      <c r="P40" s="851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137.15900000000002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6">O42*$Q$4</f>
        <v>135.91210000000001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6"/>
        <v>134.6652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6"/>
        <v>133.41830000000002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6"/>
        <v>132.17140000000001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6"/>
        <v>130.92449999999999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6"/>
        <v>129.67760000000001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6"/>
        <v>128.4307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6"/>
        <v>127.18380000000001</v>
      </c>
      <c r="Q49" s="2"/>
      <c r="T49" s="91" t="s">
        <v>103</v>
      </c>
      <c r="U49" s="127" t="s">
        <v>355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6"/>
        <v>125.93689999999999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6"/>
        <v>124.69</v>
      </c>
      <c r="Q51" s="2"/>
      <c r="T51" s="91" t="s">
        <v>104</v>
      </c>
      <c r="U51" s="127" t="s">
        <v>589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6"/>
        <v>123.4431</v>
      </c>
      <c r="Q52" s="2"/>
      <c r="T52" s="91" t="s">
        <v>105</v>
      </c>
      <c r="U52" s="127" t="s">
        <v>590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6"/>
        <v>122.19619999999999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6"/>
        <v>120.94929999999999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6"/>
        <v>119.7024</v>
      </c>
      <c r="T55" s="91" t="s">
        <v>107</v>
      </c>
      <c r="U55" s="127" t="s">
        <v>591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6"/>
        <v>118.45549999999999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6"/>
        <v>117.20859999999999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6"/>
        <v>115.96170000000001</v>
      </c>
      <c r="T58" s="91" t="s">
        <v>108</v>
      </c>
      <c r="U58" s="127" t="s">
        <v>538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6"/>
        <v>114.7148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6"/>
        <v>113.4679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6"/>
        <v>112.221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269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7">C105*(E105-D105)</f>
        <v>-5.3999999999999204</v>
      </c>
      <c r="G105" s="363">
        <f t="shared" ref="G105:G117" si="8">D105*C105</f>
        <v>2370</v>
      </c>
      <c r="H105" s="364">
        <f t="shared" ref="H105:H117" si="9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7"/>
        <v>-12.800000000000011</v>
      </c>
      <c r="G106" s="363">
        <f t="shared" si="8"/>
        <v>2370</v>
      </c>
      <c r="H106" s="364">
        <f t="shared" si="9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7"/>
        <v>8.1999999999999318</v>
      </c>
      <c r="G107" s="363">
        <f t="shared" si="8"/>
        <v>2370</v>
      </c>
      <c r="H107" s="364">
        <f t="shared" si="9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7"/>
        <v>14.799999999999898</v>
      </c>
      <c r="G108" s="363">
        <f t="shared" si="8"/>
        <v>2370</v>
      </c>
      <c r="H108" s="364">
        <f t="shared" si="9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7"/>
        <v>-101.20000000000005</v>
      </c>
      <c r="G109" s="363">
        <f t="shared" si="8"/>
        <v>2370</v>
      </c>
      <c r="H109" s="364">
        <f t="shared" si="9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7"/>
        <v>-50.200000000000102</v>
      </c>
      <c r="G110" s="363">
        <f t="shared" si="8"/>
        <v>2370</v>
      </c>
      <c r="H110" s="364">
        <f t="shared" si="9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7"/>
        <v>-87.400000000000091</v>
      </c>
      <c r="G111" s="363">
        <f t="shared" si="8"/>
        <v>2370</v>
      </c>
      <c r="H111" s="364">
        <f t="shared" si="9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7"/>
        <v>-145.79999999999998</v>
      </c>
      <c r="G112" s="363">
        <f t="shared" si="8"/>
        <v>3484.7999999999997</v>
      </c>
      <c r="H112" s="364">
        <f t="shared" si="9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7"/>
        <v>-135.80100000000016</v>
      </c>
      <c r="G113" s="363">
        <f t="shared" si="8"/>
        <v>3468.8009999999999</v>
      </c>
      <c r="H113" s="364">
        <f t="shared" si="9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7"/>
        <v>-101.48850000000024</v>
      </c>
      <c r="G114" s="363">
        <f t="shared" si="8"/>
        <v>5136.5385000000006</v>
      </c>
      <c r="H114" s="364">
        <f t="shared" si="9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359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7"/>
        <v>-62.039999999999935</v>
      </c>
      <c r="G115" s="363">
        <f t="shared" si="8"/>
        <v>3446.04</v>
      </c>
      <c r="H115" s="364">
        <f t="shared" si="9"/>
        <v>-1.8003273322422242E-2</v>
      </c>
      <c r="I115" s="363"/>
      <c r="J115" s="363"/>
      <c r="K115" s="363"/>
      <c r="L115" s="362"/>
    </row>
    <row r="116" spans="1:12" x14ac:dyDescent="0.25">
      <c r="A116" s="362" t="s">
        <v>397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7"/>
        <v>-36.839999999999833</v>
      </c>
      <c r="G116" s="363">
        <f t="shared" si="8"/>
        <v>3446.04</v>
      </c>
      <c r="H116" s="364">
        <f t="shared" si="9"/>
        <v>-1.0690531740780674E-2</v>
      </c>
      <c r="I116" s="363"/>
      <c r="J116" s="363"/>
      <c r="K116" s="363"/>
      <c r="L116" s="362"/>
    </row>
    <row r="117" spans="1:12" x14ac:dyDescent="0.25">
      <c r="A117" s="362" t="s">
        <v>414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7"/>
        <v>10.219499999999897</v>
      </c>
      <c r="G117" s="363">
        <f t="shared" si="8"/>
        <v>1718.3805</v>
      </c>
      <c r="H117" s="364">
        <f t="shared" si="9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:H69 F28:F69">
    <cfRule type="expression" dxfId="1774" priority="25">
      <formula>F28&gt;0</formula>
    </cfRule>
    <cfRule type="expression" dxfId="1773" priority="26">
      <formula>F28&lt;0</formula>
    </cfRule>
  </conditionalFormatting>
  <conditionalFormatting sqref="Q7">
    <cfRule type="expression" dxfId="1772" priority="23">
      <formula>Q7&gt;0</formula>
    </cfRule>
    <cfRule type="expression" dxfId="1771" priority="24">
      <formula>Q7&lt;0</formula>
    </cfRule>
  </conditionalFormatting>
  <conditionalFormatting sqref="Q8">
    <cfRule type="expression" dxfId="1770" priority="21">
      <formula>Q8&gt;0</formula>
    </cfRule>
    <cfRule type="expression" dxfId="1769" priority="22">
      <formula>Q8&lt;0</formula>
    </cfRule>
  </conditionalFormatting>
  <conditionalFormatting sqref="M74">
    <cfRule type="expression" dxfId="1768" priority="15">
      <formula>M74&gt;0</formula>
    </cfRule>
    <cfRule type="expression" dxfId="1767" priority="16">
      <formula>M74&lt;0</formula>
    </cfRule>
  </conditionalFormatting>
  <conditionalFormatting sqref="F113:F149 H113:H149">
    <cfRule type="expression" dxfId="1766" priority="13">
      <formula>F113&gt;0</formula>
    </cfRule>
    <cfRule type="expression" dxfId="1765" priority="14">
      <formula>F113&lt;0</formula>
    </cfRule>
  </conditionalFormatting>
  <conditionalFormatting sqref="F105:F112">
    <cfRule type="expression" dxfId="1764" priority="11">
      <formula>F105&gt;0</formula>
    </cfRule>
    <cfRule type="expression" dxfId="1763" priority="12">
      <formula>F105&lt;0</formula>
    </cfRule>
  </conditionalFormatting>
  <conditionalFormatting sqref="H105:H112">
    <cfRule type="expression" dxfId="1762" priority="9">
      <formula>H105&gt;0</formula>
    </cfRule>
    <cfRule type="expression" dxfId="1761" priority="10">
      <formula>H105&lt;0</formula>
    </cfRule>
  </conditionalFormatting>
  <conditionalFormatting sqref="Q10">
    <cfRule type="expression" dxfId="1760" priority="7">
      <formula>Q10&gt;0</formula>
    </cfRule>
    <cfRule type="expression" dxfId="1759" priority="8">
      <formula>Q10&lt;0</formula>
    </cfRule>
  </conditionalFormatting>
  <conditionalFormatting sqref="F25:F27">
    <cfRule type="expression" dxfId="1758" priority="5">
      <formula>F25&gt;0</formula>
    </cfRule>
    <cfRule type="expression" dxfId="1757" priority="6">
      <formula>F25&lt;0</formula>
    </cfRule>
  </conditionalFormatting>
  <conditionalFormatting sqref="H25:H27">
    <cfRule type="expression" dxfId="1756" priority="3">
      <formula>H25&gt;0</formula>
    </cfRule>
    <cfRule type="expression" dxfId="1755" priority="4">
      <formula>H25&lt;0</formula>
    </cfRule>
  </conditionalFormatting>
  <conditionalFormatting sqref="J26:J35">
    <cfRule type="expression" dxfId="1754" priority="1">
      <formula>J26&gt;0</formula>
    </cfRule>
    <cfRule type="expression" dxfId="1753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5" si="1">H2*I2-J2</f>
        <v>2379.9499999999998</v>
      </c>
      <c r="L2" s="72"/>
      <c r="M2" s="3"/>
      <c r="O2" s="11" t="s">
        <v>57</v>
      </c>
      <c r="Q2" s="228">
        <f>C29-H29</f>
        <v>30</v>
      </c>
      <c r="T2" s="1">
        <v>43080</v>
      </c>
      <c r="U2" t="s">
        <v>817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110.19166666666715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255.5</v>
      </c>
      <c r="R4" s="495">
        <v>-1.6799999999999999E-2</v>
      </c>
      <c r="T4" s="770">
        <v>43103</v>
      </c>
      <c r="U4" s="30" t="s">
        <v>1038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7665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3305.7500000000146</v>
      </c>
      <c r="T6" s="1">
        <v>43140</v>
      </c>
      <c r="U6" t="s">
        <v>927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4584.0199999999859</v>
      </c>
      <c r="R7" s="29">
        <v>43307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4359.2499999999854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208</v>
      </c>
      <c r="Q9" s="134">
        <f>IF(Q2=0, 0, Q8/Q6)</f>
        <v>1.3186871360508103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207</v>
      </c>
      <c r="P10" s="33"/>
      <c r="Q10" s="2">
        <f>M84</f>
        <v>224.77000000000044</v>
      </c>
      <c r="U10" t="s">
        <v>982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946</v>
      </c>
      <c r="Q12" s="1" t="s">
        <v>1167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973</v>
      </c>
      <c r="Q13" s="2">
        <f>Q4/(8.16*1.2)</f>
        <v>26.092728758169937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</row>
    <row r="15" spans="1:21" x14ac:dyDescent="0.25">
      <c r="A15" t="s">
        <v>968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ht="20.25" thickBot="1" x14ac:dyDescent="0.35">
      <c r="A16" t="s">
        <v>968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1" si="3">C16*D16+E16</f>
        <v>1084.4000000000001</v>
      </c>
      <c r="H16" s="70"/>
      <c r="O16" s="851" t="s">
        <v>78</v>
      </c>
      <c r="P16" s="851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O17" s="81">
        <v>1.1000000000000001</v>
      </c>
      <c r="P17" s="81">
        <f>O17*$Q$4</f>
        <v>281.05</v>
      </c>
      <c r="T17" s="1">
        <v>43257</v>
      </c>
      <c r="U17" t="s">
        <v>1037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O18" s="81">
        <v>1.0900000000000001</v>
      </c>
      <c r="P18" s="81">
        <f t="shared" ref="P18:P37" si="4">O18*$Q$4</f>
        <v>278.495</v>
      </c>
    </row>
    <row r="19" spans="1:21" x14ac:dyDescent="0.2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1">
        <v>1.08</v>
      </c>
      <c r="P19" s="81">
        <f t="shared" si="4"/>
        <v>275.94</v>
      </c>
      <c r="T19" s="1">
        <v>43285</v>
      </c>
      <c r="U19" t="s">
        <v>1168</v>
      </c>
    </row>
    <row r="20" spans="1:21" x14ac:dyDescent="0.25">
      <c r="B20" s="474">
        <v>43276</v>
      </c>
      <c r="C20" s="4">
        <v>15</v>
      </c>
      <c r="D20" s="3">
        <v>242</v>
      </c>
      <c r="E20" s="3">
        <v>0</v>
      </c>
      <c r="F20" s="3">
        <f t="shared" si="3"/>
        <v>3630</v>
      </c>
      <c r="O20" s="81">
        <v>1.07</v>
      </c>
      <c r="P20" s="81">
        <f t="shared" si="4"/>
        <v>273.38499999999999</v>
      </c>
      <c r="T20" s="1">
        <v>43288</v>
      </c>
      <c r="U20" t="s">
        <v>1197</v>
      </c>
    </row>
    <row r="21" spans="1:21" x14ac:dyDescent="0.25">
      <c r="B21" s="474">
        <v>43283</v>
      </c>
      <c r="C21" s="4">
        <v>15</v>
      </c>
      <c r="D21" s="3">
        <v>231</v>
      </c>
      <c r="E21" s="3">
        <v>0</v>
      </c>
      <c r="F21" s="3">
        <f t="shared" si="3"/>
        <v>3465</v>
      </c>
      <c r="O21" s="81">
        <v>1.06</v>
      </c>
      <c r="P21" s="81">
        <f t="shared" si="4"/>
        <v>270.83000000000004</v>
      </c>
    </row>
    <row r="22" spans="1:21" x14ac:dyDescent="0.25">
      <c r="C22" s="4"/>
      <c r="D22" s="3"/>
      <c r="E22" s="3"/>
      <c r="F22" s="3"/>
      <c r="O22" s="81">
        <v>1.05</v>
      </c>
      <c r="P22" s="81">
        <f t="shared" si="4"/>
        <v>268.27500000000003</v>
      </c>
      <c r="T22" s="156">
        <v>43314</v>
      </c>
      <c r="U22" t="s">
        <v>1195</v>
      </c>
    </row>
    <row r="23" spans="1:21" x14ac:dyDescent="0.25">
      <c r="C23" s="4"/>
      <c r="D23" s="3"/>
      <c r="E23" s="3"/>
      <c r="F23" s="3"/>
      <c r="O23" s="81">
        <v>1.04</v>
      </c>
      <c r="P23" s="81">
        <f t="shared" si="4"/>
        <v>265.72000000000003</v>
      </c>
    </row>
    <row r="24" spans="1:21" x14ac:dyDescent="0.25">
      <c r="O24" s="81">
        <v>1.03</v>
      </c>
      <c r="P24" s="81">
        <f t="shared" si="4"/>
        <v>263.16500000000002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1.02</v>
      </c>
      <c r="P25" s="81">
        <f t="shared" si="4"/>
        <v>260.61</v>
      </c>
    </row>
    <row r="26" spans="1:21" x14ac:dyDescent="0.25">
      <c r="O26" s="81">
        <v>1.01</v>
      </c>
      <c r="P26" s="81">
        <f t="shared" si="4"/>
        <v>258.05500000000001</v>
      </c>
    </row>
    <row r="27" spans="1:21" x14ac:dyDescent="0.25">
      <c r="C27" s="4"/>
      <c r="D27" s="3"/>
      <c r="E27" s="3"/>
      <c r="F27" s="3"/>
      <c r="O27" s="81">
        <v>1</v>
      </c>
      <c r="P27" s="81">
        <f t="shared" si="4"/>
        <v>255.5</v>
      </c>
    </row>
    <row r="28" spans="1:21" x14ac:dyDescent="0.25">
      <c r="O28" s="81">
        <v>0.99</v>
      </c>
      <c r="P28" s="81">
        <f t="shared" si="4"/>
        <v>252.94499999999999</v>
      </c>
    </row>
    <row r="29" spans="1:21" x14ac:dyDescent="0.25">
      <c r="A29" s="31" t="s">
        <v>81</v>
      </c>
      <c r="B29" s="14"/>
      <c r="C29" s="14">
        <f>SUM(C2:C27)</f>
        <v>355</v>
      </c>
      <c r="D29" s="18"/>
      <c r="E29" s="18"/>
      <c r="F29" s="18">
        <f>SUM(F2:F27)</f>
        <v>75608.600000000006</v>
      </c>
      <c r="G29" s="14"/>
      <c r="H29" s="71">
        <f>SUM(H2:H28)</f>
        <v>325</v>
      </c>
      <c r="I29" s="18"/>
      <c r="J29" s="18"/>
      <c r="K29" s="18">
        <f>SUM(K2:K28)</f>
        <v>72302.849999999991</v>
      </c>
      <c r="L29" s="14"/>
      <c r="M29" s="18">
        <f>SUM(M2:M10)</f>
        <v>0</v>
      </c>
      <c r="O29" s="81">
        <v>0.98</v>
      </c>
      <c r="P29" s="81">
        <f t="shared" si="4"/>
        <v>250.39</v>
      </c>
    </row>
    <row r="30" spans="1:21" ht="15.75" thickBot="1" x14ac:dyDescent="0.3">
      <c r="A30" s="341" t="s">
        <v>193</v>
      </c>
      <c r="B30" s="342"/>
      <c r="C30" s="343">
        <f>SumByColor($A$30,C2:C28)</f>
        <v>325</v>
      </c>
      <c r="D30" s="343"/>
      <c r="E30" s="343"/>
      <c r="F30" s="344">
        <f>SumByColor($A$30,F2:F28)</f>
        <v>68513</v>
      </c>
      <c r="G30" s="343"/>
      <c r="H30" s="343">
        <f>SumByColor($A$30,H2:H28)</f>
        <v>325</v>
      </c>
      <c r="I30" s="343"/>
      <c r="J30" s="343"/>
      <c r="K30" s="344">
        <f>SumByColor($A$30,K2:K28)</f>
        <v>72303</v>
      </c>
      <c r="L30" s="343"/>
      <c r="M30" s="344">
        <f>SumByColor($A$30,M2:M28)</f>
        <v>0</v>
      </c>
      <c r="O30" s="81">
        <v>0.97</v>
      </c>
      <c r="P30" s="81">
        <f t="shared" si="4"/>
        <v>247.83499999999998</v>
      </c>
    </row>
    <row r="31" spans="1:21" x14ac:dyDescent="0.25">
      <c r="O31" s="81">
        <v>0.96</v>
      </c>
      <c r="P31" s="81">
        <f t="shared" si="4"/>
        <v>245.28</v>
      </c>
    </row>
    <row r="32" spans="1:21" x14ac:dyDescent="0.25">
      <c r="O32" s="81">
        <v>0.95</v>
      </c>
      <c r="P32" s="81">
        <f t="shared" si="4"/>
        <v>242.72499999999999</v>
      </c>
    </row>
    <row r="33" spans="1:17" x14ac:dyDescent="0.25">
      <c r="O33" s="81">
        <v>0.94</v>
      </c>
      <c r="P33" s="81">
        <f t="shared" si="4"/>
        <v>240.17</v>
      </c>
    </row>
    <row r="34" spans="1:17" x14ac:dyDescent="0.25">
      <c r="O34" s="81">
        <v>0.93</v>
      </c>
      <c r="P34" s="81">
        <f t="shared" si="4"/>
        <v>237.61500000000001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497</v>
      </c>
      <c r="L35" s="220" t="s">
        <v>973</v>
      </c>
      <c r="O35" s="81">
        <v>0.92</v>
      </c>
      <c r="P35" s="81">
        <f t="shared" si="4"/>
        <v>235.06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0.91</v>
      </c>
      <c r="P36" s="81">
        <f t="shared" si="4"/>
        <v>232.505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</v>
      </c>
      <c r="P37" s="81">
        <f t="shared" si="4"/>
        <v>229.95000000000002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F38+$M$84</f>
        <v>1434.0700000000006</v>
      </c>
      <c r="K38" s="39"/>
      <c r="L38" s="155"/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F39+$M$84</f>
        <v>1827.5200000000009</v>
      </c>
      <c r="K39" s="39"/>
      <c r="L39" s="155"/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F40+$M$84</f>
        <v>1684.3200000000008</v>
      </c>
      <c r="K40" s="39"/>
      <c r="L40" s="155"/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10">
        <v>60</v>
      </c>
      <c r="D74" s="39">
        <v>174.87</v>
      </c>
      <c r="E74" s="39">
        <v>232.54</v>
      </c>
      <c r="F74" s="39">
        <f>C74*(E74-D74)</f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>C75*(E75-D75)</f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>C76*(E76-D76)</f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12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12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12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39"/>
      <c r="J81" s="39"/>
      <c r="K81" s="39"/>
      <c r="L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563"/>
      <c r="B84" s="563"/>
      <c r="C84" s="563"/>
      <c r="D84" s="564"/>
      <c r="E84" s="564"/>
      <c r="F84" s="564"/>
      <c r="G84" s="563"/>
      <c r="H84" s="563"/>
      <c r="I84" s="564"/>
      <c r="J84" s="564"/>
      <c r="K84" s="564"/>
      <c r="L84" s="563" t="s">
        <v>65</v>
      </c>
      <c r="M84" s="564">
        <f>M102+K102-F102</f>
        <v>224.77000000000044</v>
      </c>
    </row>
    <row r="85" spans="1:13" x14ac:dyDescent="0.25">
      <c r="A85" s="685" t="s">
        <v>1</v>
      </c>
      <c r="B85" s="685" t="s">
        <v>2</v>
      </c>
      <c r="C85" s="685" t="s">
        <v>4</v>
      </c>
      <c r="D85" s="686" t="s">
        <v>5</v>
      </c>
      <c r="E85" s="686" t="s">
        <v>94</v>
      </c>
      <c r="F85" s="686" t="s">
        <v>60</v>
      </c>
      <c r="G85" s="685" t="s">
        <v>3</v>
      </c>
      <c r="H85" s="685" t="s">
        <v>6</v>
      </c>
      <c r="I85" s="686" t="s">
        <v>7</v>
      </c>
      <c r="J85" s="686" t="s">
        <v>95</v>
      </c>
      <c r="K85" s="686" t="s">
        <v>61</v>
      </c>
      <c r="L85" s="685" t="s">
        <v>37</v>
      </c>
      <c r="M85" s="685" t="s">
        <v>38</v>
      </c>
    </row>
    <row r="86" spans="1:13" x14ac:dyDescent="0.25">
      <c r="A86" s="687" t="s">
        <v>694</v>
      </c>
      <c r="B86" s="566">
        <v>42972</v>
      </c>
      <c r="C86" s="563">
        <v>15</v>
      </c>
      <c r="D86" s="564">
        <v>210.01</v>
      </c>
      <c r="E86" s="564">
        <v>0</v>
      </c>
      <c r="F86" s="564">
        <f>C86*D86+E86</f>
        <v>3150.1499999999996</v>
      </c>
      <c r="G86" s="566">
        <v>43005</v>
      </c>
      <c r="H86" s="563">
        <v>15</v>
      </c>
      <c r="I86" s="564">
        <v>225</v>
      </c>
      <c r="J86" s="564">
        <v>0.08</v>
      </c>
      <c r="K86" s="564">
        <f>H86*I86-J86</f>
        <v>3374.92</v>
      </c>
      <c r="L86" s="566"/>
      <c r="M86" s="564"/>
    </row>
    <row r="87" spans="1:13" x14ac:dyDescent="0.25">
      <c r="A87" s="688"/>
      <c r="B87" s="566"/>
      <c r="C87" s="563"/>
      <c r="D87" s="564"/>
      <c r="E87" s="564"/>
      <c r="F87" s="564"/>
      <c r="G87" s="566"/>
      <c r="H87" s="565"/>
      <c r="I87" s="564"/>
      <c r="J87" s="564"/>
      <c r="K87" s="564"/>
      <c r="L87" s="563"/>
      <c r="M87" s="563"/>
    </row>
    <row r="88" spans="1:13" x14ac:dyDescent="0.25">
      <c r="A88" s="563"/>
      <c r="B88" s="566"/>
      <c r="C88" s="563"/>
      <c r="D88" s="564"/>
      <c r="E88" s="564"/>
      <c r="F88" s="564"/>
      <c r="G88" s="566"/>
      <c r="H88" s="565"/>
      <c r="I88" s="564"/>
      <c r="J88" s="564"/>
      <c r="K88" s="564"/>
      <c r="L88" s="563"/>
      <c r="M88" s="563"/>
    </row>
    <row r="89" spans="1:13" x14ac:dyDescent="0.25">
      <c r="A89" s="563"/>
      <c r="B89" s="566"/>
      <c r="C89" s="563"/>
      <c r="D89" s="564"/>
      <c r="E89" s="564"/>
      <c r="F89" s="564"/>
      <c r="G89" s="563"/>
      <c r="H89" s="565"/>
      <c r="I89" s="564"/>
      <c r="J89" s="564"/>
      <c r="K89" s="564"/>
      <c r="L89" s="563"/>
      <c r="M89" s="563"/>
    </row>
    <row r="90" spans="1:13" x14ac:dyDescent="0.25">
      <c r="A90" s="563"/>
      <c r="B90" s="566"/>
      <c r="C90" s="563"/>
      <c r="D90" s="564"/>
      <c r="E90" s="564"/>
      <c r="F90" s="564"/>
      <c r="G90" s="563"/>
      <c r="H90" s="565"/>
      <c r="I90" s="564"/>
      <c r="J90" s="564"/>
      <c r="K90" s="564"/>
      <c r="L90" s="563"/>
      <c r="M90" s="563"/>
    </row>
    <row r="91" spans="1:13" x14ac:dyDescent="0.25">
      <c r="A91" s="563"/>
      <c r="B91" s="563"/>
      <c r="C91" s="563"/>
      <c r="D91" s="564"/>
      <c r="E91" s="564"/>
      <c r="F91" s="564"/>
      <c r="G91" s="563"/>
      <c r="H91" s="565"/>
      <c r="I91" s="564"/>
      <c r="J91" s="564"/>
      <c r="K91" s="564"/>
      <c r="L91" s="563"/>
      <c r="M91" s="563"/>
    </row>
    <row r="92" spans="1:13" x14ac:dyDescent="0.25">
      <c r="A92" s="563"/>
      <c r="B92" s="563"/>
      <c r="C92" s="563"/>
      <c r="D92" s="564"/>
      <c r="E92" s="564"/>
      <c r="F92" s="564"/>
      <c r="G92" s="563"/>
      <c r="H92" s="565"/>
      <c r="I92" s="564"/>
      <c r="J92" s="564"/>
      <c r="K92" s="564"/>
      <c r="L92" s="563"/>
      <c r="M92" s="563"/>
    </row>
    <row r="93" spans="1:13" x14ac:dyDescent="0.25">
      <c r="A93" s="563"/>
      <c r="B93" s="563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3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3"/>
      <c r="I101" s="564"/>
      <c r="J101" s="564"/>
      <c r="K101" s="564"/>
      <c r="L101" s="563"/>
      <c r="M101" s="563"/>
    </row>
    <row r="102" spans="1:13" x14ac:dyDescent="0.25">
      <c r="A102" s="689" t="s">
        <v>81</v>
      </c>
      <c r="B102" s="690"/>
      <c r="C102" s="690">
        <f>SUM(C86:C90)</f>
        <v>15</v>
      </c>
      <c r="D102" s="691"/>
      <c r="E102" s="691"/>
      <c r="F102" s="691">
        <f>SUM(F86:F90)</f>
        <v>3150.1499999999996</v>
      </c>
      <c r="G102" s="690"/>
      <c r="H102" s="692">
        <f>SUM(H86:H89)</f>
        <v>15</v>
      </c>
      <c r="I102" s="691"/>
      <c r="J102" s="691"/>
      <c r="K102" s="691">
        <f>SUM(K86:K89)</f>
        <v>3374.92</v>
      </c>
      <c r="L102" s="690"/>
      <c r="M102" s="691">
        <f>SUM(M86:M94)</f>
        <v>0</v>
      </c>
    </row>
    <row r="103" spans="1:13" ht="15.75" thickBot="1" x14ac:dyDescent="0.3">
      <c r="A103" s="693" t="s">
        <v>193</v>
      </c>
      <c r="B103" s="725"/>
      <c r="C103" s="694">
        <f>SumByColor($A$30,C86:C101)</f>
        <v>0</v>
      </c>
      <c r="D103" s="694"/>
      <c r="E103" s="694"/>
      <c r="F103" s="695">
        <f>SumByColor($A$30,F86:F101)</f>
        <v>0</v>
      </c>
      <c r="G103" s="694"/>
      <c r="H103" s="694">
        <f>SumByColor($A$30,H86:H101)</f>
        <v>0</v>
      </c>
      <c r="I103" s="694"/>
      <c r="J103" s="694"/>
      <c r="K103" s="695">
        <f>SumByColor($A$30,K87:K101)</f>
        <v>0</v>
      </c>
      <c r="L103" s="694"/>
      <c r="M103" s="695">
        <f>SumByColor($A$30,M86:M101)</f>
        <v>0</v>
      </c>
    </row>
    <row r="106" spans="1:13" x14ac:dyDescent="0.25">
      <c r="B106" s="182" t="s">
        <v>113</v>
      </c>
      <c r="C106" s="182" t="s">
        <v>146</v>
      </c>
      <c r="D106" s="183" t="s">
        <v>145</v>
      </c>
      <c r="E106" s="185" t="s">
        <v>147</v>
      </c>
      <c r="F106" s="185" t="s">
        <v>65</v>
      </c>
      <c r="G106" s="220" t="s">
        <v>151</v>
      </c>
      <c r="H106" s="220" t="s">
        <v>88</v>
      </c>
      <c r="I106" s="220" t="s">
        <v>154</v>
      </c>
      <c r="J106" s="220" t="s">
        <v>150</v>
      </c>
      <c r="K106" s="220" t="s">
        <v>669</v>
      </c>
      <c r="L106" s="220" t="s">
        <v>675</v>
      </c>
    </row>
    <row r="107" spans="1:13" x14ac:dyDescent="0.25">
      <c r="B107" s="184">
        <v>42972</v>
      </c>
      <c r="C107" s="10">
        <v>15</v>
      </c>
      <c r="D107" s="39">
        <v>210.01</v>
      </c>
      <c r="E107" s="39">
        <v>212.36</v>
      </c>
      <c r="F107" s="39">
        <f>C107*(E107-D107)</f>
        <v>35.250000000000341</v>
      </c>
      <c r="G107" s="39">
        <f>D107*C107</f>
        <v>3150.1499999999996</v>
      </c>
      <c r="H107" s="222">
        <f>(E107-D107)/D107</f>
        <v>1.1189943336031726E-2</v>
      </c>
      <c r="I107" s="39"/>
      <c r="J107" s="39"/>
      <c r="K107" s="39"/>
      <c r="L107" s="39"/>
    </row>
    <row r="108" spans="1:13" x14ac:dyDescent="0.25">
      <c r="B108" s="184">
        <v>42983</v>
      </c>
      <c r="C108" s="10">
        <v>15</v>
      </c>
      <c r="D108" s="39">
        <v>210.01</v>
      </c>
      <c r="E108" s="39">
        <v>223.9</v>
      </c>
      <c r="F108" s="39">
        <f>C108*(E108-D108)</f>
        <v>208.35000000000022</v>
      </c>
      <c r="G108" s="39">
        <f>D108*C108</f>
        <v>3150.1499999999996</v>
      </c>
      <c r="H108" s="222">
        <f>(E108-D108)/D108</f>
        <v>6.6139707632969932E-2</v>
      </c>
      <c r="I108" s="39"/>
      <c r="J108" s="39"/>
      <c r="K108" s="39"/>
      <c r="L108" s="39"/>
    </row>
    <row r="109" spans="1:13" x14ac:dyDescent="0.25">
      <c r="B109" s="184">
        <v>43005</v>
      </c>
      <c r="C109" s="10">
        <v>0</v>
      </c>
      <c r="D109" s="39"/>
      <c r="E109" s="39"/>
      <c r="F109" s="39">
        <v>224.77</v>
      </c>
      <c r="G109" s="39"/>
      <c r="H109" s="222"/>
      <c r="I109" s="39"/>
      <c r="J109" s="39"/>
      <c r="K109" s="39"/>
      <c r="L109" s="155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155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155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155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155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155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</sheetData>
  <mergeCells count="1">
    <mergeCell ref="O16:P16"/>
  </mergeCells>
  <conditionalFormatting sqref="O17:O3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80:J82 H80:H82 F80:F82">
    <cfRule type="expression" dxfId="1752" priority="43">
      <formula>F7&gt;0</formula>
    </cfRule>
    <cfRule type="expression" dxfId="1751" priority="44">
      <formula>F7&lt;0</formula>
    </cfRule>
  </conditionalFormatting>
  <conditionalFormatting sqref="Q8">
    <cfRule type="expression" dxfId="1750" priority="41">
      <formula>Q8&gt;0</formula>
    </cfRule>
    <cfRule type="expression" dxfId="1749" priority="42">
      <formula>Q8&lt;0</formula>
    </cfRule>
  </conditionalFormatting>
  <conditionalFormatting sqref="F41:F60">
    <cfRule type="expression" dxfId="1748" priority="39">
      <formula>F41&gt;0</formula>
    </cfRule>
    <cfRule type="expression" dxfId="1747" priority="40">
      <formula>F41&lt;0</formula>
    </cfRule>
  </conditionalFormatting>
  <conditionalFormatting sqref="H41:H60">
    <cfRule type="expression" dxfId="1746" priority="37">
      <formula>H41&gt;0</formula>
    </cfRule>
    <cfRule type="expression" dxfId="1745" priority="38">
      <formula>H41&lt;0</formula>
    </cfRule>
  </conditionalFormatting>
  <conditionalFormatting sqref="Q10">
    <cfRule type="expression" dxfId="1744" priority="31">
      <formula>Q10&gt;0</formula>
    </cfRule>
    <cfRule type="expression" dxfId="1743" priority="32">
      <formula>Q10&lt;0</formula>
    </cfRule>
  </conditionalFormatting>
  <conditionalFormatting sqref="J36:J60">
    <cfRule type="expression" dxfId="1742" priority="29">
      <formula>J36&gt;0</formula>
    </cfRule>
    <cfRule type="expression" dxfId="1741" priority="30">
      <formula>J36&lt;0</formula>
    </cfRule>
  </conditionalFormatting>
  <conditionalFormatting sqref="K36:K49">
    <cfRule type="expression" dxfId="1740" priority="27">
      <formula>K36&gt;0</formula>
    </cfRule>
    <cfRule type="expression" dxfId="1739" priority="28">
      <formula>K36&lt;0</formula>
    </cfRule>
  </conditionalFormatting>
  <conditionalFormatting sqref="L36:L49">
    <cfRule type="expression" dxfId="1738" priority="25">
      <formula>L36&gt;0</formula>
    </cfRule>
    <cfRule type="expression" dxfId="1737" priority="26">
      <formula>L36&lt;0</formula>
    </cfRule>
  </conditionalFormatting>
  <conditionalFormatting sqref="F107:F128">
    <cfRule type="expression" dxfId="1736" priority="23">
      <formula>F107&gt;0</formula>
    </cfRule>
    <cfRule type="expression" dxfId="1735" priority="24">
      <formula>F107&lt;0</formula>
    </cfRule>
  </conditionalFormatting>
  <conditionalFormatting sqref="H107:H128">
    <cfRule type="expression" dxfId="1734" priority="21">
      <formula>H107&gt;0</formula>
    </cfRule>
    <cfRule type="expression" dxfId="1733" priority="22">
      <formula>H107&lt;0</formula>
    </cfRule>
  </conditionalFormatting>
  <conditionalFormatting sqref="J107:J120">
    <cfRule type="expression" dxfId="1732" priority="19">
      <formula>J107&gt;0</formula>
    </cfRule>
    <cfRule type="expression" dxfId="1731" priority="20">
      <formula>J107&lt;0</formula>
    </cfRule>
  </conditionalFormatting>
  <conditionalFormatting sqref="K107:K120">
    <cfRule type="expression" dxfId="1730" priority="17">
      <formula>K107&gt;0</formula>
    </cfRule>
    <cfRule type="expression" dxfId="1729" priority="18">
      <formula>K107&lt;0</formula>
    </cfRule>
  </conditionalFormatting>
  <conditionalFormatting sqref="L107:L120">
    <cfRule type="expression" dxfId="1728" priority="15">
      <formula>L107&gt;0</formula>
    </cfRule>
    <cfRule type="expression" dxfId="1727" priority="16">
      <formula>L107&lt;0</formula>
    </cfRule>
  </conditionalFormatting>
  <conditionalFormatting sqref="F36:F40">
    <cfRule type="expression" dxfId="1726" priority="13">
      <formula>F36&gt;0</formula>
    </cfRule>
    <cfRule type="expression" dxfId="1725" priority="14">
      <formula>F36&lt;0</formula>
    </cfRule>
  </conditionalFormatting>
  <conditionalFormatting sqref="H36:H40">
    <cfRule type="expression" dxfId="1724" priority="11">
      <formula>H36&gt;0</formula>
    </cfRule>
    <cfRule type="expression" dxfId="1723" priority="12">
      <formula>H36&lt;0</formula>
    </cfRule>
  </conditionalFormatting>
  <conditionalFormatting sqref="F61:F62">
    <cfRule type="expression" dxfId="1722" priority="9">
      <formula>F61&gt;0</formula>
    </cfRule>
    <cfRule type="expression" dxfId="1721" priority="10">
      <formula>F61&lt;0</formula>
    </cfRule>
  </conditionalFormatting>
  <conditionalFormatting sqref="H61:H62">
    <cfRule type="expression" dxfId="1720" priority="7">
      <formula>H61&gt;0</formula>
    </cfRule>
    <cfRule type="expression" dxfId="1719" priority="8">
      <formula>H61&lt;0</formula>
    </cfRule>
  </conditionalFormatting>
  <conditionalFormatting sqref="J61:J62">
    <cfRule type="expression" dxfId="1718" priority="5">
      <formula>J61&gt;0</formula>
    </cfRule>
    <cfRule type="expression" dxfId="1717" priority="6">
      <formula>J61&lt;0</formula>
    </cfRule>
  </conditionalFormatting>
  <conditionalFormatting sqref="J74:J75 H74:H75 F74:F75">
    <cfRule type="expression" dxfId="1716" priority="3">
      <formula>F74&gt;0</formula>
    </cfRule>
    <cfRule type="expression" dxfId="1715" priority="4">
      <formula>F74&lt;0</formula>
    </cfRule>
  </conditionalFormatting>
  <conditionalFormatting sqref="J76:J79 H76:H79 F76:F79">
    <cfRule type="expression" dxfId="1714" priority="1">
      <formula>F76&gt;0</formula>
    </cfRule>
    <cfRule type="expression" dxfId="1713" priority="2">
      <formula>F76&lt;0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903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99.29</v>
      </c>
      <c r="T3" s="1"/>
      <c r="U3" t="s">
        <v>904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99.29</v>
      </c>
      <c r="R4" s="495">
        <v>-2.07E-2</v>
      </c>
      <c r="T4" s="1"/>
      <c r="U4" t="s">
        <v>905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906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">
        <v>43203</v>
      </c>
      <c r="U9" t="s">
        <v>1004</v>
      </c>
      <c r="W9" s="134"/>
    </row>
    <row r="10" spans="1:23" x14ac:dyDescent="0.25">
      <c r="H10" s="70"/>
      <c r="O10" s="11" t="s">
        <v>207</v>
      </c>
      <c r="P10" s="33"/>
      <c r="Q10" s="2">
        <f>M66</f>
        <v>0</v>
      </c>
      <c r="U10" t="s">
        <v>1003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6.8486252391983084E-3</v>
      </c>
      <c r="R11">
        <v>0.17</v>
      </c>
      <c r="W11" s="134"/>
    </row>
    <row r="12" spans="1:23" x14ac:dyDescent="0.25">
      <c r="H12" s="70"/>
      <c r="O12" s="11" t="s">
        <v>995</v>
      </c>
      <c r="Q12" s="1" t="s">
        <v>1123</v>
      </c>
      <c r="W12" s="134"/>
    </row>
    <row r="13" spans="1:23" x14ac:dyDescent="0.25">
      <c r="H13" s="70"/>
      <c r="O13" s="11" t="s">
        <v>973</v>
      </c>
      <c r="Q13">
        <f>Q4/4.75</f>
        <v>20.903157894736843</v>
      </c>
      <c r="W13" s="134"/>
    </row>
    <row r="14" spans="1:23" x14ac:dyDescent="0.25">
      <c r="H14" s="70"/>
      <c r="T14" s="1">
        <v>43294</v>
      </c>
      <c r="U14" t="s">
        <v>1204</v>
      </c>
      <c r="W14" s="134"/>
    </row>
    <row r="15" spans="1:23" ht="20.25" thickBot="1" x14ac:dyDescent="0.35">
      <c r="H15" s="70"/>
      <c r="O15" s="851" t="s">
        <v>78</v>
      </c>
      <c r="P15" s="851"/>
      <c r="W15" s="134"/>
    </row>
    <row r="16" spans="1:23" ht="15.75" thickTop="1" x14ac:dyDescent="0.25">
      <c r="H16" s="70"/>
      <c r="O16" s="81">
        <v>1.1000000000000001</v>
      </c>
      <c r="P16" s="81">
        <f>O16*$Q$4</f>
        <v>109.21900000000002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108.22610000000002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107.23320000000001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106.24030000000002</v>
      </c>
      <c r="W19" s="134"/>
    </row>
    <row r="20" spans="1:23" x14ac:dyDescent="0.25">
      <c r="O20" s="81">
        <v>1.06</v>
      </c>
      <c r="P20" s="81">
        <f t="shared" si="0"/>
        <v>105.24740000000001</v>
      </c>
      <c r="W20" s="134"/>
    </row>
    <row r="21" spans="1:23" x14ac:dyDescent="0.25">
      <c r="O21" s="81">
        <v>1.05</v>
      </c>
      <c r="P21" s="81">
        <f t="shared" si="0"/>
        <v>104.25450000000001</v>
      </c>
      <c r="W21" s="134"/>
    </row>
    <row r="22" spans="1:23" x14ac:dyDescent="0.25">
      <c r="O22" s="81">
        <v>1.04</v>
      </c>
      <c r="P22" s="81">
        <f t="shared" si="0"/>
        <v>103.26160000000002</v>
      </c>
      <c r="W22" s="134"/>
    </row>
    <row r="23" spans="1:23" x14ac:dyDescent="0.25">
      <c r="O23" s="81">
        <v>1.03</v>
      </c>
      <c r="P23" s="81">
        <f t="shared" si="0"/>
        <v>102.26870000000001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497</v>
      </c>
      <c r="K24" s="220"/>
      <c r="L24" s="220" t="s">
        <v>973</v>
      </c>
      <c r="O24" s="81">
        <v>1.02</v>
      </c>
      <c r="P24" s="81">
        <f t="shared" si="0"/>
        <v>101.2758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100.28290000000001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99.29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98.2971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97.304200000000009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96.311300000000003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95.318399999999997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94.325500000000005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93.332599999999999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92.339700000000008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91.346800000000016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90.35390000000001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89.361000000000004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12" priority="21">
      <formula>F47&gt;0</formula>
    </cfRule>
    <cfRule type="expression" dxfId="1711" priority="22">
      <formula>F47&lt;0</formula>
    </cfRule>
  </conditionalFormatting>
  <conditionalFormatting sqref="Q7">
    <cfRule type="expression" dxfId="1710" priority="19">
      <formula>Q7&gt;0</formula>
    </cfRule>
    <cfRule type="expression" dxfId="1709" priority="20">
      <formula>Q7&lt;0</formula>
    </cfRule>
  </conditionalFormatting>
  <conditionalFormatting sqref="Q8">
    <cfRule type="expression" dxfId="1708" priority="17">
      <formula>Q8&gt;0</formula>
    </cfRule>
    <cfRule type="expression" dxfId="1707" priority="18">
      <formula>Q8&lt;0</formula>
    </cfRule>
  </conditionalFormatting>
  <conditionalFormatting sqref="F25:F46">
    <cfRule type="expression" dxfId="1706" priority="15">
      <formula>F25&gt;0</formula>
    </cfRule>
    <cfRule type="expression" dxfId="1705" priority="16">
      <formula>F25&lt;0</formula>
    </cfRule>
  </conditionalFormatting>
  <conditionalFormatting sqref="H25:H46">
    <cfRule type="expression" dxfId="1704" priority="13">
      <formula>H25&gt;0</formula>
    </cfRule>
    <cfRule type="expression" dxfId="1703" priority="14">
      <formula>H25&lt;0</formula>
    </cfRule>
  </conditionalFormatting>
  <conditionalFormatting sqref="F89:F110">
    <cfRule type="expression" dxfId="1702" priority="11">
      <formula>F89&gt;0</formula>
    </cfRule>
    <cfRule type="expression" dxfId="1701" priority="12">
      <formula>F89&lt;0</formula>
    </cfRule>
  </conditionalFormatting>
  <conditionalFormatting sqref="H89:H110">
    <cfRule type="expression" dxfId="1700" priority="9">
      <formula>H89&gt;0</formula>
    </cfRule>
    <cfRule type="expression" dxfId="1699" priority="10">
      <formula>H89&lt;0</formula>
    </cfRule>
  </conditionalFormatting>
  <conditionalFormatting sqref="Q10">
    <cfRule type="expression" dxfId="1698" priority="7">
      <formula>Q10&gt;0</formula>
    </cfRule>
    <cfRule type="expression" dxfId="1697" priority="8">
      <formula>Q10&lt;0</formula>
    </cfRule>
  </conditionalFormatting>
  <conditionalFormatting sqref="J25:J38">
    <cfRule type="expression" dxfId="1696" priority="5">
      <formula>J25&gt;0</formula>
    </cfRule>
    <cfRule type="expression" dxfId="1695" priority="6">
      <formula>J25&lt;0</formula>
    </cfRule>
  </conditionalFormatting>
  <conditionalFormatting sqref="K25:K38">
    <cfRule type="expression" dxfId="1694" priority="3">
      <formula>K25&gt;0</formula>
    </cfRule>
    <cfRule type="expression" dxfId="1693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679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826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140.65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140.65</v>
      </c>
      <c r="R4" s="495">
        <v>-2.0999999999999999E-3</v>
      </c>
      <c r="T4" s="29">
        <v>42738</v>
      </c>
      <c r="U4" t="s">
        <v>825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852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858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208</v>
      </c>
      <c r="Q9" s="134">
        <f>IF(Q2=0, 0, Q8/Q6)</f>
        <v>0</v>
      </c>
      <c r="T9" s="29">
        <v>43114</v>
      </c>
      <c r="U9" t="s">
        <v>879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207</v>
      </c>
      <c r="P10" s="33"/>
      <c r="Q10" s="2">
        <f>M70</f>
        <v>0</v>
      </c>
      <c r="U10" t="s">
        <v>880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995</v>
      </c>
      <c r="Q12" s="29"/>
      <c r="T12" s="29">
        <v>43193</v>
      </c>
      <c r="U12" t="s">
        <v>966</v>
      </c>
    </row>
    <row r="13" spans="1:21" x14ac:dyDescent="0.25">
      <c r="C13" s="4"/>
      <c r="D13" s="3"/>
      <c r="E13" s="3"/>
      <c r="F13" s="3"/>
      <c r="H13" s="70"/>
      <c r="O13" s="11" t="s">
        <v>973</v>
      </c>
      <c r="Q13">
        <f>Q4/6.69</f>
        <v>21.02391629297459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51" t="s">
        <v>78</v>
      </c>
      <c r="P17" s="851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154.71500000000003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153.30850000000001</v>
      </c>
      <c r="Q19" s="2"/>
    </row>
    <row r="20" spans="1:17" x14ac:dyDescent="0.25">
      <c r="O20" s="81">
        <v>1.08</v>
      </c>
      <c r="P20" s="81">
        <f t="shared" si="2"/>
        <v>151.90200000000002</v>
      </c>
      <c r="Q20" s="2"/>
    </row>
    <row r="21" spans="1:17" x14ac:dyDescent="0.25">
      <c r="O21" s="81">
        <v>1.07</v>
      </c>
      <c r="P21" s="81">
        <f t="shared" si="2"/>
        <v>150.49550000000002</v>
      </c>
      <c r="Q21" s="2"/>
    </row>
    <row r="22" spans="1:17" x14ac:dyDescent="0.25">
      <c r="O22" s="81">
        <v>1.06</v>
      </c>
      <c r="P22" s="81">
        <f t="shared" si="2"/>
        <v>149.08900000000003</v>
      </c>
      <c r="Q22" s="2"/>
    </row>
    <row r="23" spans="1:17" x14ac:dyDescent="0.25">
      <c r="O23" s="81">
        <v>1.05</v>
      </c>
      <c r="P23" s="81">
        <f t="shared" si="2"/>
        <v>147.6825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497</v>
      </c>
      <c r="M24" s="220" t="s">
        <v>70</v>
      </c>
      <c r="O24" s="81">
        <v>1.04</v>
      </c>
      <c r="P24" s="81">
        <f t="shared" si="2"/>
        <v>146.27600000000001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144.86950000000002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143.46300000000002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142.0565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140.65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139.24350000000001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137.83699999999999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136.43049999999999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135.024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133.61750000000001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132.21099999999998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130.80450000000002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129.39800000000002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127.99150000000002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126.58500000000001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857</v>
      </c>
      <c r="J47" s="39"/>
      <c r="K47" s="39"/>
      <c r="L47" s="39">
        <v>74.34</v>
      </c>
      <c r="M47" s="39" t="s">
        <v>878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940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971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92" priority="25">
      <formula>F7&gt;0</formula>
    </cfRule>
    <cfRule type="expression" dxfId="1691" priority="26">
      <formula>F7&lt;0</formula>
    </cfRule>
  </conditionalFormatting>
  <conditionalFormatting sqref="Q8">
    <cfRule type="expression" dxfId="1690" priority="23">
      <formula>Q8&gt;0</formula>
    </cfRule>
    <cfRule type="expression" dxfId="1689" priority="24">
      <formula>Q8&lt;0</formula>
    </cfRule>
  </conditionalFormatting>
  <conditionalFormatting sqref="F93:F114">
    <cfRule type="expression" dxfId="1688" priority="17">
      <formula>F93&gt;0</formula>
    </cfRule>
    <cfRule type="expression" dxfId="1687" priority="18">
      <formula>F93&lt;0</formula>
    </cfRule>
  </conditionalFormatting>
  <conditionalFormatting sqref="H93:H114">
    <cfRule type="expression" dxfId="1686" priority="15">
      <formula>H93&gt;0</formula>
    </cfRule>
    <cfRule type="expression" dxfId="1685" priority="16">
      <formula>H93&lt;0</formula>
    </cfRule>
  </conditionalFormatting>
  <conditionalFormatting sqref="Q10">
    <cfRule type="expression" dxfId="1684" priority="13">
      <formula>Q10&gt;0</formula>
    </cfRule>
    <cfRule type="expression" dxfId="1683" priority="14">
      <formula>Q10&lt;0</formula>
    </cfRule>
  </conditionalFormatting>
  <conditionalFormatting sqref="J25:J38">
    <cfRule type="expression" dxfId="1682" priority="11">
      <formula>J25&gt;0</formula>
    </cfRule>
    <cfRule type="expression" dxfId="1681" priority="12">
      <formula>J25&lt;0</formula>
    </cfRule>
  </conditionalFormatting>
  <conditionalFormatting sqref="K25:K38">
    <cfRule type="expression" dxfId="1680" priority="9">
      <formula>K25&gt;0</formula>
    </cfRule>
    <cfRule type="expression" dxfId="1679" priority="10">
      <formula>K25&lt;0</formula>
    </cfRule>
  </conditionalFormatting>
  <conditionalFormatting sqref="L25:L34">
    <cfRule type="expression" dxfId="1678" priority="7">
      <formula>L25&gt;0</formula>
    </cfRule>
    <cfRule type="expression" dxfId="1677" priority="8">
      <formula>L25&lt;0</formula>
    </cfRule>
  </conditionalFormatting>
  <conditionalFormatting sqref="J43">
    <cfRule type="expression" dxfId="1676" priority="5">
      <formula>J43&gt;0</formula>
    </cfRule>
    <cfRule type="expression" dxfId="1675" priority="6">
      <formula>J43&lt;0</formula>
    </cfRule>
  </conditionalFormatting>
  <conditionalFormatting sqref="M25:M34">
    <cfRule type="expression" dxfId="1674" priority="3">
      <formula>M25&gt;0</formula>
    </cfRule>
    <cfRule type="expression" dxfId="1673" priority="4">
      <formula>M25&lt;0</formula>
    </cfRule>
  </conditionalFormatting>
  <conditionalFormatting sqref="H61:H64 F61:F64">
    <cfRule type="expression" dxfId="1672" priority="1">
      <formula>F61&gt;0</formula>
    </cfRule>
    <cfRule type="expression" dxfId="1671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958</v>
      </c>
      <c r="B2" s="434">
        <v>43178</v>
      </c>
      <c r="C2" s="4">
        <v>100</v>
      </c>
      <c r="D2" s="3">
        <v>35.380000000000003</v>
      </c>
      <c r="E2" s="3">
        <v>0</v>
      </c>
      <c r="F2" s="3">
        <f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434">
        <v>43178</v>
      </c>
      <c r="C3" s="4">
        <v>50</v>
      </c>
      <c r="D3" s="3">
        <v>35.380000000000003</v>
      </c>
      <c r="E3" s="3">
        <v>0</v>
      </c>
      <c r="F3" s="3">
        <f>C3*D3+E3</f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4"/>
      <c r="M3" s="4"/>
      <c r="O3" s="11" t="s">
        <v>58</v>
      </c>
      <c r="Q3" s="221">
        <f>IF(Q2=0, Q4, (F18-K18-M18)/Q2)</f>
        <v>31.471133333333345</v>
      </c>
      <c r="T3" s="1">
        <v>43215</v>
      </c>
      <c r="U3" t="s">
        <v>1027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>C4*D4+E4</f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34.97</v>
      </c>
      <c r="R4" s="495">
        <v>7.7999999999999996E-3</v>
      </c>
      <c r="T4" s="770"/>
      <c r="U4" s="30" t="s">
        <v>1028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>C5*D5+E5</f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>H5*I5-J5</f>
        <v>3399.46</v>
      </c>
      <c r="L5" s="4"/>
      <c r="M5" s="4"/>
      <c r="O5" s="11" t="s">
        <v>67</v>
      </c>
      <c r="Q5" s="3">
        <f>Q4*Q2</f>
        <v>5245.5</v>
      </c>
    </row>
    <row r="6" spans="1:21" x14ac:dyDescent="0.25">
      <c r="B6" s="474">
        <v>43269</v>
      </c>
      <c r="C6" s="7">
        <v>150</v>
      </c>
      <c r="D6" s="43">
        <v>32.68</v>
      </c>
      <c r="E6" s="43">
        <v>0</v>
      </c>
      <c r="F6" s="43">
        <f>C6*D6+E6</f>
        <v>4902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4720.6700000000019</v>
      </c>
      <c r="T6" s="1">
        <v>43217</v>
      </c>
      <c r="U6" t="s">
        <v>1036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524.82999999999811</v>
      </c>
      <c r="R7" s="29">
        <v>43300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524.82999999999811</v>
      </c>
      <c r="T8" s="1">
        <v>43228</v>
      </c>
      <c r="U8" t="s">
        <v>1071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0.11117701512708957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1037</v>
      </c>
    </row>
    <row r="12" spans="1:21" x14ac:dyDescent="0.25">
      <c r="H12" s="70"/>
      <c r="O12" s="11" t="s">
        <v>995</v>
      </c>
      <c r="Q12" s="1" t="s">
        <v>1136</v>
      </c>
      <c r="T12" s="67"/>
    </row>
    <row r="13" spans="1:21" x14ac:dyDescent="0.25">
      <c r="H13" s="70"/>
      <c r="O13" s="11" t="s">
        <v>973</v>
      </c>
      <c r="Q13">
        <f>Q4/2.5</f>
        <v>13.988</v>
      </c>
      <c r="T13" s="156">
        <v>43263</v>
      </c>
      <c r="U13" t="s">
        <v>1116</v>
      </c>
    </row>
    <row r="14" spans="1:21" x14ac:dyDescent="0.25">
      <c r="H14" s="70"/>
      <c r="O14" s="11" t="s">
        <v>1111</v>
      </c>
    </row>
    <row r="15" spans="1:21" x14ac:dyDescent="0.25">
      <c r="H15" s="70"/>
      <c r="O15" s="11" t="s">
        <v>1040</v>
      </c>
      <c r="Q15" s="1">
        <v>43218</v>
      </c>
      <c r="T15" s="1">
        <v>43271</v>
      </c>
      <c r="U15" t="s">
        <v>1137</v>
      </c>
    </row>
    <row r="16" spans="1:21" x14ac:dyDescent="0.25">
      <c r="H16" s="70"/>
    </row>
    <row r="17" spans="1:21" x14ac:dyDescent="0.25">
      <c r="T17" s="156">
        <v>43308</v>
      </c>
      <c r="U17" t="s">
        <v>1170</v>
      </c>
    </row>
    <row r="18" spans="1:21" x14ac:dyDescent="0.25">
      <c r="A18" s="31" t="s">
        <v>81</v>
      </c>
      <c r="B18" s="14"/>
      <c r="C18" s="14">
        <f>SUM(C2:C8)</f>
        <v>550</v>
      </c>
      <c r="D18" s="18"/>
      <c r="E18" s="18"/>
      <c r="F18" s="18">
        <f>SUM(F2:F8)</f>
        <v>18049.5</v>
      </c>
      <c r="G18" s="14"/>
      <c r="H18" s="71">
        <f>SUM(H2:H5)</f>
        <v>400</v>
      </c>
      <c r="I18" s="18"/>
      <c r="J18" s="18"/>
      <c r="K18" s="18">
        <f>SUM(K2:K5)</f>
        <v>13300.329999999998</v>
      </c>
      <c r="L18" s="14"/>
      <c r="M18" s="18">
        <f>SUM(M2:M17)</f>
        <v>28.5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12742</v>
      </c>
      <c r="G19" s="343"/>
      <c r="H19" s="343">
        <f>SumByColor($A$19,H2:H17)</f>
        <v>400</v>
      </c>
      <c r="I19" s="343"/>
      <c r="J19" s="343"/>
      <c r="K19" s="344">
        <f>SumByColor($A$19,K2:K17)</f>
        <v>13300</v>
      </c>
      <c r="L19" s="343"/>
      <c r="M19" s="344">
        <f>SumByColor($A$19,M2:M17)</f>
        <v>28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38.466999999999999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973</v>
      </c>
      <c r="L24" s="220"/>
      <c r="O24" s="81">
        <v>1.0900000000000001</v>
      </c>
      <c r="P24" s="81">
        <f t="shared" ref="P24:P43" si="0">O24*$Q$4</f>
        <v>38.1173</v>
      </c>
      <c r="Q24" s="2"/>
    </row>
    <row r="25" spans="1:21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0"/>
        <v>37.767600000000002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0"/>
        <v>37.417900000000003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0"/>
        <v>37.068199999999997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">C28*(E28-D28)</f>
        <v>-228.00000000000045</v>
      </c>
      <c r="G28" s="39">
        <f t="shared" ref="G28:G33" si="2">D28*C28</f>
        <v>5307</v>
      </c>
      <c r="H28" s="222">
        <f t="shared" ref="H28:H33" si="3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0"/>
        <v>36.718499999999999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"/>
        <v>-168.00000000000068</v>
      </c>
      <c r="G29" s="39">
        <f t="shared" si="2"/>
        <v>5307</v>
      </c>
      <c r="H29" s="222">
        <f t="shared" si="3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0"/>
        <v>36.3688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1"/>
        <v>-516.00000000000068</v>
      </c>
      <c r="G30" s="39">
        <f t="shared" si="2"/>
        <v>10059</v>
      </c>
      <c r="H30" s="222">
        <f t="shared" si="3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0"/>
        <v>36.019100000000002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"/>
        <v>-883.20000000000073</v>
      </c>
      <c r="G31" s="39">
        <f t="shared" si="2"/>
        <v>13119.2</v>
      </c>
      <c r="H31" s="222">
        <f t="shared" si="3"/>
        <v>-6.7321178120617164E-2</v>
      </c>
      <c r="I31" s="39"/>
      <c r="J31" s="39"/>
      <c r="K31" s="39"/>
      <c r="L31" s="155"/>
      <c r="O31" s="81">
        <v>1.02</v>
      </c>
      <c r="P31" s="81">
        <f t="shared" si="0"/>
        <v>35.669399999999996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"/>
        <v>-99.000000000000909</v>
      </c>
      <c r="G32" s="39">
        <f t="shared" si="2"/>
        <v>13119</v>
      </c>
      <c r="H32" s="222">
        <f t="shared" si="3"/>
        <v>-7.5463068831466504E-3</v>
      </c>
      <c r="I32" s="39"/>
      <c r="J32" s="39"/>
      <c r="K32" s="39"/>
      <c r="L32" s="155"/>
      <c r="O32" s="81">
        <v>1.01</v>
      </c>
      <c r="P32" s="81">
        <f t="shared" si="0"/>
        <v>35.319699999999997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"/>
        <v>-414.0000000000008</v>
      </c>
      <c r="G33" s="39">
        <f t="shared" si="2"/>
        <v>9939</v>
      </c>
      <c r="H33" s="222">
        <f t="shared" si="3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0"/>
        <v>34.97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0" si="4">C34*(E34-D34)</f>
        <v>-315.00000000000125</v>
      </c>
      <c r="G34" s="39">
        <f t="shared" ref="G34:G40" si="5">D34*C34</f>
        <v>9939</v>
      </c>
      <c r="H34" s="222">
        <f t="shared" ref="H34:H40" si="6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0"/>
        <v>34.6203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4"/>
        <v>170.89499999999981</v>
      </c>
      <c r="G35" s="39">
        <f t="shared" si="5"/>
        <v>4902.1050000000005</v>
      </c>
      <c r="H35" s="222">
        <f t="shared" si="6"/>
        <v>3.48615543730703E-2</v>
      </c>
      <c r="I35" s="39" t="s">
        <v>1133</v>
      </c>
      <c r="J35" s="39"/>
      <c r="K35" s="39">
        <v>13.53</v>
      </c>
      <c r="L35" s="155"/>
      <c r="O35" s="81">
        <v>0.98</v>
      </c>
      <c r="P35" s="81">
        <f t="shared" si="0"/>
        <v>34.270600000000002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4"/>
        <v>-30.120000000000147</v>
      </c>
      <c r="G36" s="39">
        <f t="shared" si="5"/>
        <v>9804.119999999999</v>
      </c>
      <c r="H36" s="222">
        <f t="shared" si="6"/>
        <v>-3.0721778191209561E-3</v>
      </c>
      <c r="I36" s="39" t="s">
        <v>1133</v>
      </c>
      <c r="J36" s="39"/>
      <c r="K36" s="39">
        <v>13.03</v>
      </c>
      <c r="L36" s="39"/>
      <c r="O36" s="81">
        <v>0.97</v>
      </c>
      <c r="P36" s="81">
        <f t="shared" si="0"/>
        <v>33.920899999999996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4"/>
        <v>227.37500000000034</v>
      </c>
      <c r="G37" s="39">
        <f t="shared" si="5"/>
        <v>8120.125</v>
      </c>
      <c r="H37" s="222">
        <f t="shared" si="6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0"/>
        <v>33.571199999999997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4"/>
        <v>-47.625000000000028</v>
      </c>
      <c r="G38" s="39">
        <f t="shared" si="5"/>
        <v>8120.125</v>
      </c>
      <c r="H38" s="222">
        <f t="shared" si="6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0"/>
        <v>33.221499999999999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4"/>
        <v>274.87499999999977</v>
      </c>
      <c r="G39" s="39">
        <f t="shared" si="5"/>
        <v>8120.125</v>
      </c>
      <c r="H39" s="222">
        <f t="shared" si="6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0"/>
        <v>32.8718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4"/>
        <v>379.33500000000004</v>
      </c>
      <c r="G40" s="39">
        <f t="shared" si="5"/>
        <v>4720.665</v>
      </c>
      <c r="H40" s="222">
        <f t="shared" si="6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0"/>
        <v>32.522100000000002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32.172400000000003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31.822700000000001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31.472999999999999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70" priority="33">
      <formula>F47&gt;0</formula>
    </cfRule>
    <cfRule type="expression" dxfId="1669" priority="34">
      <formula>F47&lt;0</formula>
    </cfRule>
  </conditionalFormatting>
  <conditionalFormatting sqref="Q7">
    <cfRule type="expression" dxfId="1668" priority="31">
      <formula>Q7&gt;0</formula>
    </cfRule>
    <cfRule type="expression" dxfId="1667" priority="32">
      <formula>Q7&lt;0</formula>
    </cfRule>
  </conditionalFormatting>
  <conditionalFormatting sqref="Q8">
    <cfRule type="expression" dxfId="1666" priority="29">
      <formula>Q8&gt;0</formula>
    </cfRule>
    <cfRule type="expression" dxfId="1665" priority="30">
      <formula>Q8&lt;0</formula>
    </cfRule>
  </conditionalFormatting>
  <conditionalFormatting sqref="F30:F46">
    <cfRule type="expression" dxfId="1664" priority="27">
      <formula>F30&gt;0</formula>
    </cfRule>
    <cfRule type="expression" dxfId="1663" priority="28">
      <formula>F30&lt;0</formula>
    </cfRule>
  </conditionalFormatting>
  <conditionalFormatting sqref="H30:H46">
    <cfRule type="expression" dxfId="1662" priority="25">
      <formula>H30&gt;0</formula>
    </cfRule>
    <cfRule type="expression" dxfId="1661" priority="26">
      <formula>H30&lt;0</formula>
    </cfRule>
  </conditionalFormatting>
  <conditionalFormatting sqref="Q10">
    <cfRule type="expression" dxfId="1660" priority="23">
      <formula>Q10&gt;0</formula>
    </cfRule>
    <cfRule type="expression" dxfId="1659" priority="24">
      <formula>Q10&lt;0</formula>
    </cfRule>
  </conditionalFormatting>
  <conditionalFormatting sqref="J25:J38">
    <cfRule type="expression" dxfId="1658" priority="21">
      <formula>J25&gt;0</formula>
    </cfRule>
    <cfRule type="expression" dxfId="1657" priority="22">
      <formula>J25&lt;0</formula>
    </cfRule>
  </conditionalFormatting>
  <conditionalFormatting sqref="K25:K33">
    <cfRule type="expression" dxfId="1656" priority="19">
      <formula>K25&gt;0</formula>
    </cfRule>
    <cfRule type="expression" dxfId="1655" priority="20">
      <formula>K25&lt;0</formula>
    </cfRule>
  </conditionalFormatting>
  <conditionalFormatting sqref="L25:L38">
    <cfRule type="expression" dxfId="1654" priority="17">
      <formula>L25&gt;0</formula>
    </cfRule>
    <cfRule type="expression" dxfId="1653" priority="18">
      <formula>L25&lt;0</formula>
    </cfRule>
  </conditionalFormatting>
  <conditionalFormatting sqref="F89:F110">
    <cfRule type="expression" dxfId="1652" priority="15">
      <formula>F89&gt;0</formula>
    </cfRule>
    <cfRule type="expression" dxfId="1651" priority="16">
      <formula>F89&lt;0</formula>
    </cfRule>
  </conditionalFormatting>
  <conditionalFormatting sqref="H89:H110">
    <cfRule type="expression" dxfId="1650" priority="13">
      <formula>H89&gt;0</formula>
    </cfRule>
    <cfRule type="expression" dxfId="1649" priority="14">
      <formula>H89&lt;0</formula>
    </cfRule>
  </conditionalFormatting>
  <conditionalFormatting sqref="J89:J102">
    <cfRule type="expression" dxfId="1648" priority="11">
      <formula>J89&gt;0</formula>
    </cfRule>
    <cfRule type="expression" dxfId="1647" priority="12">
      <formula>J89&lt;0</formula>
    </cfRule>
  </conditionalFormatting>
  <conditionalFormatting sqref="K89:K102">
    <cfRule type="expression" dxfId="1646" priority="9">
      <formula>K89&gt;0</formula>
    </cfRule>
    <cfRule type="expression" dxfId="1645" priority="10">
      <formula>K89&lt;0</formula>
    </cfRule>
  </conditionalFormatting>
  <conditionalFormatting sqref="L89:L102">
    <cfRule type="expression" dxfId="1644" priority="7">
      <formula>L89&gt;0</formula>
    </cfRule>
    <cfRule type="expression" dxfId="1643" priority="8">
      <formula>L89&lt;0</formula>
    </cfRule>
  </conditionalFormatting>
  <conditionalFormatting sqref="F25:F29">
    <cfRule type="expression" dxfId="1642" priority="5">
      <formula>F25&gt;0</formula>
    </cfRule>
    <cfRule type="expression" dxfId="1641" priority="6">
      <formula>F25&lt;0</formula>
    </cfRule>
  </conditionalFormatting>
  <conditionalFormatting sqref="H25:H29">
    <cfRule type="expression" dxfId="1640" priority="3">
      <formula>H25&gt;0</formula>
    </cfRule>
    <cfRule type="expression" dxfId="1639" priority="4">
      <formula>H25&lt;0</formula>
    </cfRule>
  </conditionalFormatting>
  <conditionalFormatting sqref="F29">
    <cfRule type="expression" dxfId="1638" priority="1">
      <formula>F29&gt;0</formula>
    </cfRule>
    <cfRule type="expression" dxfId="1637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959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102.1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102.1</v>
      </c>
      <c r="R4" s="495">
        <v>8.9999999999999998E-4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6.2683643486777674E-3</v>
      </c>
      <c r="R11">
        <v>0.16</v>
      </c>
    </row>
    <row r="12" spans="1:21" x14ac:dyDescent="0.25">
      <c r="H12" s="70"/>
      <c r="O12" s="11" t="s">
        <v>995</v>
      </c>
      <c r="Q12" s="1"/>
    </row>
    <row r="13" spans="1:21" x14ac:dyDescent="0.25">
      <c r="H13" s="70"/>
      <c r="O13" s="11" t="s">
        <v>973</v>
      </c>
      <c r="Q13" s="2">
        <f>Q4/7.38</f>
        <v>13.834688346883468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112.31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111.289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110.268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109.247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108.226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107.205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106.184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105.163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104.142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103.121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102.1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101.07899999999999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100.05799999999999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99.036999999999992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98.015999999999991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96.99499999999999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95.97399999999999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94.953000000000003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93.932000000000002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92.911000000000001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91.89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36" priority="31">
      <formula>F47&gt;0</formula>
    </cfRule>
    <cfRule type="expression" dxfId="1635" priority="32">
      <formula>F47&lt;0</formula>
    </cfRule>
  </conditionalFormatting>
  <conditionalFormatting sqref="Q7">
    <cfRule type="expression" dxfId="1634" priority="29">
      <formula>Q7&gt;0</formula>
    </cfRule>
    <cfRule type="expression" dxfId="1633" priority="30">
      <formula>Q7&lt;0</formula>
    </cfRule>
  </conditionalFormatting>
  <conditionalFormatting sqref="Q8">
    <cfRule type="expression" dxfId="1632" priority="27">
      <formula>Q8&gt;0</formula>
    </cfRule>
    <cfRule type="expression" dxfId="1631" priority="28">
      <formula>Q8&lt;0</formula>
    </cfRule>
  </conditionalFormatting>
  <conditionalFormatting sqref="F30:F46">
    <cfRule type="expression" dxfId="1630" priority="25">
      <formula>F30&gt;0</formula>
    </cfRule>
    <cfRule type="expression" dxfId="1629" priority="26">
      <formula>F30&lt;0</formula>
    </cfRule>
  </conditionalFormatting>
  <conditionalFormatting sqref="H30:H46">
    <cfRule type="expression" dxfId="1628" priority="23">
      <formula>H30&gt;0</formula>
    </cfRule>
    <cfRule type="expression" dxfId="1627" priority="24">
      <formula>H30&lt;0</formula>
    </cfRule>
  </conditionalFormatting>
  <conditionalFormatting sqref="Q10">
    <cfRule type="expression" dxfId="1626" priority="21">
      <formula>Q10&gt;0</formula>
    </cfRule>
    <cfRule type="expression" dxfId="1625" priority="22">
      <formula>Q10&lt;0</formula>
    </cfRule>
  </conditionalFormatting>
  <conditionalFormatting sqref="J25:J38">
    <cfRule type="expression" dxfId="1624" priority="19">
      <formula>J25&gt;0</formula>
    </cfRule>
    <cfRule type="expression" dxfId="1623" priority="20">
      <formula>J25&lt;0</formula>
    </cfRule>
  </conditionalFormatting>
  <conditionalFormatting sqref="K25:K38">
    <cfRule type="expression" dxfId="1622" priority="17">
      <formula>K25&gt;0</formula>
    </cfRule>
    <cfRule type="expression" dxfId="1621" priority="18">
      <formula>K25&lt;0</formula>
    </cfRule>
  </conditionalFormatting>
  <conditionalFormatting sqref="L25:L38">
    <cfRule type="expression" dxfId="1620" priority="15">
      <formula>L25&gt;0</formula>
    </cfRule>
    <cfRule type="expression" dxfId="1619" priority="16">
      <formula>L25&lt;0</formula>
    </cfRule>
  </conditionalFormatting>
  <conditionalFormatting sqref="F89:F110">
    <cfRule type="expression" dxfId="1618" priority="13">
      <formula>F89&gt;0</formula>
    </cfRule>
    <cfRule type="expression" dxfId="1617" priority="14">
      <formula>F89&lt;0</formula>
    </cfRule>
  </conditionalFormatting>
  <conditionalFormatting sqref="H89:H110">
    <cfRule type="expression" dxfId="1616" priority="11">
      <formula>H89&gt;0</formula>
    </cfRule>
    <cfRule type="expression" dxfId="1615" priority="12">
      <formula>H89&lt;0</formula>
    </cfRule>
  </conditionalFormatting>
  <conditionalFormatting sqref="J89:J102">
    <cfRule type="expression" dxfId="1614" priority="9">
      <formula>J89&gt;0</formula>
    </cfRule>
    <cfRule type="expression" dxfId="1613" priority="10">
      <formula>J89&lt;0</formula>
    </cfRule>
  </conditionalFormatting>
  <conditionalFormatting sqref="K89:K102">
    <cfRule type="expression" dxfId="1612" priority="7">
      <formula>K89&gt;0</formula>
    </cfRule>
    <cfRule type="expression" dxfId="1611" priority="8">
      <formula>K89&lt;0</formula>
    </cfRule>
  </conditionalFormatting>
  <conditionalFormatting sqref="L89:L102">
    <cfRule type="expression" dxfId="1610" priority="5">
      <formula>L89&gt;0</formula>
    </cfRule>
    <cfRule type="expression" dxfId="1609" priority="6">
      <formula>L89&lt;0</formula>
    </cfRule>
  </conditionalFormatting>
  <conditionalFormatting sqref="F25:F29">
    <cfRule type="expression" dxfId="1608" priority="3">
      <formula>F25&gt;0</formula>
    </cfRule>
    <cfRule type="expression" dxfId="1607" priority="4">
      <formula>F25&lt;0</formula>
    </cfRule>
  </conditionalFormatting>
  <conditionalFormatting sqref="H25:H29">
    <cfRule type="expression" dxfId="1606" priority="1">
      <formula>H25&gt;0</formula>
    </cfRule>
    <cfRule type="expression" dxfId="160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J13" sqref="J1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43261</v>
      </c>
      <c r="M2" s="43">
        <v>105</v>
      </c>
      <c r="O2" s="11" t="s">
        <v>57</v>
      </c>
      <c r="Q2">
        <f>C18-H18</f>
        <v>200</v>
      </c>
      <c r="T2" s="1"/>
      <c r="U2" t="s">
        <v>1166</v>
      </c>
    </row>
    <row r="3" spans="1:21" x14ac:dyDescent="0.25">
      <c r="A3" s="22" t="s">
        <v>71</v>
      </c>
      <c r="B3" s="72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/>
      <c r="M3" s="4"/>
      <c r="O3" s="11" t="s">
        <v>58</v>
      </c>
      <c r="Q3" s="78">
        <f>IF(Q2=0, Q4, (F18-K18-M18)/Q2)</f>
        <v>57.732900000000001</v>
      </c>
      <c r="T3" s="1"/>
    </row>
    <row r="4" spans="1:21" x14ac:dyDescent="0.25">
      <c r="B4" s="47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57.14</v>
      </c>
      <c r="R4" s="495">
        <v>-2.3300000000000001E-2</v>
      </c>
      <c r="T4" s="770"/>
      <c r="U4" s="30"/>
    </row>
    <row r="5" spans="1:21" x14ac:dyDescent="0.25">
      <c r="B5" s="474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11428</v>
      </c>
      <c r="T5" s="1">
        <v>43209</v>
      </c>
      <c r="U5" t="s">
        <v>1007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11546.58</v>
      </c>
      <c r="U6" t="s">
        <v>1008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-118.57999999999993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-118.57999999999993</v>
      </c>
      <c r="T8" s="1">
        <v>43216</v>
      </c>
      <c r="U8" t="s">
        <v>1033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-1.0269707567089123E-2</v>
      </c>
      <c r="T9" s="156"/>
      <c r="U9" t="s">
        <v>1034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4.6202310115505775E-2</v>
      </c>
      <c r="R11">
        <f>0.22</f>
        <v>0.22</v>
      </c>
      <c r="T11" s="1">
        <v>43285</v>
      </c>
      <c r="U11" t="s">
        <v>1165</v>
      </c>
    </row>
    <row r="12" spans="1:21" x14ac:dyDescent="0.25">
      <c r="H12" s="70"/>
      <c r="O12" s="11" t="s">
        <v>946</v>
      </c>
      <c r="Q12" s="1" t="s">
        <v>1136</v>
      </c>
    </row>
    <row r="13" spans="1:21" x14ac:dyDescent="0.25">
      <c r="H13" s="70"/>
      <c r="O13" s="11" t="s">
        <v>973</v>
      </c>
      <c r="Q13" s="2">
        <f>Q4/(3.9+4.03)*2</f>
        <v>14.41109709962169</v>
      </c>
    </row>
    <row r="14" spans="1:21" x14ac:dyDescent="0.25">
      <c r="H14" s="70"/>
      <c r="T14" s="156">
        <v>43300</v>
      </c>
      <c r="U14" t="s">
        <v>1191</v>
      </c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21" ht="15.75" thickTop="1" x14ac:dyDescent="0.25">
      <c r="O17" s="81">
        <v>1.1000000000000001</v>
      </c>
      <c r="P17" s="81">
        <f>O17*$Q$4</f>
        <v>62.854000000000006</v>
      </c>
    </row>
    <row r="18" spans="1:21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17509</v>
      </c>
      <c r="G18" s="14"/>
      <c r="H18" s="71">
        <f>SUM(H2:H5)</f>
        <v>100</v>
      </c>
      <c r="I18" s="18"/>
      <c r="J18" s="18"/>
      <c r="K18" s="18">
        <f>SUM(K2:K5)</f>
        <v>5857.42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62.282600000000002</v>
      </c>
      <c r="T18" s="1">
        <v>43307</v>
      </c>
      <c r="U18" t="s">
        <v>82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5709</v>
      </c>
      <c r="G19" s="343"/>
      <c r="H19" s="343">
        <f>SumByColor($A$19,H2:H17)</f>
        <v>100</v>
      </c>
      <c r="I19" s="343"/>
      <c r="J19" s="343"/>
      <c r="K19" s="344">
        <f>SumByColor($A$19,K2:K17)</f>
        <v>5857</v>
      </c>
      <c r="L19" s="343"/>
      <c r="M19" s="344">
        <f>SumByColor($A$19,M2:M17)</f>
        <v>105</v>
      </c>
      <c r="O19" s="81">
        <v>1.08</v>
      </c>
      <c r="P19" s="81">
        <f t="shared" si="0"/>
        <v>61.711200000000005</v>
      </c>
    </row>
    <row r="20" spans="1:21" x14ac:dyDescent="0.25">
      <c r="O20" s="81">
        <v>1.07</v>
      </c>
      <c r="P20" s="81">
        <f t="shared" si="0"/>
        <v>61.139800000000001</v>
      </c>
    </row>
    <row r="21" spans="1:21" x14ac:dyDescent="0.25">
      <c r="O21" s="81">
        <v>1.06</v>
      </c>
      <c r="P21" s="81">
        <f t="shared" si="0"/>
        <v>60.568400000000004</v>
      </c>
    </row>
    <row r="22" spans="1:21" x14ac:dyDescent="0.25">
      <c r="O22" s="81">
        <v>1.05</v>
      </c>
      <c r="P22" s="81">
        <f t="shared" si="0"/>
        <v>59.997</v>
      </c>
    </row>
    <row r="23" spans="1:21" x14ac:dyDescent="0.25">
      <c r="O23" s="81">
        <v>1.04</v>
      </c>
      <c r="P23" s="81">
        <f t="shared" si="0"/>
        <v>59.425600000000003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497</v>
      </c>
      <c r="O24" s="81">
        <v>1.03</v>
      </c>
      <c r="P24" s="81">
        <f t="shared" si="0"/>
        <v>58.854199999999999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5" si="1">C25*(E25-D25)</f>
        <v>0</v>
      </c>
      <c r="G25" s="39">
        <f t="shared" ref="G25:G35" si="2">D25*C25</f>
        <v>6057</v>
      </c>
      <c r="H25" s="222">
        <f t="shared" ref="H25:H35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58.282800000000002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57.711399999999998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57.14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56.568600000000004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55.997199999999999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55.425800000000002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54.854399999999998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54.283000000000001</v>
      </c>
    </row>
    <row r="33" spans="1:17" x14ac:dyDescent="0.25">
      <c r="A33" t="s">
        <v>1202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53.711599999999997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53.1402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52.568800000000003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51.997399999999999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51.426000000000002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04" priority="35">
      <formula>F47&gt;0</formula>
    </cfRule>
    <cfRule type="expression" dxfId="1603" priority="36">
      <formula>F47&lt;0</formula>
    </cfRule>
  </conditionalFormatting>
  <conditionalFormatting sqref="Q7">
    <cfRule type="expression" dxfId="1602" priority="33">
      <formula>Q7&gt;0</formula>
    </cfRule>
    <cfRule type="expression" dxfId="1601" priority="34">
      <formula>Q7&lt;0</formula>
    </cfRule>
  </conditionalFormatting>
  <conditionalFormatting sqref="Q8">
    <cfRule type="expression" dxfId="1600" priority="31">
      <formula>Q8&gt;0</formula>
    </cfRule>
    <cfRule type="expression" dxfId="1599" priority="32">
      <formula>Q8&lt;0</formula>
    </cfRule>
  </conditionalFormatting>
  <conditionalFormatting sqref="F30:F46">
    <cfRule type="expression" dxfId="1598" priority="29">
      <formula>F30&gt;0</formula>
    </cfRule>
    <cfRule type="expression" dxfId="1597" priority="30">
      <formula>F30&lt;0</formula>
    </cfRule>
  </conditionalFormatting>
  <conditionalFormatting sqref="H30:H46">
    <cfRule type="expression" dxfId="1596" priority="27">
      <formula>H30&gt;0</formula>
    </cfRule>
    <cfRule type="expression" dxfId="1595" priority="28">
      <formula>H30&lt;0</formula>
    </cfRule>
  </conditionalFormatting>
  <conditionalFormatting sqref="Q10">
    <cfRule type="expression" dxfId="1594" priority="25">
      <formula>Q10&gt;0</formula>
    </cfRule>
    <cfRule type="expression" dxfId="1593" priority="26">
      <formula>Q10&lt;0</formula>
    </cfRule>
  </conditionalFormatting>
  <conditionalFormatting sqref="J25:J38">
    <cfRule type="expression" dxfId="1592" priority="23">
      <formula>J25&gt;0</formula>
    </cfRule>
    <cfRule type="expression" dxfId="1591" priority="24">
      <formula>J25&lt;0</formula>
    </cfRule>
  </conditionalFormatting>
  <conditionalFormatting sqref="K25:K38">
    <cfRule type="expression" dxfId="1590" priority="21">
      <formula>K25&gt;0</formula>
    </cfRule>
    <cfRule type="expression" dxfId="1589" priority="22">
      <formula>K25&lt;0</formula>
    </cfRule>
  </conditionalFormatting>
  <conditionalFormatting sqref="L25 L38">
    <cfRule type="expression" dxfId="1588" priority="19">
      <formula>L25&gt;0</formula>
    </cfRule>
    <cfRule type="expression" dxfId="1587" priority="20">
      <formula>L25&lt;0</formula>
    </cfRule>
  </conditionalFormatting>
  <conditionalFormatting sqref="F89:F110">
    <cfRule type="expression" dxfId="1586" priority="17">
      <formula>F89&gt;0</formula>
    </cfRule>
    <cfRule type="expression" dxfId="1585" priority="18">
      <formula>F89&lt;0</formula>
    </cfRule>
  </conditionalFormatting>
  <conditionalFormatting sqref="H89:H110">
    <cfRule type="expression" dxfId="1584" priority="15">
      <formula>H89&gt;0</formula>
    </cfRule>
    <cfRule type="expression" dxfId="1583" priority="16">
      <formula>H89&lt;0</formula>
    </cfRule>
  </conditionalFormatting>
  <conditionalFormatting sqref="J89:J102">
    <cfRule type="expression" dxfId="1582" priority="13">
      <formula>J89&gt;0</formula>
    </cfRule>
    <cfRule type="expression" dxfId="1581" priority="14">
      <formula>J89&lt;0</formula>
    </cfRule>
  </conditionalFormatting>
  <conditionalFormatting sqref="K89:K102">
    <cfRule type="expression" dxfId="1580" priority="11">
      <formula>K89&gt;0</formula>
    </cfRule>
    <cfRule type="expression" dxfId="1579" priority="12">
      <formula>K89&lt;0</formula>
    </cfRule>
  </conditionalFormatting>
  <conditionalFormatting sqref="L89:L102">
    <cfRule type="expression" dxfId="1578" priority="9">
      <formula>L89&gt;0</formula>
    </cfRule>
    <cfRule type="expression" dxfId="1577" priority="10">
      <formula>L89&lt;0</formula>
    </cfRule>
  </conditionalFormatting>
  <conditionalFormatting sqref="F25 F29">
    <cfRule type="expression" dxfId="1576" priority="7">
      <formula>F25&gt;0</formula>
    </cfRule>
    <cfRule type="expression" dxfId="1575" priority="8">
      <formula>F25&lt;0</formula>
    </cfRule>
  </conditionalFormatting>
  <conditionalFormatting sqref="H25 H29">
    <cfRule type="expression" dxfId="1574" priority="5">
      <formula>H25&gt;0</formula>
    </cfRule>
    <cfRule type="expression" dxfId="1573" priority="6">
      <formula>H25&lt;0</formula>
    </cfRule>
  </conditionalFormatting>
  <conditionalFormatting sqref="F26:F28">
    <cfRule type="expression" dxfId="1572" priority="3">
      <formula>F26&gt;0</formula>
    </cfRule>
    <cfRule type="expression" dxfId="1571" priority="4">
      <formula>F26&lt;0</formula>
    </cfRule>
  </conditionalFormatting>
  <conditionalFormatting sqref="H26:H28">
    <cfRule type="expression" dxfId="1570" priority="1">
      <formula>H26&gt;0</formula>
    </cfRule>
    <cfRule type="expression" dxfId="1569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43136</v>
      </c>
      <c r="C2" s="4">
        <v>100</v>
      </c>
      <c r="D2" s="3">
        <v>36.58</v>
      </c>
      <c r="E2" s="3">
        <v>0</v>
      </c>
      <c r="F2" s="3">
        <f t="shared" ref="F2:F7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300</v>
      </c>
      <c r="T2" s="1"/>
      <c r="U2" t="s">
        <v>1091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4"/>
      <c r="M3" s="4"/>
      <c r="O3" s="11" t="s">
        <v>58</v>
      </c>
      <c r="Q3" s="221">
        <f>IF(Q2=0, Q4, (F18-K18-M18)/Q2)</f>
        <v>31.950533333333333</v>
      </c>
      <c r="T3" s="1">
        <v>43215</v>
      </c>
      <c r="U3" t="s">
        <v>1029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31.899899999999999</v>
      </c>
      <c r="R4" s="495">
        <v>7.3000000000000001E-3</v>
      </c>
      <c r="T4" s="770"/>
      <c r="U4" s="30" t="s">
        <v>1030</v>
      </c>
    </row>
    <row r="5" spans="1:21" x14ac:dyDescent="0.25">
      <c r="B5" s="72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9569.9699999999993</v>
      </c>
    </row>
    <row r="6" spans="1:21" x14ac:dyDescent="0.25">
      <c r="B6" s="474">
        <v>43292</v>
      </c>
      <c r="C6" s="4">
        <v>100</v>
      </c>
      <c r="D6" s="3">
        <v>32.090000000000003</v>
      </c>
      <c r="E6" s="3">
        <v>0</v>
      </c>
      <c r="F6" s="3">
        <f t="shared" si="0"/>
        <v>3209.0000000000005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9585.16</v>
      </c>
      <c r="T6" s="1">
        <v>43216</v>
      </c>
      <c r="U6" t="s">
        <v>1031</v>
      </c>
    </row>
    <row r="7" spans="1:21" x14ac:dyDescent="0.25">
      <c r="B7" s="474">
        <v>43294</v>
      </c>
      <c r="C7" s="4">
        <v>100</v>
      </c>
      <c r="D7" s="3">
        <v>31.55</v>
      </c>
      <c r="E7" s="3">
        <v>0</v>
      </c>
      <c r="F7" s="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-15.190000000000509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-15.190000000000509</v>
      </c>
      <c r="T8" s="1">
        <v>43294</v>
      </c>
      <c r="U8" t="s">
        <v>1206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-1.5847414127672893E-3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3.1348060652227748E-2</v>
      </c>
      <c r="R11">
        <v>0.5</v>
      </c>
    </row>
    <row r="12" spans="1:21" x14ac:dyDescent="0.25">
      <c r="H12" s="70"/>
      <c r="O12" s="11" t="s">
        <v>946</v>
      </c>
      <c r="Q12" s="1" t="s">
        <v>1223</v>
      </c>
      <c r="T12" s="1">
        <v>43305</v>
      </c>
      <c r="U12" t="s">
        <v>877</v>
      </c>
    </row>
    <row r="13" spans="1:21" x14ac:dyDescent="0.25">
      <c r="H13" s="70"/>
      <c r="O13" s="11" t="s">
        <v>973</v>
      </c>
      <c r="Q13" s="2">
        <f>Q4/3.47</f>
        <v>9.1930547550432262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19723</v>
      </c>
      <c r="G18" s="14"/>
      <c r="H18" s="71">
        <f>SUM(H2:H5)</f>
        <v>300</v>
      </c>
      <c r="I18" s="18"/>
      <c r="J18" s="18"/>
      <c r="K18" s="18">
        <f>SUM(K2:K5)</f>
        <v>10087.84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9701</v>
      </c>
      <c r="G19" s="343"/>
      <c r="H19" s="343">
        <f>SumByColor($A$19,H2:H17)</f>
        <v>300</v>
      </c>
      <c r="I19" s="343"/>
      <c r="J19" s="343"/>
      <c r="K19" s="344">
        <f>SumByColor($A$19,K2:K17)</f>
        <v>10088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:F35" si="1">C25*(E25-D25)</f>
        <v>-189.00000000000006</v>
      </c>
      <c r="G25" s="39">
        <f t="shared" ref="G25:G35" si="2">D25*C25</f>
        <v>3658</v>
      </c>
      <c r="H25" s="222">
        <f t="shared" ref="H25:H35" si="3">(E25-D25)/D25</f>
        <v>-5.166757791142703E-2</v>
      </c>
      <c r="I25" s="39"/>
      <c r="J25" s="39"/>
      <c r="K25" s="39"/>
      <c r="L25" s="39" t="s">
        <v>1032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si="1"/>
        <v>-306.00000000000023</v>
      </c>
      <c r="G26" s="39">
        <f t="shared" si="2"/>
        <v>6926.0000000000009</v>
      </c>
      <c r="H26" s="222">
        <f t="shared" si="3"/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1"/>
        <v>-228.00000000000011</v>
      </c>
      <c r="G27" s="39">
        <f t="shared" si="2"/>
        <v>3577.0000000000005</v>
      </c>
      <c r="H27" s="222">
        <f t="shared" si="3"/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si="1"/>
        <v>-321.07999999999993</v>
      </c>
      <c r="G28" s="39">
        <f t="shared" si="2"/>
        <v>3527.08</v>
      </c>
      <c r="H28" s="222">
        <f t="shared" si="3"/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34.18</v>
      </c>
      <c r="F29" s="39">
        <f t="shared" si="1"/>
        <v>100.91999999999928</v>
      </c>
      <c r="G29" s="39">
        <f t="shared" si="2"/>
        <v>6735.0800000000008</v>
      </c>
      <c r="H29" s="222">
        <f t="shared" si="3"/>
        <v>1.4984231813133514E-2</v>
      </c>
      <c r="I29" s="39">
        <v>33.5</v>
      </c>
      <c r="J29" s="39"/>
      <c r="K29" s="39"/>
      <c r="L29" s="155"/>
    </row>
    <row r="30" spans="1:13" x14ac:dyDescent="0.25">
      <c r="A30">
        <v>200</v>
      </c>
      <c r="B30" s="184">
        <v>43263</v>
      </c>
      <c r="C30" s="228">
        <v>100</v>
      </c>
      <c r="D30" s="229">
        <v>32.851199999999999</v>
      </c>
      <c r="E30" s="39">
        <v>34.35</v>
      </c>
      <c r="F30" s="39">
        <f t="shared" si="1"/>
        <v>149.88000000000028</v>
      </c>
      <c r="G30" s="39">
        <f t="shared" si="2"/>
        <v>3285.12</v>
      </c>
      <c r="H30" s="222">
        <f t="shared" si="3"/>
        <v>4.5623904149620191E-2</v>
      </c>
      <c r="I30" s="193" t="s">
        <v>1127</v>
      </c>
      <c r="J30" s="39"/>
      <c r="K30" s="39"/>
      <c r="L30" s="155"/>
    </row>
    <row r="31" spans="1:13" x14ac:dyDescent="0.25">
      <c r="B31" s="184">
        <v>43264</v>
      </c>
      <c r="C31" s="7">
        <v>200</v>
      </c>
      <c r="D31" s="43">
        <v>32.550600000000003</v>
      </c>
      <c r="E31" s="39">
        <v>32.22</v>
      </c>
      <c r="F31" s="39">
        <f t="shared" si="1"/>
        <v>-66.1200000000008</v>
      </c>
      <c r="G31" s="39">
        <f t="shared" si="2"/>
        <v>6510.1200000000008</v>
      </c>
      <c r="H31" s="222">
        <f t="shared" si="3"/>
        <v>-1.0156494811155678E-2</v>
      </c>
      <c r="I31" s="193" t="s">
        <v>1129</v>
      </c>
      <c r="J31" s="39"/>
      <c r="K31" s="39"/>
      <c r="L31" s="155"/>
    </row>
    <row r="32" spans="1:13" x14ac:dyDescent="0.25">
      <c r="B32" s="184">
        <v>43265</v>
      </c>
      <c r="C32" s="228">
        <v>100</v>
      </c>
      <c r="D32" s="229">
        <v>32.211599999999997</v>
      </c>
      <c r="E32" s="39">
        <v>32.520000000000003</v>
      </c>
      <c r="F32" s="39">
        <f t="shared" si="1"/>
        <v>30.8400000000006</v>
      </c>
      <c r="G32" s="39">
        <f t="shared" si="2"/>
        <v>3221.16</v>
      </c>
      <c r="H32" s="222">
        <f t="shared" si="3"/>
        <v>9.5741906642329479E-3</v>
      </c>
      <c r="I32" s="39">
        <v>32</v>
      </c>
      <c r="J32" s="39"/>
      <c r="K32" s="39"/>
      <c r="L32" s="155"/>
    </row>
    <row r="33" spans="2:17" x14ac:dyDescent="0.25">
      <c r="B33" s="184">
        <v>43292</v>
      </c>
      <c r="C33" s="7">
        <v>200</v>
      </c>
      <c r="D33" s="43">
        <v>32.150799999999997</v>
      </c>
      <c r="E33" s="39">
        <v>32.090000000000003</v>
      </c>
      <c r="F33" s="39">
        <f t="shared" si="1"/>
        <v>-12.159999999998661</v>
      </c>
      <c r="G33" s="39">
        <f t="shared" si="2"/>
        <v>6430.1599999999989</v>
      </c>
      <c r="H33" s="222">
        <f t="shared" si="3"/>
        <v>-1.8910882466375116E-3</v>
      </c>
      <c r="I33" s="39">
        <v>32</v>
      </c>
      <c r="J33" s="39"/>
      <c r="K33" s="39"/>
      <c r="L33" s="155"/>
    </row>
    <row r="34" spans="2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1"/>
        <v>-84.149999999999991</v>
      </c>
      <c r="G34" s="39">
        <f t="shared" si="2"/>
        <v>9585.15</v>
      </c>
      <c r="H34" s="222">
        <f t="shared" si="3"/>
        <v>-8.7792053332498704E-3</v>
      </c>
      <c r="I34" s="39">
        <v>31.5</v>
      </c>
      <c r="J34" s="39"/>
      <c r="K34" s="39"/>
      <c r="L34" s="155"/>
    </row>
    <row r="35" spans="2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1"/>
        <v>-15.150000000000929</v>
      </c>
      <c r="G35" s="39">
        <f t="shared" si="2"/>
        <v>9585.15</v>
      </c>
      <c r="H35" s="222">
        <f t="shared" si="3"/>
        <v>-1.5805699441324265E-3</v>
      </c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35.089890000000004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4">O42*$Q$4</f>
        <v>34.770890999999999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4"/>
        <v>34.451892000000001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4"/>
        <v>34.132893000000003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4"/>
        <v>33.813893999999998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4"/>
        <v>33.494895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4"/>
        <v>33.175896000000002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4"/>
        <v>32.856896999999996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4"/>
        <v>32.537897999999998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4"/>
        <v>32.218899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4"/>
        <v>31.899899999999999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4"/>
        <v>31.580900999999997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4"/>
        <v>31.261901999999999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4"/>
        <v>30.942902999999998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4"/>
        <v>30.623903999999996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4"/>
        <v>30.304904999999998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4"/>
        <v>29.985905999999996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4"/>
        <v>29.666907000000002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4"/>
        <v>29.347908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4"/>
        <v>29.028908999999999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4"/>
        <v>28.709910000000001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68" priority="31">
      <formula>F47&gt;0</formula>
    </cfRule>
    <cfRule type="expression" dxfId="1567" priority="32">
      <formula>F47&lt;0</formula>
    </cfRule>
  </conditionalFormatting>
  <conditionalFormatting sqref="Q7">
    <cfRule type="expression" dxfId="1566" priority="29">
      <formula>Q7&gt;0</formula>
    </cfRule>
    <cfRule type="expression" dxfId="1565" priority="30">
      <formula>Q7&lt;0</formula>
    </cfRule>
  </conditionalFormatting>
  <conditionalFormatting sqref="Q8">
    <cfRule type="expression" dxfId="1564" priority="27">
      <formula>Q8&gt;0</formula>
    </cfRule>
    <cfRule type="expression" dxfId="1563" priority="28">
      <formula>Q8&lt;0</formula>
    </cfRule>
  </conditionalFormatting>
  <conditionalFormatting sqref="F30:F46">
    <cfRule type="expression" dxfId="1562" priority="25">
      <formula>F30&gt;0</formula>
    </cfRule>
    <cfRule type="expression" dxfId="1561" priority="26">
      <formula>F30&lt;0</formula>
    </cfRule>
  </conditionalFormatting>
  <conditionalFormatting sqref="H30:H46">
    <cfRule type="expression" dxfId="1560" priority="23">
      <formula>H30&gt;0</formula>
    </cfRule>
    <cfRule type="expression" dxfId="1559" priority="24">
      <formula>H30&lt;0</formula>
    </cfRule>
  </conditionalFormatting>
  <conditionalFormatting sqref="Q10">
    <cfRule type="expression" dxfId="1558" priority="21">
      <formula>Q10&gt;0</formula>
    </cfRule>
    <cfRule type="expression" dxfId="1557" priority="22">
      <formula>Q10&lt;0</formula>
    </cfRule>
  </conditionalFormatting>
  <conditionalFormatting sqref="J25:J38">
    <cfRule type="expression" dxfId="1556" priority="19">
      <formula>J25&gt;0</formula>
    </cfRule>
    <cfRule type="expression" dxfId="1555" priority="20">
      <formula>J25&lt;0</formula>
    </cfRule>
  </conditionalFormatting>
  <conditionalFormatting sqref="K25:K38">
    <cfRule type="expression" dxfId="1554" priority="17">
      <formula>K25&gt;0</formula>
    </cfRule>
    <cfRule type="expression" dxfId="1553" priority="18">
      <formula>K25&lt;0</formula>
    </cfRule>
  </conditionalFormatting>
  <conditionalFormatting sqref="L25:L38">
    <cfRule type="expression" dxfId="1552" priority="15">
      <formula>L25&gt;0</formula>
    </cfRule>
    <cfRule type="expression" dxfId="1551" priority="16">
      <formula>L25&lt;0</formula>
    </cfRule>
  </conditionalFormatting>
  <conditionalFormatting sqref="F89:F110">
    <cfRule type="expression" dxfId="1550" priority="13">
      <formula>F89&gt;0</formula>
    </cfRule>
    <cfRule type="expression" dxfId="1549" priority="14">
      <formula>F89&lt;0</formula>
    </cfRule>
  </conditionalFormatting>
  <conditionalFormatting sqref="H89:H110">
    <cfRule type="expression" dxfId="1548" priority="11">
      <formula>H89&gt;0</formula>
    </cfRule>
    <cfRule type="expression" dxfId="1547" priority="12">
      <formula>H89&lt;0</formula>
    </cfRule>
  </conditionalFormatting>
  <conditionalFormatting sqref="J89:J102">
    <cfRule type="expression" dxfId="1546" priority="9">
      <formula>J89&gt;0</formula>
    </cfRule>
    <cfRule type="expression" dxfId="1545" priority="10">
      <formula>J89&lt;0</formula>
    </cfRule>
  </conditionalFormatting>
  <conditionalFormatting sqref="K89:K102">
    <cfRule type="expression" dxfId="1544" priority="7">
      <formula>K89&gt;0</formula>
    </cfRule>
    <cfRule type="expression" dxfId="1543" priority="8">
      <formula>K89&lt;0</formula>
    </cfRule>
  </conditionalFormatting>
  <conditionalFormatting sqref="L89:L102">
    <cfRule type="expression" dxfId="1542" priority="5">
      <formula>L89&gt;0</formula>
    </cfRule>
    <cfRule type="expression" dxfId="1541" priority="6">
      <formula>L89&lt;0</formula>
    </cfRule>
  </conditionalFormatting>
  <conditionalFormatting sqref="F25:F29">
    <cfRule type="expression" dxfId="1540" priority="3">
      <formula>F25&gt;0</formula>
    </cfRule>
    <cfRule type="expression" dxfId="1539" priority="4">
      <formula>F25&lt;0</formula>
    </cfRule>
  </conditionalFormatting>
  <conditionalFormatting sqref="H25:H29">
    <cfRule type="expression" dxfId="1538" priority="1">
      <formula>H25&gt;0</formula>
    </cfRule>
    <cfRule type="expression" dxfId="153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210.94990000000001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210.94990000000001</v>
      </c>
      <c r="R4" s="495">
        <v>3.5999999999999999E-3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1089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4"/>
    </row>
    <row r="10" spans="1:23" x14ac:dyDescent="0.25">
      <c r="H10" s="70"/>
      <c r="O10" s="11" t="s">
        <v>207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2.370231035899993E-3</v>
      </c>
      <c r="S11">
        <v>0.5</v>
      </c>
      <c r="W11" s="134"/>
    </row>
    <row r="12" spans="1:23" x14ac:dyDescent="0.25">
      <c r="H12" s="70"/>
      <c r="O12" s="11" t="s">
        <v>946</v>
      </c>
      <c r="Q12" s="1"/>
      <c r="W12" s="134"/>
    </row>
    <row r="13" spans="1:23" x14ac:dyDescent="0.25">
      <c r="H13" s="70"/>
      <c r="O13" s="11" t="s">
        <v>973</v>
      </c>
      <c r="Q13">
        <f>Q4/6.86</f>
        <v>30.750714285714285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497</v>
      </c>
      <c r="L24" s="220" t="s">
        <v>973</v>
      </c>
      <c r="O24" s="851" t="s">
        <v>78</v>
      </c>
      <c r="P24" s="851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232.04489000000004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229.93539100000004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227.82589200000004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225.71639300000004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223.60689400000004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221.49739500000001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219.38789600000001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217.27839700000001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215.16889800000001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213.05939900000001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210.94990000000001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208.84040100000001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206.73090200000001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204.62140300000002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202.51190400000002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997</v>
      </c>
      <c r="J40" s="39">
        <v>1048</v>
      </c>
      <c r="K40" s="39"/>
      <c r="L40" s="39">
        <v>27.52</v>
      </c>
      <c r="O40" s="81">
        <v>0.95</v>
      </c>
      <c r="P40" s="81">
        <f t="shared" si="3"/>
        <v>200.40240500000002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198.29290599999999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196.18340700000002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194.07390800000002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191.96440900000002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189.85491000000002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36" priority="24">
      <formula>F51&gt;0</formula>
    </cfRule>
    <cfRule type="expression" dxfId="1535" priority="25">
      <formula>F51&lt;0</formula>
    </cfRule>
  </conditionalFormatting>
  <conditionalFormatting sqref="Q7">
    <cfRule type="expression" dxfId="1534" priority="22">
      <formula>Q7&gt;0</formula>
    </cfRule>
    <cfRule type="expression" dxfId="1533" priority="23">
      <formula>Q7&lt;0</formula>
    </cfRule>
  </conditionalFormatting>
  <conditionalFormatting sqref="Q8">
    <cfRule type="expression" dxfId="1532" priority="20">
      <formula>Q8&gt;0</formula>
    </cfRule>
    <cfRule type="expression" dxfId="1531" priority="21">
      <formula>Q8&lt;0</formula>
    </cfRule>
  </conditionalFormatting>
  <conditionalFormatting sqref="F25:F50">
    <cfRule type="expression" dxfId="1530" priority="18">
      <formula>F25&gt;0</formula>
    </cfRule>
    <cfRule type="expression" dxfId="1529" priority="19">
      <formula>F25&lt;0</formula>
    </cfRule>
  </conditionalFormatting>
  <conditionalFormatting sqref="H25:H50">
    <cfRule type="expression" dxfId="1528" priority="16">
      <formula>H25&gt;0</formula>
    </cfRule>
    <cfRule type="expression" dxfId="1527" priority="17">
      <formula>H25&lt;0</formula>
    </cfRule>
  </conditionalFormatting>
  <conditionalFormatting sqref="F89:F110">
    <cfRule type="expression" dxfId="1526" priority="14">
      <formula>F89&gt;0</formula>
    </cfRule>
    <cfRule type="expression" dxfId="1525" priority="15">
      <formula>F89&lt;0</formula>
    </cfRule>
  </conditionalFormatting>
  <conditionalFormatting sqref="H89:H110">
    <cfRule type="expression" dxfId="1524" priority="12">
      <formula>H89&gt;0</formula>
    </cfRule>
    <cfRule type="expression" dxfId="1523" priority="13">
      <formula>H89&lt;0</formula>
    </cfRule>
  </conditionalFormatting>
  <conditionalFormatting sqref="Q10">
    <cfRule type="expression" dxfId="1522" priority="10">
      <formula>Q10&gt;0</formula>
    </cfRule>
    <cfRule type="expression" dxfId="1521" priority="11">
      <formula>Q10&lt;0</formula>
    </cfRule>
  </conditionalFormatting>
  <conditionalFormatting sqref="J25:J39">
    <cfRule type="expression" dxfId="1520" priority="8">
      <formula>J25&gt;0</formula>
    </cfRule>
    <cfRule type="expression" dxfId="1519" priority="9">
      <formula>J25&lt;0</formula>
    </cfRule>
  </conditionalFormatting>
  <conditionalFormatting sqref="K25:K38">
    <cfRule type="expression" dxfId="1518" priority="6">
      <formula>K25&gt;0</formula>
    </cfRule>
    <cfRule type="expression" dxfId="1517" priority="7">
      <formula>K25&lt;0</formula>
    </cfRule>
  </conditionalFormatting>
  <conditionalFormatting sqref="L25:L38">
    <cfRule type="expression" dxfId="1516" priority="4">
      <formula>L25&gt;0</formula>
    </cfRule>
    <cfRule type="expression" dxfId="1515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14" priority="1">
      <formula>J40&gt;0</formula>
    </cfRule>
    <cfRule type="expression" dxfId="1513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456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457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208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207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4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4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592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593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506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594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494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495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5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5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276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296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294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295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297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303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322</v>
      </c>
      <c r="J235" s="39"/>
      <c r="K235" s="39"/>
    </row>
    <row r="236" spans="1:11" x14ac:dyDescent="0.25">
      <c r="A236" t="s">
        <v>332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357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357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374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378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393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400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403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408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409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410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415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415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415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12" priority="74">
      <formula>F12&gt;0</formula>
    </cfRule>
    <cfRule type="expression" dxfId="1511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10" priority="67">
      <formula>F124&gt;0</formula>
    </cfRule>
    <cfRule type="expression" dxfId="1509" priority="68">
      <formula>F124&lt;0</formula>
    </cfRule>
  </conditionalFormatting>
  <conditionalFormatting sqref="H124:H130">
    <cfRule type="expression" dxfId="1508" priority="55">
      <formula>H124&gt;0</formula>
    </cfRule>
    <cfRule type="expression" dxfId="1507" priority="56">
      <formula>H124&lt;0</formula>
    </cfRule>
  </conditionalFormatting>
  <conditionalFormatting sqref="H131">
    <cfRule type="expression" dxfId="1506" priority="53">
      <formula>H131&gt;0</formula>
    </cfRule>
    <cfRule type="expression" dxfId="1505" priority="54">
      <formula>H131&lt;0</formula>
    </cfRule>
  </conditionalFormatting>
  <conditionalFormatting sqref="H132">
    <cfRule type="expression" dxfId="1504" priority="51">
      <formula>H132&gt;0</formula>
    </cfRule>
    <cfRule type="expression" dxfId="1503" priority="52">
      <formula>H132&lt;0</formula>
    </cfRule>
  </conditionalFormatting>
  <conditionalFormatting sqref="H133:H135">
    <cfRule type="expression" dxfId="1502" priority="49">
      <formula>H133&gt;0</formula>
    </cfRule>
    <cfRule type="expression" dxfId="1501" priority="50">
      <formula>H133&lt;0</formula>
    </cfRule>
  </conditionalFormatting>
  <conditionalFormatting sqref="H136">
    <cfRule type="expression" dxfId="1500" priority="45">
      <formula>H136&gt;0</formula>
    </cfRule>
    <cfRule type="expression" dxfId="1499" priority="46">
      <formula>H136&lt;0</formula>
    </cfRule>
  </conditionalFormatting>
  <conditionalFormatting sqref="Q7">
    <cfRule type="expression" dxfId="1498" priority="39">
      <formula>Q7&gt;0</formula>
    </cfRule>
    <cfRule type="expression" dxfId="1497" priority="40">
      <formula>Q7&lt;0</formula>
    </cfRule>
  </conditionalFormatting>
  <conditionalFormatting sqref="Q8">
    <cfRule type="expression" dxfId="1496" priority="37">
      <formula>Q8&gt;0</formula>
    </cfRule>
    <cfRule type="expression" dxfId="1495" priority="38">
      <formula>Q8&lt;0</formula>
    </cfRule>
  </conditionalFormatting>
  <conditionalFormatting sqref="F167:F178 H167:H178">
    <cfRule type="expression" dxfId="1494" priority="35">
      <formula>F167&gt;0</formula>
    </cfRule>
    <cfRule type="expression" dxfId="1493" priority="36">
      <formula>F167&lt;0</formula>
    </cfRule>
  </conditionalFormatting>
  <conditionalFormatting sqref="F183:F197 H183:H197">
    <cfRule type="expression" dxfId="1492" priority="33">
      <formula>F183&gt;0</formula>
    </cfRule>
    <cfRule type="expression" dxfId="1491" priority="34">
      <formula>F183&lt;0</formula>
    </cfRule>
  </conditionalFormatting>
  <conditionalFormatting sqref="F198:F206 H198:H206">
    <cfRule type="expression" dxfId="1490" priority="31">
      <formula>F198&gt;0</formula>
    </cfRule>
    <cfRule type="expression" dxfId="1489" priority="32">
      <formula>F198&lt;0</formula>
    </cfRule>
  </conditionalFormatting>
  <conditionalFormatting sqref="F141:F147 H141:H147">
    <cfRule type="expression" dxfId="1488" priority="29">
      <formula>F141&gt;0</formula>
    </cfRule>
    <cfRule type="expression" dxfId="1487" priority="30">
      <formula>F141&lt;0</formula>
    </cfRule>
  </conditionalFormatting>
  <conditionalFormatting sqref="H149:H152 F149:F152">
    <cfRule type="expression" dxfId="1486" priority="27">
      <formula>F149&gt;0</formula>
    </cfRule>
    <cfRule type="expression" dxfId="1485" priority="28">
      <formula>F149&lt;0</formula>
    </cfRule>
  </conditionalFormatting>
  <conditionalFormatting sqref="F226 H215:H218 H257:H260 F257:F260 H226 H231:H233 F231:F233 F235:F244 H235:H244">
    <cfRule type="expression" dxfId="1484" priority="25">
      <formula>F215&gt;0</formula>
    </cfRule>
    <cfRule type="expression" dxfId="1483" priority="26">
      <formula>F215&lt;0</formula>
    </cfRule>
  </conditionalFormatting>
  <conditionalFormatting sqref="F207:F218">
    <cfRule type="expression" dxfId="1482" priority="23">
      <formula>F207&gt;0</formula>
    </cfRule>
    <cfRule type="expression" dxfId="1481" priority="24">
      <formula>F207&lt;0</formula>
    </cfRule>
  </conditionalFormatting>
  <conditionalFormatting sqref="H207:H208">
    <cfRule type="expression" dxfId="1480" priority="21">
      <formula>H207&gt;0</formula>
    </cfRule>
    <cfRule type="expression" dxfId="1479" priority="22">
      <formula>H207&lt;0</formula>
    </cfRule>
  </conditionalFormatting>
  <conditionalFormatting sqref="H209">
    <cfRule type="expression" dxfId="1478" priority="19">
      <formula>H209&gt;0</formula>
    </cfRule>
    <cfRule type="expression" dxfId="1477" priority="20">
      <formula>H209&lt;0</formula>
    </cfRule>
  </conditionalFormatting>
  <conditionalFormatting sqref="H210">
    <cfRule type="expression" dxfId="1476" priority="17">
      <formula>H210&gt;0</formula>
    </cfRule>
    <cfRule type="expression" dxfId="1475" priority="18">
      <formula>H210&lt;0</formula>
    </cfRule>
  </conditionalFormatting>
  <conditionalFormatting sqref="H211:H213">
    <cfRule type="expression" dxfId="1474" priority="15">
      <formula>H211&gt;0</formula>
    </cfRule>
    <cfRule type="expression" dxfId="1473" priority="16">
      <formula>H211&lt;0</formula>
    </cfRule>
  </conditionalFormatting>
  <conditionalFormatting sqref="H214">
    <cfRule type="expression" dxfId="1472" priority="13">
      <formula>H214&gt;0</formula>
    </cfRule>
    <cfRule type="expression" dxfId="1471" priority="14">
      <formula>H214&lt;0</formula>
    </cfRule>
  </conditionalFormatting>
  <conditionalFormatting sqref="F245:F256 H245:H256">
    <cfRule type="expression" dxfId="1470" priority="11">
      <formula>F245&gt;0</formula>
    </cfRule>
    <cfRule type="expression" dxfId="1469" priority="12">
      <formula>F245&lt;0</formula>
    </cfRule>
  </conditionalFormatting>
  <conditionalFormatting sqref="F261:F275 H261:H275">
    <cfRule type="expression" dxfId="1468" priority="9">
      <formula>F261&gt;0</formula>
    </cfRule>
    <cfRule type="expression" dxfId="1467" priority="10">
      <formula>F261&lt;0</formula>
    </cfRule>
  </conditionalFormatting>
  <conditionalFormatting sqref="F276:F283 H276:H283">
    <cfRule type="expression" dxfId="1466" priority="7">
      <formula>F276&gt;0</formula>
    </cfRule>
    <cfRule type="expression" dxfId="1465" priority="8">
      <formula>F276&lt;0</formula>
    </cfRule>
  </conditionalFormatting>
  <conditionalFormatting sqref="F219:F225 H219:H225">
    <cfRule type="expression" dxfId="1464" priority="5">
      <formula>F219&gt;0</formula>
    </cfRule>
    <cfRule type="expression" dxfId="1463" priority="6">
      <formula>F219&lt;0</formula>
    </cfRule>
  </conditionalFormatting>
  <conditionalFormatting sqref="H227:H230 F227:F230">
    <cfRule type="expression" dxfId="1462" priority="3">
      <formula>F227&gt;0</formula>
    </cfRule>
    <cfRule type="expression" dxfId="1461" priority="4">
      <formula>F227&lt;0</formula>
    </cfRule>
  </conditionalFormatting>
  <conditionalFormatting sqref="H234 F234">
    <cfRule type="expression" dxfId="1460" priority="1">
      <formula>F234&gt;0</formula>
    </cfRule>
    <cfRule type="expression" dxfId="1459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147.05000000000001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147.05000000000001</v>
      </c>
      <c r="R4" s="475">
        <v>4.0000000000000002E-4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207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1" t="s">
        <v>78</v>
      </c>
      <c r="P40" s="851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161.75500000000002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160.28450000000004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158.81400000000002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157.34350000000003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155.87300000000002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154.40250000000003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152.93200000000002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151.46150000000003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149.99100000000001</v>
      </c>
      <c r="Q49" s="2"/>
      <c r="T49" s="91" t="s">
        <v>121</v>
      </c>
      <c r="U49" s="127" t="s">
        <v>386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148.52050000000003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147.05000000000001</v>
      </c>
      <c r="Q51" s="2"/>
      <c r="T51" s="91" t="s">
        <v>104</v>
      </c>
      <c r="U51" s="127" t="s">
        <v>595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145.5795</v>
      </c>
      <c r="Q52" s="2"/>
      <c r="T52" s="91" t="s">
        <v>105</v>
      </c>
      <c r="U52" s="127" t="s">
        <v>417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144.10900000000001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142.63849999999999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141.16800000000001</v>
      </c>
      <c r="T55" s="91" t="s">
        <v>107</v>
      </c>
      <c r="U55" s="127" t="s">
        <v>596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139.69749999999999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138.227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136.75650000000002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135.28600000000003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133.81550000000001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132.34500000000003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307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349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349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58" priority="43">
      <formula>F33&gt;0</formula>
    </cfRule>
    <cfRule type="expression" dxfId="1457" priority="44">
      <formula>F33&lt;0</formula>
    </cfRule>
  </conditionalFormatting>
  <conditionalFormatting sqref="Q7">
    <cfRule type="expression" dxfId="1456" priority="41">
      <formula>Q7&gt;0</formula>
    </cfRule>
    <cfRule type="expression" dxfId="1455" priority="42">
      <formula>Q7&lt;0</formula>
    </cfRule>
  </conditionalFormatting>
  <conditionalFormatting sqref="Q8">
    <cfRule type="expression" dxfId="1454" priority="39">
      <formula>Q8&gt;0</formula>
    </cfRule>
    <cfRule type="expression" dxfId="1453" priority="40">
      <formula>Q8&lt;0</formula>
    </cfRule>
  </conditionalFormatting>
  <conditionalFormatting sqref="F29 F32">
    <cfRule type="expression" dxfId="1452" priority="37">
      <formula>F29&gt;0</formula>
    </cfRule>
    <cfRule type="expression" dxfId="1451" priority="38">
      <formula>F29&lt;0</formula>
    </cfRule>
  </conditionalFormatting>
  <conditionalFormatting sqref="H29 H32">
    <cfRule type="expression" dxfId="1450" priority="35">
      <formula>H29&gt;0</formula>
    </cfRule>
    <cfRule type="expression" dxfId="1449" priority="36">
      <formula>H29&lt;0</formula>
    </cfRule>
  </conditionalFormatting>
  <conditionalFormatting sqref="F30:F31">
    <cfRule type="expression" dxfId="1448" priority="33">
      <formula>F30&gt;0</formula>
    </cfRule>
    <cfRule type="expression" dxfId="1447" priority="34">
      <formula>F30&lt;0</formula>
    </cfRule>
  </conditionalFormatting>
  <conditionalFormatting sqref="H30:H31">
    <cfRule type="expression" dxfId="1446" priority="31">
      <formula>H30&gt;0</formula>
    </cfRule>
    <cfRule type="expression" dxfId="1445" priority="32">
      <formula>H30&lt;0</formula>
    </cfRule>
  </conditionalFormatting>
  <conditionalFormatting sqref="F105:F140 H105:H140">
    <cfRule type="expression" dxfId="1444" priority="29">
      <formula>F105&gt;0</formula>
    </cfRule>
    <cfRule type="expression" dxfId="1443" priority="30">
      <formula>F105&lt;0</formula>
    </cfRule>
  </conditionalFormatting>
  <conditionalFormatting sqref="F96:F99">
    <cfRule type="expression" dxfId="1442" priority="27">
      <formula>F96&gt;0</formula>
    </cfRule>
    <cfRule type="expression" dxfId="1441" priority="28">
      <formula>F96&lt;0</formula>
    </cfRule>
  </conditionalFormatting>
  <conditionalFormatting sqref="H96:H99">
    <cfRule type="expression" dxfId="1440" priority="25">
      <formula>H96&gt;0</formula>
    </cfRule>
    <cfRule type="expression" dxfId="1439" priority="26">
      <formula>H96&lt;0</formula>
    </cfRule>
  </conditionalFormatting>
  <conditionalFormatting sqref="F25:F28">
    <cfRule type="expression" dxfId="1438" priority="19">
      <formula>F25&gt;0</formula>
    </cfRule>
    <cfRule type="expression" dxfId="1437" priority="20">
      <formula>F25&lt;0</formula>
    </cfRule>
  </conditionalFormatting>
  <conditionalFormatting sqref="H25:H28">
    <cfRule type="expression" dxfId="1436" priority="17">
      <formula>H25&gt;0</formula>
    </cfRule>
    <cfRule type="expression" dxfId="1435" priority="18">
      <formula>H25&lt;0</formula>
    </cfRule>
  </conditionalFormatting>
  <conditionalFormatting sqref="J27">
    <cfRule type="expression" dxfId="1434" priority="15">
      <formula>J27&gt;0</formula>
    </cfRule>
    <cfRule type="expression" dxfId="1433" priority="16">
      <formula>J27&lt;0</formula>
    </cfRule>
  </conditionalFormatting>
  <conditionalFormatting sqref="F104">
    <cfRule type="expression" dxfId="1432" priority="13">
      <formula>F104&gt;0</formula>
    </cfRule>
    <cfRule type="expression" dxfId="1431" priority="14">
      <formula>F104&lt;0</formula>
    </cfRule>
  </conditionalFormatting>
  <conditionalFormatting sqref="H104">
    <cfRule type="expression" dxfId="1430" priority="11">
      <formula>H104&gt;0</formula>
    </cfRule>
    <cfRule type="expression" dxfId="1429" priority="12">
      <formula>H104&lt;0</formula>
    </cfRule>
  </conditionalFormatting>
  <conditionalFormatting sqref="F100:F103">
    <cfRule type="expression" dxfId="1428" priority="9">
      <formula>F100&gt;0</formula>
    </cfRule>
    <cfRule type="expression" dxfId="1427" priority="10">
      <formula>F100&lt;0</formula>
    </cfRule>
  </conditionalFormatting>
  <conditionalFormatting sqref="H100:H103">
    <cfRule type="expression" dxfId="1426" priority="7">
      <formula>H100&gt;0</formula>
    </cfRule>
    <cfRule type="expression" dxfId="1425" priority="8">
      <formula>H100&lt;0</formula>
    </cfRule>
  </conditionalFormatting>
  <conditionalFormatting sqref="J102">
    <cfRule type="expression" dxfId="1424" priority="5">
      <formula>J102&gt;0</formula>
    </cfRule>
    <cfRule type="expression" dxfId="1423" priority="6">
      <formula>J102&lt;0</formula>
    </cfRule>
  </conditionalFormatting>
  <conditionalFormatting sqref="Q10">
    <cfRule type="expression" dxfId="1422" priority="3">
      <formula>Q10&gt;0</formula>
    </cfRule>
    <cfRule type="expression" dxfId="1421" priority="4">
      <formula>Q10&lt;0</formula>
    </cfRule>
  </conditionalFormatting>
  <conditionalFormatting sqref="M71">
    <cfRule type="expression" dxfId="1420" priority="1">
      <formula>M71&gt;0</formula>
    </cfRule>
    <cfRule type="expression" dxfId="1419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95.03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95.03</v>
      </c>
      <c r="R4" s="475">
        <v>-7.0000000000000001E-3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208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207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104.53300000000002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103.5827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102.6324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101.68210000000001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100.73180000000001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99.781500000000008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98.83120000000001</v>
      </c>
      <c r="Q47" s="2"/>
      <c r="T47" s="91"/>
      <c r="U47" s="127"/>
    </row>
    <row r="48" spans="1:21" x14ac:dyDescent="0.25">
      <c r="A48" s="254" t="s">
        <v>691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97.880899999999997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96.930599999999998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95.9803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95.03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94.079700000000003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93.129400000000004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92.179100000000005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91.228799999999993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90.278499999999994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89.328199999999995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88.377900000000011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87.427599999999998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86.4773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85.527000000000001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18" priority="33">
      <formula>F34&gt;0</formula>
    </cfRule>
    <cfRule type="expression" dxfId="1417" priority="34">
      <formula>F34&lt;0</formula>
    </cfRule>
  </conditionalFormatting>
  <conditionalFormatting sqref="Q7">
    <cfRule type="expression" dxfId="1416" priority="31">
      <formula>Q7&gt;0</formula>
    </cfRule>
    <cfRule type="expression" dxfId="1415" priority="32">
      <formula>Q7&lt;0</formula>
    </cfRule>
  </conditionalFormatting>
  <conditionalFormatting sqref="Q8">
    <cfRule type="expression" dxfId="1414" priority="29">
      <formula>Q8&gt;0</formula>
    </cfRule>
    <cfRule type="expression" dxfId="1413" priority="30">
      <formula>Q8&lt;0</formula>
    </cfRule>
  </conditionalFormatting>
  <conditionalFormatting sqref="F27:F33">
    <cfRule type="expression" dxfId="1412" priority="27">
      <formula>F27&gt;0</formula>
    </cfRule>
    <cfRule type="expression" dxfId="1411" priority="28">
      <formula>F27&lt;0</formula>
    </cfRule>
  </conditionalFormatting>
  <conditionalFormatting sqref="H27:H33">
    <cfRule type="expression" dxfId="1410" priority="25">
      <formula>H27&gt;0</formula>
    </cfRule>
    <cfRule type="expression" dxfId="1409" priority="26">
      <formula>H27&lt;0</formula>
    </cfRule>
  </conditionalFormatting>
  <conditionalFormatting sqref="M46">
    <cfRule type="expression" dxfId="1408" priority="23">
      <formula>M46&gt;0</formula>
    </cfRule>
    <cfRule type="expression" dxfId="1407" priority="24">
      <formula>M46&lt;0</formula>
    </cfRule>
  </conditionalFormatting>
  <conditionalFormatting sqref="F79:F87 H79:H87">
    <cfRule type="expression" dxfId="1406" priority="21">
      <formula>F79&gt;0</formula>
    </cfRule>
    <cfRule type="expression" dxfId="1405" priority="22">
      <formula>F79&lt;0</formula>
    </cfRule>
  </conditionalFormatting>
  <conditionalFormatting sqref="F73 F77:F78">
    <cfRule type="expression" dxfId="1404" priority="19">
      <formula>F73&gt;0</formula>
    </cfRule>
    <cfRule type="expression" dxfId="1403" priority="20">
      <formula>F73&lt;0</formula>
    </cfRule>
  </conditionalFormatting>
  <conditionalFormatting sqref="H73 H77:H78">
    <cfRule type="expression" dxfId="1402" priority="17">
      <formula>H73&gt;0</formula>
    </cfRule>
    <cfRule type="expression" dxfId="1401" priority="18">
      <formula>H73&lt;0</formula>
    </cfRule>
  </conditionalFormatting>
  <conditionalFormatting sqref="F70:F72">
    <cfRule type="expression" dxfId="1400" priority="15">
      <formula>F70&gt;0</formula>
    </cfRule>
    <cfRule type="expression" dxfId="1399" priority="16">
      <formula>F70&lt;0</formula>
    </cfRule>
  </conditionalFormatting>
  <conditionalFormatting sqref="H70:H72">
    <cfRule type="expression" dxfId="1398" priority="13">
      <formula>H70&gt;0</formula>
    </cfRule>
    <cfRule type="expression" dxfId="1397" priority="14">
      <formula>H70&lt;0</formula>
    </cfRule>
  </conditionalFormatting>
  <conditionalFormatting sqref="F25:F26">
    <cfRule type="expression" dxfId="1396" priority="11">
      <formula>F25&gt;0</formula>
    </cfRule>
    <cfRule type="expression" dxfId="1395" priority="12">
      <formula>F25&lt;0</formula>
    </cfRule>
  </conditionalFormatting>
  <conditionalFormatting sqref="H25:H26">
    <cfRule type="expression" dxfId="1394" priority="9">
      <formula>H25&gt;0</formula>
    </cfRule>
    <cfRule type="expression" dxfId="1393" priority="10">
      <formula>H25&lt;0</formula>
    </cfRule>
  </conditionalFormatting>
  <conditionalFormatting sqref="F76">
    <cfRule type="expression" dxfId="1392" priority="7">
      <formula>F76&gt;0</formula>
    </cfRule>
    <cfRule type="expression" dxfId="1391" priority="8">
      <formula>F76&lt;0</formula>
    </cfRule>
  </conditionalFormatting>
  <conditionalFormatting sqref="H76">
    <cfRule type="expression" dxfId="1390" priority="5">
      <formula>H76&gt;0</formula>
    </cfRule>
    <cfRule type="expression" dxfId="1389" priority="6">
      <formula>H76&lt;0</formula>
    </cfRule>
  </conditionalFormatting>
  <conditionalFormatting sqref="F74:F75">
    <cfRule type="expression" dxfId="1388" priority="3">
      <formula>F74&gt;0</formula>
    </cfRule>
    <cfRule type="expression" dxfId="1387" priority="4">
      <formula>F74&lt;0</formula>
    </cfRule>
  </conditionalFormatting>
  <conditionalFormatting sqref="H74:H75">
    <cfRule type="expression" dxfId="1386" priority="1">
      <formula>H74&gt;0</formula>
    </cfRule>
    <cfRule type="expression" dxfId="1385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8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7" si="1">H2*I2-J2</f>
        <v>4127.03</v>
      </c>
      <c r="L2" s="72"/>
      <c r="M2" s="3"/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996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112.24000000000039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179.18</v>
      </c>
      <c r="R4" s="495">
        <v>-2.3999999999999998E-3</v>
      </c>
      <c r="T4" s="770">
        <v>43256</v>
      </c>
      <c r="U4" s="839" t="s">
        <v>1119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2687.7000000000003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1683.6000000000058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1004.0999999999945</v>
      </c>
      <c r="R7" s="29">
        <v>43307</v>
      </c>
    </row>
    <row r="8" spans="1:21" x14ac:dyDescent="0.25">
      <c r="B8" s="735">
        <v>43276</v>
      </c>
      <c r="C8" s="4">
        <v>15</v>
      </c>
      <c r="D8" s="3">
        <v>171.05</v>
      </c>
      <c r="E8" s="3">
        <v>0</v>
      </c>
      <c r="F8" s="3">
        <f t="shared" si="0"/>
        <v>2565.75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1004.0999999999945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0.59640057020669457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7.1436544257171561E-3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973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155</v>
      </c>
      <c r="D18" s="18"/>
      <c r="E18" s="18"/>
      <c r="F18" s="18">
        <f>SUM(F2:F8)</f>
        <v>25214.5</v>
      </c>
      <c r="G18" s="14"/>
      <c r="H18" s="71">
        <f>SUM(H2:H7)</f>
        <v>140</v>
      </c>
      <c r="I18" s="18"/>
      <c r="J18" s="18"/>
      <c r="K18" s="18">
        <f>SUM(K2:K7)</f>
        <v>23530.899999999994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22648</v>
      </c>
      <c r="G19" s="343"/>
      <c r="H19" s="343">
        <f>SumByColor($A$19,H2:H17)</f>
        <v>140</v>
      </c>
      <c r="I19" s="343"/>
      <c r="J19" s="343"/>
      <c r="K19" s="344">
        <f>SumByColor($A$19,K2:K17)</f>
        <v>23531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197.09800000000001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195.30620000000002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193.51440000000002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191.72260000000003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189.9308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188.13900000000001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186.34720000000002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184.55540000000002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182.7636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180.9718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1" si="6">C33*(E33-D33)</f>
        <v>35.699999999999932</v>
      </c>
      <c r="G33" s="39">
        <f t="shared" ref="G33:G41" si="7">D33*C33</f>
        <v>8074.8</v>
      </c>
      <c r="H33" s="222">
        <f t="shared" ref="H33:H41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179.18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177.38820000000001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175.59640000000002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173.80459999999999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172.0128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170.221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168.42920000000001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166.63740000000001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164.84560000000002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163.05380000000002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161.262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84" priority="37">
      <formula>F47&gt;0</formula>
    </cfRule>
    <cfRule type="expression" dxfId="1383" priority="38">
      <formula>F47&lt;0</formula>
    </cfRule>
  </conditionalFormatting>
  <conditionalFormatting sqref="Q7">
    <cfRule type="expression" dxfId="1382" priority="35">
      <formula>Q7&gt;0</formula>
    </cfRule>
    <cfRule type="expression" dxfId="1381" priority="36">
      <formula>Q7&lt;0</formula>
    </cfRule>
  </conditionalFormatting>
  <conditionalFormatting sqref="Q8">
    <cfRule type="expression" dxfId="1380" priority="33">
      <formula>Q8&gt;0</formula>
    </cfRule>
    <cfRule type="expression" dxfId="1379" priority="34">
      <formula>Q8&lt;0</formula>
    </cfRule>
  </conditionalFormatting>
  <conditionalFormatting sqref="F31:F46">
    <cfRule type="expression" dxfId="1378" priority="31">
      <formula>F31&gt;0</formula>
    </cfRule>
    <cfRule type="expression" dxfId="1377" priority="32">
      <formula>F31&lt;0</formula>
    </cfRule>
  </conditionalFormatting>
  <conditionalFormatting sqref="H31:H46">
    <cfRule type="expression" dxfId="1376" priority="29">
      <formula>H31&gt;0</formula>
    </cfRule>
    <cfRule type="expression" dxfId="1375" priority="30">
      <formula>H31&lt;0</formula>
    </cfRule>
  </conditionalFormatting>
  <conditionalFormatting sqref="Q10">
    <cfRule type="expression" dxfId="1374" priority="27">
      <formula>Q10&gt;0</formula>
    </cfRule>
    <cfRule type="expression" dxfId="1373" priority="28">
      <formula>Q10&lt;0</formula>
    </cfRule>
  </conditionalFormatting>
  <conditionalFormatting sqref="J25:J38">
    <cfRule type="expression" dxfId="1372" priority="25">
      <formula>J25&gt;0</formula>
    </cfRule>
    <cfRule type="expression" dxfId="1371" priority="26">
      <formula>J25&lt;0</formula>
    </cfRule>
  </conditionalFormatting>
  <conditionalFormatting sqref="K25:K38">
    <cfRule type="expression" dxfId="1370" priority="23">
      <formula>K25&gt;0</formula>
    </cfRule>
    <cfRule type="expression" dxfId="1369" priority="24">
      <formula>K25&lt;0</formula>
    </cfRule>
  </conditionalFormatting>
  <conditionalFormatting sqref="L25:L38">
    <cfRule type="expression" dxfId="1368" priority="21">
      <formula>L25&gt;0</formula>
    </cfRule>
    <cfRule type="expression" dxfId="1367" priority="22">
      <formula>L25&lt;0</formula>
    </cfRule>
  </conditionalFormatting>
  <conditionalFormatting sqref="F89:F110">
    <cfRule type="expression" dxfId="1366" priority="19">
      <formula>F89&gt;0</formula>
    </cfRule>
    <cfRule type="expression" dxfId="1365" priority="20">
      <formula>F89&lt;0</formula>
    </cfRule>
  </conditionalFormatting>
  <conditionalFormatting sqref="H89:H110">
    <cfRule type="expression" dxfId="1364" priority="17">
      <formula>H89&gt;0</formula>
    </cfRule>
    <cfRule type="expression" dxfId="1363" priority="18">
      <formula>H89&lt;0</formula>
    </cfRule>
  </conditionalFormatting>
  <conditionalFormatting sqref="J89:J102">
    <cfRule type="expression" dxfId="1362" priority="15">
      <formula>J89&gt;0</formula>
    </cfRule>
    <cfRule type="expression" dxfId="1361" priority="16">
      <formula>J89&lt;0</formula>
    </cfRule>
  </conditionalFormatting>
  <conditionalFormatting sqref="K89:K102">
    <cfRule type="expression" dxfId="1360" priority="13">
      <formula>K89&gt;0</formula>
    </cfRule>
    <cfRule type="expression" dxfId="1359" priority="14">
      <formula>K89&lt;0</formula>
    </cfRule>
  </conditionalFormatting>
  <conditionalFormatting sqref="L89:L102">
    <cfRule type="expression" dxfId="1358" priority="11">
      <formula>L89&gt;0</formula>
    </cfRule>
    <cfRule type="expression" dxfId="1357" priority="12">
      <formula>L89&lt;0</formula>
    </cfRule>
  </conditionalFormatting>
  <conditionalFormatting sqref="F25:F28">
    <cfRule type="expression" dxfId="1356" priority="9">
      <formula>F25&gt;0</formula>
    </cfRule>
    <cfRule type="expression" dxfId="1355" priority="10">
      <formula>F25&lt;0</formula>
    </cfRule>
  </conditionalFormatting>
  <conditionalFormatting sqref="H25:H28">
    <cfRule type="expression" dxfId="1354" priority="7">
      <formula>H25&gt;0</formula>
    </cfRule>
    <cfRule type="expression" dxfId="1353" priority="8">
      <formula>H25&lt;0</formula>
    </cfRule>
  </conditionalFormatting>
  <conditionalFormatting sqref="F29:F30">
    <cfRule type="expression" dxfId="1352" priority="3">
      <formula>F29&gt;0</formula>
    </cfRule>
    <cfRule type="expression" dxfId="1351" priority="4">
      <formula>F29&lt;0</formula>
    </cfRule>
  </conditionalFormatting>
  <conditionalFormatting sqref="H29:H30">
    <cfRule type="expression" dxfId="1350" priority="1">
      <formula>H29&gt;0</formula>
    </cfRule>
    <cfRule type="expression" dxfId="1349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K15" sqref="K15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735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1021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65.16</v>
      </c>
      <c r="R4" s="495">
        <v>-2.0000000000000001E-4</v>
      </c>
      <c r="T4" s="1">
        <v>43114</v>
      </c>
      <c r="U4" t="s">
        <v>886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13032</v>
      </c>
      <c r="T5" s="1"/>
      <c r="U5" t="s">
        <v>1163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615.59999999999127</v>
      </c>
      <c r="R7" s="29">
        <v>43311</v>
      </c>
      <c r="T7" s="1">
        <v>43187</v>
      </c>
      <c r="U7" t="s">
        <v>977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615.59999999999127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208</v>
      </c>
      <c r="Q9" s="134">
        <f>IF(Q2=0, 0, Q8/Q6)</f>
        <v>4.9579588286459107E-2</v>
      </c>
      <c r="T9" s="1">
        <v>43212</v>
      </c>
      <c r="U9" t="s">
        <v>1022</v>
      </c>
      <c r="V9" s="134"/>
    </row>
    <row r="10" spans="1:22" x14ac:dyDescent="0.25">
      <c r="A10" t="s">
        <v>782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207</v>
      </c>
      <c r="P10" s="33"/>
      <c r="Q10" s="2">
        <f>M88</f>
        <v>0</v>
      </c>
      <c r="U10" t="s">
        <v>1023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2.4554941682013508E-2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946</v>
      </c>
      <c r="Q12" s="1" t="s">
        <v>1164</v>
      </c>
      <c r="T12" s="1">
        <v>43237</v>
      </c>
      <c r="U12" t="s">
        <v>1088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973</v>
      </c>
      <c r="Q13" s="2">
        <f>Q4/(5.9+6.05)*2</f>
        <v>10.905439330543933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1111</v>
      </c>
      <c r="T14" s="1">
        <v>43242</v>
      </c>
      <c r="U14" t="s">
        <v>1074</v>
      </c>
      <c r="V14" s="134"/>
    </row>
    <row r="15" spans="1:22" x14ac:dyDescent="0.25">
      <c r="B15" s="474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O15" s="11" t="s">
        <v>1040</v>
      </c>
      <c r="Q15" s="29">
        <v>43285</v>
      </c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1125</v>
      </c>
      <c r="V16" s="134"/>
    </row>
    <row r="17" spans="1:22" x14ac:dyDescent="0.25">
      <c r="T17" s="1">
        <v>43271</v>
      </c>
      <c r="U17" t="s">
        <v>1144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1143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1155</v>
      </c>
      <c r="V20" s="134"/>
    </row>
    <row r="21" spans="1:22" ht="20.25" thickBot="1" x14ac:dyDescent="0.35">
      <c r="O21" s="851" t="s">
        <v>78</v>
      </c>
      <c r="P21" s="851"/>
      <c r="U21" t="s">
        <v>1162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71.676000000000002</v>
      </c>
      <c r="V22" s="134"/>
    </row>
    <row r="23" spans="1:22" x14ac:dyDescent="0.25">
      <c r="O23" s="81">
        <v>1.0900000000000001</v>
      </c>
      <c r="P23" s="81">
        <f t="shared" ref="P23:P42" si="2">O23*$Q$4</f>
        <v>71.0244</v>
      </c>
      <c r="T23" s="1">
        <v>43285</v>
      </c>
      <c r="U23" t="s">
        <v>1158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70.372799999999998</v>
      </c>
      <c r="U24" t="s">
        <v>1159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69.721199999999996</v>
      </c>
      <c r="U25" t="s">
        <v>1160</v>
      </c>
      <c r="V25" s="134"/>
    </row>
    <row r="26" spans="1:22" x14ac:dyDescent="0.25">
      <c r="O26" s="81">
        <v>1.06</v>
      </c>
      <c r="P26" s="81">
        <f t="shared" si="2"/>
        <v>69.069599999999994</v>
      </c>
      <c r="U26" t="s">
        <v>1161</v>
      </c>
      <c r="V26" s="134"/>
    </row>
    <row r="27" spans="1:22" x14ac:dyDescent="0.25">
      <c r="O27" s="81">
        <v>1.05</v>
      </c>
      <c r="P27" s="81">
        <f t="shared" si="2"/>
        <v>68.418000000000006</v>
      </c>
      <c r="V27" s="134"/>
    </row>
    <row r="28" spans="1:22" x14ac:dyDescent="0.25">
      <c r="O28" s="81">
        <v>1.04</v>
      </c>
      <c r="P28" s="81">
        <f t="shared" si="2"/>
        <v>67.766400000000004</v>
      </c>
      <c r="V28" s="134"/>
    </row>
    <row r="29" spans="1:22" x14ac:dyDescent="0.25">
      <c r="O29" s="81">
        <v>1.03</v>
      </c>
      <c r="P29" s="81">
        <f t="shared" si="2"/>
        <v>67.114800000000002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669</v>
      </c>
      <c r="L30" s="220" t="s">
        <v>497</v>
      </c>
      <c r="M30" s="220" t="s">
        <v>973</v>
      </c>
      <c r="O30" s="81">
        <v>1.02</v>
      </c>
      <c r="P30" s="81">
        <f t="shared" si="2"/>
        <v>66.463200000000001</v>
      </c>
      <c r="T30" s="156">
        <v>43318</v>
      </c>
      <c r="U30" t="s">
        <v>1188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65.811599999999999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65.16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64.508399999999995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63.856799999999993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63.205199999999998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62.553599999999996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61.901999999999994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61.250399999999992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762</v>
      </c>
      <c r="J39" s="39"/>
      <c r="K39" s="39"/>
      <c r="L39" s="727"/>
      <c r="M39" s="727"/>
      <c r="O39" s="81">
        <v>0.93</v>
      </c>
      <c r="P39" s="81">
        <f t="shared" si="2"/>
        <v>60.598799999999997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764</v>
      </c>
      <c r="J40" s="39"/>
      <c r="K40" s="39"/>
      <c r="L40" s="727"/>
      <c r="M40" s="727"/>
      <c r="O40" s="81">
        <v>0.92</v>
      </c>
      <c r="P40" s="81">
        <f t="shared" si="2"/>
        <v>59.947200000000002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59.2956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769</v>
      </c>
      <c r="J42" s="39"/>
      <c r="K42" s="39"/>
      <c r="L42" s="727"/>
      <c r="M42" s="727"/>
      <c r="O42" s="81">
        <v>0.9</v>
      </c>
      <c r="P42" s="81">
        <f t="shared" si="2"/>
        <v>58.643999999999998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773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780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844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850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953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954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955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4" si="15">C69*(E69-D69)</f>
        <v>157.26000000000226</v>
      </c>
      <c r="G69" s="39">
        <f t="shared" ref="G69:G74" si="16">D69*C69</f>
        <v>13094.739999999998</v>
      </c>
      <c r="H69" s="222">
        <f t="shared" ref="H69:H74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/>
      <c r="B75" s="184"/>
      <c r="C75" s="10"/>
      <c r="D75" s="39"/>
      <c r="E75" s="39"/>
      <c r="F75" s="39"/>
      <c r="G75" s="39"/>
      <c r="H75" s="222"/>
      <c r="I75" s="193"/>
      <c r="J75" s="39"/>
      <c r="K75" s="39"/>
      <c r="L75" s="39"/>
      <c r="M75" s="39"/>
    </row>
    <row r="76" spans="1:22" x14ac:dyDescent="0.25">
      <c r="A76" s="4"/>
      <c r="B76" s="184"/>
      <c r="C76" s="10"/>
      <c r="D76" s="39"/>
      <c r="E76" s="39"/>
      <c r="F76" s="39"/>
      <c r="G76" s="39"/>
      <c r="H76" s="222"/>
      <c r="I76" s="193"/>
      <c r="J76" s="39"/>
      <c r="K76" s="39"/>
      <c r="L76" s="39"/>
      <c r="M76" s="39"/>
    </row>
    <row r="77" spans="1:22" x14ac:dyDescent="0.25">
      <c r="A77" s="4"/>
      <c r="B77" s="184"/>
      <c r="C77" s="10"/>
      <c r="D77" s="39"/>
      <c r="E77" s="39"/>
      <c r="F77" s="39"/>
      <c r="G77" s="39"/>
      <c r="H77" s="222"/>
      <c r="I77" s="193"/>
      <c r="J77" s="39"/>
      <c r="K77" s="39"/>
      <c r="L77" s="39"/>
      <c r="M77" s="39"/>
    </row>
    <row r="78" spans="1:22" x14ac:dyDescent="0.25">
      <c r="A78" s="4"/>
      <c r="B78" s="184"/>
      <c r="C78" s="10"/>
      <c r="D78" s="39"/>
      <c r="E78" s="39"/>
      <c r="F78" s="39"/>
      <c r="G78" s="39"/>
      <c r="H78" s="222"/>
      <c r="I78" s="193"/>
      <c r="J78" s="39"/>
      <c r="K78" s="39"/>
      <c r="L78" s="39"/>
      <c r="M78" s="39"/>
    </row>
    <row r="79" spans="1:22" x14ac:dyDescent="0.25">
      <c r="A79" s="4"/>
      <c r="B79" s="184"/>
      <c r="C79" s="10"/>
      <c r="D79" s="39"/>
      <c r="E79" s="39"/>
      <c r="F79" s="39"/>
      <c r="G79" s="39"/>
      <c r="H79" s="222"/>
      <c r="I79" s="193"/>
      <c r="J79" s="39"/>
      <c r="K79" s="39"/>
      <c r="L79" s="39"/>
      <c r="M79" s="39"/>
    </row>
    <row r="80" spans="1:22" x14ac:dyDescent="0.25">
      <c r="A80" s="4"/>
      <c r="B80" s="184"/>
      <c r="C80" s="10"/>
      <c r="D80" s="39"/>
      <c r="E80" s="39"/>
      <c r="F80" s="39"/>
      <c r="G80" s="39"/>
      <c r="H80" s="222"/>
      <c r="I80" s="193"/>
      <c r="J80" s="39"/>
      <c r="K80" s="39"/>
      <c r="L80" s="39"/>
      <c r="M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193"/>
      <c r="J81" s="39"/>
      <c r="K81" s="39"/>
      <c r="L81" s="39"/>
      <c r="M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193"/>
      <c r="J82" s="39"/>
      <c r="K82" s="39"/>
      <c r="L82" s="39"/>
      <c r="M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734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348" priority="29">
      <formula>F7&gt;0</formula>
    </cfRule>
    <cfRule type="expression" dxfId="1347" priority="30">
      <formula>F7&lt;0</formula>
    </cfRule>
  </conditionalFormatting>
  <conditionalFormatting sqref="Q8">
    <cfRule type="expression" dxfId="1346" priority="27">
      <formula>Q8&gt;0</formula>
    </cfRule>
    <cfRule type="expression" dxfId="1345" priority="28">
      <formula>Q8&lt;0</formula>
    </cfRule>
  </conditionalFormatting>
  <conditionalFormatting sqref="F111:F132">
    <cfRule type="expression" dxfId="1344" priority="21">
      <formula>F111&gt;0</formula>
    </cfRule>
    <cfRule type="expression" dxfId="1343" priority="22">
      <formula>F111&lt;0</formula>
    </cfRule>
  </conditionalFormatting>
  <conditionalFormatting sqref="H111:H132">
    <cfRule type="expression" dxfId="1342" priority="19">
      <formula>H111&gt;0</formula>
    </cfRule>
    <cfRule type="expression" dxfId="1341" priority="20">
      <formula>H111&lt;0</formula>
    </cfRule>
  </conditionalFormatting>
  <conditionalFormatting sqref="Q10">
    <cfRule type="expression" dxfId="1340" priority="17">
      <formula>Q10&gt;0</formula>
    </cfRule>
    <cfRule type="expression" dxfId="1339" priority="18">
      <formula>Q10&lt;0</formula>
    </cfRule>
  </conditionalFormatting>
  <conditionalFormatting sqref="J31:J44">
    <cfRule type="expression" dxfId="1338" priority="15">
      <formula>J31&gt;0</formula>
    </cfRule>
    <cfRule type="expression" dxfId="1337" priority="16">
      <formula>J31&lt;0</formula>
    </cfRule>
  </conditionalFormatting>
  <conditionalFormatting sqref="K31:K44">
    <cfRule type="expression" dxfId="1336" priority="13">
      <formula>K31&gt;0</formula>
    </cfRule>
    <cfRule type="expression" dxfId="1335" priority="14">
      <formula>K31&lt;0</formula>
    </cfRule>
  </conditionalFormatting>
  <conditionalFormatting sqref="L31:L35 L37:L44">
    <cfRule type="expression" dxfId="1334" priority="11">
      <formula>L31&gt;0</formula>
    </cfRule>
    <cfRule type="expression" dxfId="1333" priority="12">
      <formula>L31&lt;0</formula>
    </cfRule>
  </conditionalFormatting>
  <conditionalFormatting sqref="M31:M44">
    <cfRule type="expression" dxfId="1332" priority="9">
      <formula>M31&gt;0</formula>
    </cfRule>
    <cfRule type="expression" dxfId="1331" priority="10">
      <formula>M31&lt;0</formula>
    </cfRule>
  </conditionalFormatting>
  <conditionalFormatting sqref="F79:F82 H79:H82">
    <cfRule type="expression" dxfId="1330" priority="5">
      <formula>F79&gt;0</formula>
    </cfRule>
    <cfRule type="expression" dxfId="1329" priority="6">
      <formula>F79&lt;0</formula>
    </cfRule>
  </conditionalFormatting>
  <conditionalFormatting sqref="F75:F78 H75:H78">
    <cfRule type="expression" dxfId="1328" priority="3">
      <formula>F75&gt;0</formula>
    </cfRule>
    <cfRule type="expression" dxfId="1327" priority="4">
      <formula>F75&lt;0</formula>
    </cfRule>
  </conditionalFormatting>
  <conditionalFormatting sqref="F71:F74 H71:H74">
    <cfRule type="expression" dxfId="1326" priority="1">
      <formula>F71&gt;0</formula>
    </cfRule>
    <cfRule type="expression" dxfId="1325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692.68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692.68</v>
      </c>
      <c r="R4" s="495">
        <v>3.0000000000000001E-3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207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675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761.94799999999998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755.02120000000002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748.09439999999995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741.16759999999999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734.24080000000004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727.31399999999996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720.38720000000001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713.46039999999994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706.53359999999998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699.60679999999991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692.68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685.75319999999999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678.82639999999992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671.89959999999996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664.97279999999989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658.04599999999994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651.11919999999986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644.19240000000002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637.26559999999995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630.33879999999999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623.41199999999992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734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24" priority="21">
      <formula>F47&gt;0</formula>
    </cfRule>
    <cfRule type="expression" dxfId="1323" priority="22">
      <formula>F47&lt;0</formula>
    </cfRule>
  </conditionalFormatting>
  <conditionalFormatting sqref="Q7">
    <cfRule type="expression" dxfId="1322" priority="19">
      <formula>Q7&gt;0</formula>
    </cfRule>
    <cfRule type="expression" dxfId="1321" priority="20">
      <formula>Q7&lt;0</formula>
    </cfRule>
  </conditionalFormatting>
  <conditionalFormatting sqref="Q8">
    <cfRule type="expression" dxfId="1320" priority="17">
      <formula>Q8&gt;0</formula>
    </cfRule>
    <cfRule type="expression" dxfId="1319" priority="18">
      <formula>Q8&lt;0</formula>
    </cfRule>
  </conditionalFormatting>
  <conditionalFormatting sqref="F25:F46">
    <cfRule type="expression" dxfId="1318" priority="15">
      <formula>F25&gt;0</formula>
    </cfRule>
    <cfRule type="expression" dxfId="1317" priority="16">
      <formula>F25&lt;0</formula>
    </cfRule>
  </conditionalFormatting>
  <conditionalFormatting sqref="H25:H46">
    <cfRule type="expression" dxfId="1316" priority="13">
      <formula>H25&gt;0</formula>
    </cfRule>
    <cfRule type="expression" dxfId="1315" priority="14">
      <formula>H25&lt;0</formula>
    </cfRule>
  </conditionalFormatting>
  <conditionalFormatting sqref="F89:F110">
    <cfRule type="expression" dxfId="1314" priority="11">
      <formula>F89&gt;0</formula>
    </cfRule>
    <cfRule type="expression" dxfId="1313" priority="12">
      <formula>F89&lt;0</formula>
    </cfRule>
  </conditionalFormatting>
  <conditionalFormatting sqref="H89:H110">
    <cfRule type="expression" dxfId="1312" priority="9">
      <formula>H89&gt;0</formula>
    </cfRule>
    <cfRule type="expression" dxfId="1311" priority="10">
      <formula>H89&lt;0</formula>
    </cfRule>
  </conditionalFormatting>
  <conditionalFormatting sqref="Q10">
    <cfRule type="expression" dxfId="1310" priority="7">
      <formula>Q10&gt;0</formula>
    </cfRule>
    <cfRule type="expression" dxfId="1309" priority="8">
      <formula>Q10&lt;0</formula>
    </cfRule>
  </conditionalFormatting>
  <conditionalFormatting sqref="J25:J38">
    <cfRule type="expression" dxfId="1308" priority="5">
      <formula>J25&gt;0</formula>
    </cfRule>
    <cfRule type="expression" dxfId="1307" priority="6">
      <formula>J25&lt;0</formula>
    </cfRule>
  </conditionalFormatting>
  <conditionalFormatting sqref="K25:K38">
    <cfRule type="expression" dxfId="1306" priority="3">
      <formula>K25&gt;0</formula>
    </cfRule>
    <cfRule type="expression" dxfId="1305" priority="4">
      <formula>K25&lt;0</formula>
    </cfRule>
  </conditionalFormatting>
  <conditionalFormatting sqref="L25:L38">
    <cfRule type="expression" dxfId="1304" priority="1">
      <formula>L25&gt;0</formula>
    </cfRule>
    <cfRule type="expression" dxfId="130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945</v>
      </c>
      <c r="B2" s="434">
        <v>43161</v>
      </c>
      <c r="C2" s="7">
        <v>50</v>
      </c>
      <c r="D2" s="43">
        <v>38.78</v>
      </c>
      <c r="E2" s="43">
        <v>0</v>
      </c>
      <c r="F2" s="43">
        <f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53.02</v>
      </c>
      <c r="T3" s="1">
        <v>43161</v>
      </c>
      <c r="U3" t="s">
        <v>989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>C4*D4+E4</f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53.02</v>
      </c>
      <c r="R4" s="495">
        <v>-8.2000000000000007E-3</v>
      </c>
      <c r="T4" s="770"/>
      <c r="U4" s="30" t="s">
        <v>990</v>
      </c>
    </row>
    <row r="5" spans="1:21" x14ac:dyDescent="0.25">
      <c r="B5" s="72"/>
      <c r="C5" s="4"/>
      <c r="D5" s="3"/>
      <c r="E5" s="3"/>
      <c r="F5" s="3"/>
      <c r="G5" s="434">
        <v>43287</v>
      </c>
      <c r="H5" s="80">
        <v>50</v>
      </c>
      <c r="I5" s="43">
        <v>53.08</v>
      </c>
      <c r="J5" s="43">
        <v>0.03</v>
      </c>
      <c r="K5" s="43">
        <f>H5*I5-J5</f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1902.8299999999981</v>
      </c>
      <c r="R7">
        <v>0</v>
      </c>
      <c r="T7" s="1">
        <v>43244</v>
      </c>
      <c r="U7" t="s">
        <v>1099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1902.8299999999981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2.602791399471897E-2</v>
      </c>
      <c r="R11">
        <f>0.345</f>
        <v>0.34499999999999997</v>
      </c>
    </row>
    <row r="12" spans="1:21" x14ac:dyDescent="0.25">
      <c r="H12" s="70"/>
      <c r="O12" s="11" t="s">
        <v>946</v>
      </c>
      <c r="Q12" s="1"/>
    </row>
    <row r="13" spans="1:21" x14ac:dyDescent="0.25">
      <c r="H13" s="70"/>
      <c r="O13" s="11" t="s">
        <v>973</v>
      </c>
      <c r="Q13">
        <f>Q4/4.4</f>
        <v>12.049999999999999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16" ht="15.75" thickTop="1" x14ac:dyDescent="0.25">
      <c r="O17" s="81">
        <v>1.1000000000000001</v>
      </c>
      <c r="P17" s="81">
        <f>O17*$Q$4</f>
        <v>58.32200000000001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250</v>
      </c>
      <c r="I18" s="18"/>
      <c r="J18" s="18"/>
      <c r="K18" s="18">
        <f>SUM(K2:K5)</f>
        <v>11689.829999999998</v>
      </c>
      <c r="L18" s="14"/>
      <c r="M18" s="18">
        <f>SUM(M2:M10)</f>
        <v>69</v>
      </c>
      <c r="O18" s="81">
        <v>1.0900000000000001</v>
      </c>
      <c r="P18" s="81">
        <f t="shared" ref="P18:P37" si="0">O18*$Q$4</f>
        <v>57.791800000000009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9856</v>
      </c>
      <c r="G19" s="343"/>
      <c r="H19" s="343">
        <f>SumByColor($A$19,H2:H17)</f>
        <v>250</v>
      </c>
      <c r="I19" s="343"/>
      <c r="J19" s="343"/>
      <c r="K19" s="344">
        <f>SumByColor($A$19,K2:K17)</f>
        <v>11690</v>
      </c>
      <c r="L19" s="343"/>
      <c r="M19" s="344">
        <f>SumByColor($A$19,M2:M17)</f>
        <v>69</v>
      </c>
      <c r="O19" s="81">
        <v>1.08</v>
      </c>
      <c r="P19" s="81">
        <f t="shared" si="0"/>
        <v>57.261600000000008</v>
      </c>
    </row>
    <row r="20" spans="1:16" x14ac:dyDescent="0.25">
      <c r="O20" s="81">
        <v>1.07</v>
      </c>
      <c r="P20" s="81">
        <f t="shared" si="0"/>
        <v>56.731400000000008</v>
      </c>
    </row>
    <row r="21" spans="1:16" x14ac:dyDescent="0.25">
      <c r="O21" s="81">
        <v>1.06</v>
      </c>
      <c r="P21" s="81">
        <f t="shared" si="0"/>
        <v>56.201200000000007</v>
      </c>
    </row>
    <row r="22" spans="1:16" x14ac:dyDescent="0.25">
      <c r="O22" s="81">
        <v>1.05</v>
      </c>
      <c r="P22" s="81">
        <f t="shared" si="0"/>
        <v>55.671000000000006</v>
      </c>
    </row>
    <row r="23" spans="1:16" x14ac:dyDescent="0.25">
      <c r="O23" s="81">
        <v>1.04</v>
      </c>
      <c r="P23" s="81">
        <f t="shared" si="0"/>
        <v>55.140800000000006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973</v>
      </c>
      <c r="O24" s="81">
        <v>1.03</v>
      </c>
      <c r="P24" s="81">
        <f t="shared" si="0"/>
        <v>54.610600000000005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0"/>
        <v>54.080400000000004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0"/>
        <v>53.550200000000004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0"/>
        <v>53.02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0"/>
        <v>52.489800000000002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0"/>
        <v>51.959600000000002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1">C30*(E30-D30)</f>
        <v>1119.9450000000006</v>
      </c>
      <c r="G30" s="39">
        <f t="shared" ref="G30:G35" si="2">D30*C30</f>
        <v>5537.0549999999994</v>
      </c>
      <c r="H30" s="222">
        <f t="shared" ref="H30:H35" si="3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0"/>
        <v>51.429400000000001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1"/>
        <v>884.94000000000028</v>
      </c>
      <c r="G31" s="39">
        <f t="shared" si="2"/>
        <v>7637.0599999999995</v>
      </c>
      <c r="H31" s="222">
        <f t="shared" si="3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0"/>
        <v>50.8992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1"/>
        <v>765.94000000000051</v>
      </c>
      <c r="G32" s="39">
        <f t="shared" si="2"/>
        <v>7568.0599999999995</v>
      </c>
      <c r="H32" s="222">
        <f t="shared" si="3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0"/>
        <v>50.369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1"/>
        <v>1422.9000000000003</v>
      </c>
      <c r="G33" s="39">
        <f t="shared" si="2"/>
        <v>3080.1</v>
      </c>
      <c r="H33" s="222">
        <f t="shared" si="3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0"/>
        <v>49.838799999999999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1"/>
        <v>1568.3600000000001</v>
      </c>
      <c r="G34" s="39">
        <f t="shared" si="2"/>
        <v>751.14</v>
      </c>
      <c r="H34" s="222">
        <f t="shared" si="3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0"/>
        <v>49.308600000000006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1"/>
        <v>1850.8600000000001</v>
      </c>
      <c r="G35" s="39">
        <f t="shared" si="2"/>
        <v>751.14</v>
      </c>
      <c r="H35" s="222">
        <f t="shared" si="3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0"/>
        <v>48.778400000000005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48.248200000000004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47.718000000000004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02" priority="35">
      <formula>F47&gt;0</formula>
    </cfRule>
    <cfRule type="expression" dxfId="1301" priority="36">
      <formula>F47&lt;0</formula>
    </cfRule>
  </conditionalFormatting>
  <conditionalFormatting sqref="Q7">
    <cfRule type="expression" dxfId="1300" priority="33">
      <formula>Q7&gt;0</formula>
    </cfRule>
    <cfRule type="expression" dxfId="1299" priority="34">
      <formula>Q7&lt;0</formula>
    </cfRule>
  </conditionalFormatting>
  <conditionalFormatting sqref="Q8">
    <cfRule type="expression" dxfId="1298" priority="31">
      <formula>Q8&gt;0</formula>
    </cfRule>
    <cfRule type="expression" dxfId="1297" priority="32">
      <formula>Q8&lt;0</formula>
    </cfRule>
  </conditionalFormatting>
  <conditionalFormatting sqref="F33:F46">
    <cfRule type="expression" dxfId="1296" priority="29">
      <formula>F33&gt;0</formula>
    </cfRule>
    <cfRule type="expression" dxfId="1295" priority="30">
      <formula>F33&lt;0</formula>
    </cfRule>
  </conditionalFormatting>
  <conditionalFormatting sqref="H33:H46">
    <cfRule type="expression" dxfId="1294" priority="27">
      <formula>H33&gt;0</formula>
    </cfRule>
    <cfRule type="expression" dxfId="1293" priority="28">
      <formula>H33&lt;0</formula>
    </cfRule>
  </conditionalFormatting>
  <conditionalFormatting sqref="Q10">
    <cfRule type="expression" dxfId="1292" priority="25">
      <formula>Q10&gt;0</formula>
    </cfRule>
    <cfRule type="expression" dxfId="1291" priority="26">
      <formula>Q10&lt;0</formula>
    </cfRule>
  </conditionalFormatting>
  <conditionalFormatting sqref="J25:J38">
    <cfRule type="expression" dxfId="1290" priority="23">
      <formula>J25&gt;0</formula>
    </cfRule>
    <cfRule type="expression" dxfId="1289" priority="24">
      <formula>J25&lt;0</formula>
    </cfRule>
  </conditionalFormatting>
  <conditionalFormatting sqref="K25:K38">
    <cfRule type="expression" dxfId="1288" priority="21">
      <formula>K25&gt;0</formula>
    </cfRule>
    <cfRule type="expression" dxfId="1287" priority="22">
      <formula>K25&lt;0</formula>
    </cfRule>
  </conditionalFormatting>
  <conditionalFormatting sqref="L25">
    <cfRule type="expression" dxfId="1286" priority="19">
      <formula>L25&gt;0</formula>
    </cfRule>
    <cfRule type="expression" dxfId="1285" priority="20">
      <formula>L25&lt;0</formula>
    </cfRule>
  </conditionalFormatting>
  <conditionalFormatting sqref="F89:F110">
    <cfRule type="expression" dxfId="1284" priority="17">
      <formula>F89&gt;0</formula>
    </cfRule>
    <cfRule type="expression" dxfId="1283" priority="18">
      <formula>F89&lt;0</formula>
    </cfRule>
  </conditionalFormatting>
  <conditionalFormatting sqref="H89:H110">
    <cfRule type="expression" dxfId="1282" priority="15">
      <formula>H89&gt;0</formula>
    </cfRule>
    <cfRule type="expression" dxfId="1281" priority="16">
      <formula>H89&lt;0</formula>
    </cfRule>
  </conditionalFormatting>
  <conditionalFormatting sqref="J89:J102">
    <cfRule type="expression" dxfId="1280" priority="13">
      <formula>J89&gt;0</formula>
    </cfRule>
    <cfRule type="expression" dxfId="1279" priority="14">
      <formula>J89&lt;0</formula>
    </cfRule>
  </conditionalFormatting>
  <conditionalFormatting sqref="K89:K102">
    <cfRule type="expression" dxfId="1278" priority="11">
      <formula>K89&gt;0</formula>
    </cfRule>
    <cfRule type="expression" dxfId="1277" priority="12">
      <formula>K89&lt;0</formula>
    </cfRule>
  </conditionalFormatting>
  <conditionalFormatting sqref="L89:L102">
    <cfRule type="expression" dxfId="1276" priority="9">
      <formula>L89&gt;0</formula>
    </cfRule>
    <cfRule type="expression" dxfId="1275" priority="10">
      <formula>L89&lt;0</formula>
    </cfRule>
  </conditionalFormatting>
  <conditionalFormatting sqref="F29:F32">
    <cfRule type="expression" dxfId="1274" priority="7">
      <formula>F29&gt;0</formula>
    </cfRule>
    <cfRule type="expression" dxfId="1273" priority="8">
      <formula>F29&lt;0</formula>
    </cfRule>
  </conditionalFormatting>
  <conditionalFormatting sqref="H29:H32">
    <cfRule type="expression" dxfId="1272" priority="5">
      <formula>H29&gt;0</formula>
    </cfRule>
    <cfRule type="expression" dxfId="1271" priority="6">
      <formula>H29&lt;0</formula>
    </cfRule>
  </conditionalFormatting>
  <conditionalFormatting sqref="F25:F28">
    <cfRule type="expression" dxfId="1270" priority="3">
      <formula>F25&gt;0</formula>
    </cfRule>
    <cfRule type="expression" dxfId="1269" priority="4">
      <formula>F25&lt;0</formula>
    </cfRule>
  </conditionalFormatting>
  <conditionalFormatting sqref="H25:H28">
    <cfRule type="expression" dxfId="1268" priority="1">
      <formula>H25&gt;0</formula>
    </cfRule>
    <cfRule type="expression" dxfId="12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944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226</v>
      </c>
      <c r="R4" s="495">
        <v>-6.1999999999999998E-3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7.7876106194690268E-3</v>
      </c>
      <c r="R11">
        <v>1.76</v>
      </c>
    </row>
    <row r="12" spans="1:21" x14ac:dyDescent="0.25">
      <c r="H12" s="70"/>
      <c r="O12" s="11" t="s">
        <v>995</v>
      </c>
      <c r="Q12" s="29"/>
    </row>
    <row r="13" spans="1:21" x14ac:dyDescent="0.25">
      <c r="H13" s="70"/>
      <c r="O13" s="11" t="s">
        <v>973</v>
      </c>
      <c r="Q13">
        <f>Q4/8.62</f>
        <v>26.218097447795827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675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248.60000000000002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246.34000000000003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244.08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241.82000000000002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239.56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237.3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235.04000000000002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232.78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230.52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228.26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226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223.74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221.48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219.22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216.95999999999998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214.7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212.44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210.18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207.92000000000002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205.66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203.4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6" priority="31">
      <formula>F47&gt;0</formula>
    </cfRule>
    <cfRule type="expression" dxfId="1265" priority="32">
      <formula>F47&lt;0</formula>
    </cfRule>
  </conditionalFormatting>
  <conditionalFormatting sqref="Q7">
    <cfRule type="expression" dxfId="1264" priority="29">
      <formula>Q7&gt;0</formula>
    </cfRule>
    <cfRule type="expression" dxfId="1263" priority="30">
      <formula>Q7&lt;0</formula>
    </cfRule>
  </conditionalFormatting>
  <conditionalFormatting sqref="Q8">
    <cfRule type="expression" dxfId="1262" priority="27">
      <formula>Q8&gt;0</formula>
    </cfRule>
    <cfRule type="expression" dxfId="1261" priority="28">
      <formula>Q8&lt;0</formula>
    </cfRule>
  </conditionalFormatting>
  <conditionalFormatting sqref="F30:F46">
    <cfRule type="expression" dxfId="1260" priority="25">
      <formula>F30&gt;0</formula>
    </cfRule>
    <cfRule type="expression" dxfId="1259" priority="26">
      <formula>F30&lt;0</formula>
    </cfRule>
  </conditionalFormatting>
  <conditionalFormatting sqref="H30:H46">
    <cfRule type="expression" dxfId="1258" priority="23">
      <formula>H30&gt;0</formula>
    </cfRule>
    <cfRule type="expression" dxfId="1257" priority="24">
      <formula>H30&lt;0</formula>
    </cfRule>
  </conditionalFormatting>
  <conditionalFormatting sqref="Q10">
    <cfRule type="expression" dxfId="1256" priority="21">
      <formula>Q10&gt;0</formula>
    </cfRule>
    <cfRule type="expression" dxfId="1255" priority="22">
      <formula>Q10&lt;0</formula>
    </cfRule>
  </conditionalFormatting>
  <conditionalFormatting sqref="J25:J38">
    <cfRule type="expression" dxfId="1254" priority="19">
      <formula>J25&gt;0</formula>
    </cfRule>
    <cfRule type="expression" dxfId="1253" priority="20">
      <formula>J25&lt;0</formula>
    </cfRule>
  </conditionalFormatting>
  <conditionalFormatting sqref="K25:K38">
    <cfRule type="expression" dxfId="1252" priority="17">
      <formula>K25&gt;0</formula>
    </cfRule>
    <cfRule type="expression" dxfId="1251" priority="18">
      <formula>K25&lt;0</formula>
    </cfRule>
  </conditionalFormatting>
  <conditionalFormatting sqref="L25:L38">
    <cfRule type="expression" dxfId="1250" priority="15">
      <formula>L25&gt;0</formula>
    </cfRule>
    <cfRule type="expression" dxfId="1249" priority="16">
      <formula>L25&lt;0</formula>
    </cfRule>
  </conditionalFormatting>
  <conditionalFormatting sqref="F89:F110">
    <cfRule type="expression" dxfId="1248" priority="13">
      <formula>F89&gt;0</formula>
    </cfRule>
    <cfRule type="expression" dxfId="1247" priority="14">
      <formula>F89&lt;0</formula>
    </cfRule>
  </conditionalFormatting>
  <conditionalFormatting sqref="H89:H110">
    <cfRule type="expression" dxfId="1246" priority="11">
      <formula>H89&gt;0</formula>
    </cfRule>
    <cfRule type="expression" dxfId="1245" priority="12">
      <formula>H89&lt;0</formula>
    </cfRule>
  </conditionalFormatting>
  <conditionalFormatting sqref="J89:J102">
    <cfRule type="expression" dxfId="1244" priority="9">
      <formula>J89&gt;0</formula>
    </cfRule>
    <cfRule type="expression" dxfId="1243" priority="10">
      <formula>J89&lt;0</formula>
    </cfRule>
  </conditionalFormatting>
  <conditionalFormatting sqref="K89:K102">
    <cfRule type="expression" dxfId="1242" priority="7">
      <formula>K89&gt;0</formula>
    </cfRule>
    <cfRule type="expression" dxfId="1241" priority="8">
      <formula>K89&lt;0</formula>
    </cfRule>
  </conditionalFormatting>
  <conditionalFormatting sqref="L89:L102">
    <cfRule type="expression" dxfId="1240" priority="5">
      <formula>L89&gt;0</formula>
    </cfRule>
    <cfRule type="expression" dxfId="1239" priority="6">
      <formula>L89&lt;0</formula>
    </cfRule>
  </conditionalFormatting>
  <conditionalFormatting sqref="F25:F29">
    <cfRule type="expression" dxfId="1238" priority="3">
      <formula>F25&gt;0</formula>
    </cfRule>
    <cfRule type="expression" dxfId="1237" priority="4">
      <formula>F25&lt;0</formula>
    </cfRule>
  </conditionalFormatting>
  <conditionalFormatting sqref="H25:H29">
    <cfRule type="expression" dxfId="1236" priority="1">
      <formula>H25&gt;0</formula>
    </cfRule>
    <cfRule type="expression" dxfId="123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941</v>
      </c>
      <c r="B2" s="434">
        <v>43151</v>
      </c>
      <c r="C2" s="7">
        <v>50</v>
      </c>
      <c r="D2" s="43">
        <v>68.22</v>
      </c>
      <c r="E2" s="43">
        <v>0</v>
      </c>
      <c r="F2" s="43">
        <f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>C3*D3+E3</f>
        <v>3055</v>
      </c>
      <c r="G3" s="72"/>
      <c r="H3" s="176"/>
      <c r="I3" s="3"/>
      <c r="J3" s="3"/>
      <c r="K3" s="3"/>
      <c r="L3" s="72">
        <v>43266</v>
      </c>
      <c r="M3" s="7">
        <v>62.5</v>
      </c>
      <c r="O3" s="11" t="s">
        <v>58</v>
      </c>
      <c r="Q3" s="221">
        <f>IF(Q2=0, Q4, (F18-K18-M18)/Q2)</f>
        <v>64</v>
      </c>
      <c r="T3" s="1">
        <v>43223</v>
      </c>
      <c r="U3" t="s">
        <v>1054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64</v>
      </c>
      <c r="R4" s="495">
        <v>5.0000000000000001E-4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43248</v>
      </c>
      <c r="U5" t="s">
        <v>1114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77.670000000000073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77.670000000000073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3.90625E-2</v>
      </c>
      <c r="R11">
        <f>0.625</f>
        <v>0.625</v>
      </c>
    </row>
    <row r="12" spans="1:21" x14ac:dyDescent="0.25">
      <c r="H12" s="70"/>
      <c r="O12" s="11" t="s">
        <v>1010</v>
      </c>
      <c r="Q12" s="1"/>
    </row>
    <row r="13" spans="1:21" x14ac:dyDescent="0.25">
      <c r="H13" s="70"/>
      <c r="O13" s="11" t="s">
        <v>973</v>
      </c>
      <c r="Q13">
        <f>Q4/3.79</f>
        <v>16.886543535620053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100</v>
      </c>
      <c r="I18" s="18"/>
      <c r="J18" s="18"/>
      <c r="K18" s="18">
        <f>SUM(K2:K5)</f>
        <v>6449.92</v>
      </c>
      <c r="L18" s="14"/>
      <c r="M18" s="18">
        <f>SUM(M2:M10)</f>
        <v>93.75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6466</v>
      </c>
      <c r="G19" s="343"/>
      <c r="H19" s="343">
        <f>SumByColor($A$19,H2:H17)</f>
        <v>100</v>
      </c>
      <c r="I19" s="343"/>
      <c r="J19" s="343"/>
      <c r="K19" s="344">
        <f>SumByColor($A$19,K2:K17)</f>
        <v>6450</v>
      </c>
      <c r="L19" s="343"/>
      <c r="M19" s="344">
        <f>SumByColor($A$19,M2:M17)</f>
        <v>94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973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0">C25*(E25-D25)</f>
        <v>-10.999999999999943</v>
      </c>
      <c r="G25" s="39">
        <f t="shared" ref="G25:G33" si="1">D25*C25</f>
        <v>3411</v>
      </c>
      <c r="H25" s="222">
        <f t="shared" ref="H25:H33" si="2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0"/>
        <v>-355.99999999999955</v>
      </c>
      <c r="G26" s="39">
        <f t="shared" si="1"/>
        <v>6466</v>
      </c>
      <c r="H26" s="222">
        <f t="shared" si="2"/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0"/>
        <v>-431.74999999999955</v>
      </c>
      <c r="G27" s="39">
        <f t="shared" si="1"/>
        <v>6434.75</v>
      </c>
      <c r="H27" s="222">
        <f t="shared" si="2"/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0"/>
        <v>-269.74999999999977</v>
      </c>
      <c r="G28" s="39">
        <f t="shared" si="1"/>
        <v>6434.75</v>
      </c>
      <c r="H28" s="222">
        <f t="shared" si="2"/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0"/>
        <v>-364.74999999999937</v>
      </c>
      <c r="G29" s="39">
        <f t="shared" si="1"/>
        <v>6434.75</v>
      </c>
      <c r="H29" s="222">
        <f t="shared" si="2"/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0"/>
        <v>-1014.7499999999993</v>
      </c>
      <c r="G30" s="39">
        <f t="shared" si="1"/>
        <v>6434.75</v>
      </c>
      <c r="H30" s="222">
        <f t="shared" si="2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0"/>
        <v>-530.99999999999955</v>
      </c>
      <c r="G31" s="39">
        <f t="shared" si="1"/>
        <v>6434.9999999999991</v>
      </c>
      <c r="H31" s="222">
        <f t="shared" si="2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0"/>
        <v>-789.74999999999932</v>
      </c>
      <c r="G32" s="39">
        <f t="shared" si="1"/>
        <v>6434.75</v>
      </c>
      <c r="H32" s="222">
        <f t="shared" si="2"/>
        <v>-0.12273204087182865</v>
      </c>
      <c r="I32" s="39"/>
      <c r="J32" s="39"/>
      <c r="K32" s="39"/>
      <c r="L32" s="155"/>
    </row>
    <row r="33" spans="1:17" x14ac:dyDescent="0.25">
      <c r="A33">
        <v>100</v>
      </c>
      <c r="B33" s="184">
        <v>43266</v>
      </c>
      <c r="C33" s="10">
        <v>100</v>
      </c>
      <c r="D33" s="39">
        <v>63.722499999999997</v>
      </c>
      <c r="E33" s="39">
        <v>61.61</v>
      </c>
      <c r="F33" s="39">
        <f t="shared" si="0"/>
        <v>-211.24999999999972</v>
      </c>
      <c r="G33" s="39">
        <f t="shared" si="1"/>
        <v>6372.25</v>
      </c>
      <c r="H33" s="222">
        <f t="shared" si="2"/>
        <v>-3.3151555572992229E-2</v>
      </c>
      <c r="I33" s="39"/>
      <c r="J33" s="39"/>
      <c r="K33" s="39"/>
      <c r="L33" s="39">
        <v>16.2559</v>
      </c>
    </row>
    <row r="34" spans="1:17" x14ac:dyDescent="0.25">
      <c r="B34" s="184">
        <v>43287</v>
      </c>
      <c r="C34" s="10">
        <v>0</v>
      </c>
      <c r="D34" s="39"/>
      <c r="E34" s="39"/>
      <c r="F34" s="39">
        <v>77.67</v>
      </c>
      <c r="G34" s="39"/>
      <c r="H34" s="222"/>
      <c r="I34" s="39"/>
      <c r="J34" s="39"/>
      <c r="K34" s="39"/>
      <c r="L34" s="727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70.400000000000006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69.760000000000005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69.12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68.48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67.84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67.2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66.56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65.92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65.28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64.64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64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63.36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62.72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62.08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61.44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60.8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60.16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59.52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58.88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58.24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57.6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4" priority="31">
      <formula>F47&gt;0</formula>
    </cfRule>
    <cfRule type="expression" dxfId="1233" priority="32">
      <formula>F47&lt;0</formula>
    </cfRule>
  </conditionalFormatting>
  <conditionalFormatting sqref="Q7">
    <cfRule type="expression" dxfId="1232" priority="29">
      <formula>Q7&gt;0</formula>
    </cfRule>
    <cfRule type="expression" dxfId="1231" priority="30">
      <formula>Q7&lt;0</formula>
    </cfRule>
  </conditionalFormatting>
  <conditionalFormatting sqref="Q8">
    <cfRule type="expression" dxfId="1230" priority="27">
      <formula>Q8&gt;0</formula>
    </cfRule>
    <cfRule type="expression" dxfId="1229" priority="28">
      <formula>Q8&lt;0</formula>
    </cfRule>
  </conditionalFormatting>
  <conditionalFormatting sqref="F30:F46">
    <cfRule type="expression" dxfId="1228" priority="25">
      <formula>F30&gt;0</formula>
    </cfRule>
    <cfRule type="expression" dxfId="1227" priority="26">
      <formula>F30&lt;0</formula>
    </cfRule>
  </conditionalFormatting>
  <conditionalFormatting sqref="H30:H46">
    <cfRule type="expression" dxfId="1226" priority="23">
      <formula>H30&gt;0</formula>
    </cfRule>
    <cfRule type="expression" dxfId="1225" priority="24">
      <formula>H30&lt;0</formula>
    </cfRule>
  </conditionalFormatting>
  <conditionalFormatting sqref="Q10">
    <cfRule type="expression" dxfId="1224" priority="21">
      <formula>Q10&gt;0</formula>
    </cfRule>
    <cfRule type="expression" dxfId="1223" priority="22">
      <formula>Q10&lt;0</formula>
    </cfRule>
  </conditionalFormatting>
  <conditionalFormatting sqref="J25:J38">
    <cfRule type="expression" dxfId="1222" priority="19">
      <formula>J25&gt;0</formula>
    </cfRule>
    <cfRule type="expression" dxfId="1221" priority="20">
      <formula>J25&lt;0</formula>
    </cfRule>
  </conditionalFormatting>
  <conditionalFormatting sqref="K25:K38">
    <cfRule type="expression" dxfId="1220" priority="17">
      <formula>K25&gt;0</formula>
    </cfRule>
    <cfRule type="expression" dxfId="1219" priority="18">
      <formula>K25&lt;0</formula>
    </cfRule>
  </conditionalFormatting>
  <conditionalFormatting sqref="L25:L32 L34:L38">
    <cfRule type="expression" dxfId="1218" priority="15">
      <formula>L25&gt;0</formula>
    </cfRule>
    <cfRule type="expression" dxfId="1217" priority="16">
      <formula>L25&lt;0</formula>
    </cfRule>
  </conditionalFormatting>
  <conditionalFormatting sqref="F89:F110">
    <cfRule type="expression" dxfId="1216" priority="13">
      <formula>F89&gt;0</formula>
    </cfRule>
    <cfRule type="expression" dxfId="1215" priority="14">
      <formula>F89&lt;0</formula>
    </cfRule>
  </conditionalFormatting>
  <conditionalFormatting sqref="H89:H110">
    <cfRule type="expression" dxfId="1214" priority="11">
      <formula>H89&gt;0</formula>
    </cfRule>
    <cfRule type="expression" dxfId="1213" priority="12">
      <formula>H89&lt;0</formula>
    </cfRule>
  </conditionalFormatting>
  <conditionalFormatting sqref="J89:J102">
    <cfRule type="expression" dxfId="1212" priority="9">
      <formula>J89&gt;0</formula>
    </cfRule>
    <cfRule type="expression" dxfId="1211" priority="10">
      <formula>J89&lt;0</formula>
    </cfRule>
  </conditionalFormatting>
  <conditionalFormatting sqref="K89:K102">
    <cfRule type="expression" dxfId="1210" priority="7">
      <formula>K89&gt;0</formula>
    </cfRule>
    <cfRule type="expression" dxfId="1209" priority="8">
      <formula>K89&lt;0</formula>
    </cfRule>
  </conditionalFormatting>
  <conditionalFormatting sqref="L89:L102">
    <cfRule type="expression" dxfId="1208" priority="5">
      <formula>L89&gt;0</formula>
    </cfRule>
    <cfRule type="expression" dxfId="1207" priority="6">
      <formula>L89&lt;0</formula>
    </cfRule>
  </conditionalFormatting>
  <conditionalFormatting sqref="F25:F29">
    <cfRule type="expression" dxfId="1206" priority="3">
      <formula>F25&gt;0</formula>
    </cfRule>
    <cfRule type="expression" dxfId="1205" priority="4">
      <formula>F25&lt;0</formula>
    </cfRule>
  </conditionalFormatting>
  <conditionalFormatting sqref="H25:H29">
    <cfRule type="expression" dxfId="1204" priority="1">
      <formula>H25&gt;0</formula>
    </cfRule>
    <cfRule type="expression" dxfId="120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921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926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36.409999999999997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36.409999999999997</v>
      </c>
      <c r="R4" s="495">
        <v>0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7.2507552870090641E-2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16" ht="15.75" thickTop="1" x14ac:dyDescent="0.25">
      <c r="O17" s="81">
        <v>1.1000000000000001</v>
      </c>
      <c r="P17" s="81">
        <f>O17*$Q$4</f>
        <v>40.051000000000002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39.686900000000001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39.322800000000001</v>
      </c>
    </row>
    <row r="20" spans="1:16" x14ac:dyDescent="0.25">
      <c r="O20" s="81">
        <v>1.07</v>
      </c>
      <c r="P20" s="81">
        <f t="shared" si="0"/>
        <v>38.9587</v>
      </c>
    </row>
    <row r="21" spans="1:16" x14ac:dyDescent="0.25">
      <c r="O21" s="81">
        <v>1.06</v>
      </c>
      <c r="P21" s="81">
        <f t="shared" si="0"/>
        <v>38.5946</v>
      </c>
    </row>
    <row r="22" spans="1:16" x14ac:dyDescent="0.25">
      <c r="O22" s="81">
        <v>1.05</v>
      </c>
      <c r="P22" s="81">
        <f t="shared" si="0"/>
        <v>38.230499999999999</v>
      </c>
    </row>
    <row r="23" spans="1:16" x14ac:dyDescent="0.25">
      <c r="O23" s="81">
        <v>1.04</v>
      </c>
      <c r="P23" s="81">
        <f t="shared" si="0"/>
        <v>37.866399999999999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675</v>
      </c>
      <c r="O24" s="81">
        <v>1.03</v>
      </c>
      <c r="P24" s="81">
        <f t="shared" si="0"/>
        <v>37.502299999999998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37.138199999999998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36.774099999999997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36.409999999999997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36.045899999999996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35.681799999999996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35.317699999999995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34.953599999999994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34.589499999999994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34.225399999999993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33.8613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33.497199999999999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33.133099999999999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32.768999999999998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2" priority="35">
      <formula>F47&gt;0</formula>
    </cfRule>
    <cfRule type="expression" dxfId="1201" priority="36">
      <formula>F47&lt;0</formula>
    </cfRule>
  </conditionalFormatting>
  <conditionalFormatting sqref="Q7">
    <cfRule type="expression" dxfId="1200" priority="33">
      <formula>Q7&gt;0</formula>
    </cfRule>
    <cfRule type="expression" dxfId="1199" priority="34">
      <formula>Q7&lt;0</formula>
    </cfRule>
  </conditionalFormatting>
  <conditionalFormatting sqref="Q8">
    <cfRule type="expression" dxfId="1198" priority="31">
      <formula>Q8&gt;0</formula>
    </cfRule>
    <cfRule type="expression" dxfId="1197" priority="32">
      <formula>Q8&lt;0</formula>
    </cfRule>
  </conditionalFormatting>
  <conditionalFormatting sqref="F32:F46">
    <cfRule type="expression" dxfId="1196" priority="29">
      <formula>F32&gt;0</formula>
    </cfRule>
    <cfRule type="expression" dxfId="1195" priority="30">
      <formula>F32&lt;0</formula>
    </cfRule>
  </conditionalFormatting>
  <conditionalFormatting sqref="H32:H46">
    <cfRule type="expression" dxfId="1194" priority="27">
      <formula>H32&gt;0</formula>
    </cfRule>
    <cfRule type="expression" dxfId="1193" priority="28">
      <formula>H32&lt;0</formula>
    </cfRule>
  </conditionalFormatting>
  <conditionalFormatting sqref="Q10">
    <cfRule type="expression" dxfId="1192" priority="25">
      <formula>Q10&gt;0</formula>
    </cfRule>
    <cfRule type="expression" dxfId="1191" priority="26">
      <formula>Q10&lt;0</formula>
    </cfRule>
  </conditionalFormatting>
  <conditionalFormatting sqref="J25:J38">
    <cfRule type="expression" dxfId="1190" priority="23">
      <formula>J25&gt;0</formula>
    </cfRule>
    <cfRule type="expression" dxfId="1189" priority="24">
      <formula>J25&lt;0</formula>
    </cfRule>
  </conditionalFormatting>
  <conditionalFormatting sqref="K25:K38">
    <cfRule type="expression" dxfId="1188" priority="21">
      <formula>K25&gt;0</formula>
    </cfRule>
    <cfRule type="expression" dxfId="1187" priority="22">
      <formula>K25&lt;0</formula>
    </cfRule>
  </conditionalFormatting>
  <conditionalFormatting sqref="L25:L38">
    <cfRule type="expression" dxfId="1186" priority="19">
      <formula>L25&gt;0</formula>
    </cfRule>
    <cfRule type="expression" dxfId="1185" priority="20">
      <formula>L25&lt;0</formula>
    </cfRule>
  </conditionalFormatting>
  <conditionalFormatting sqref="F89:F110">
    <cfRule type="expression" dxfId="1184" priority="17">
      <formula>F89&gt;0</formula>
    </cfRule>
    <cfRule type="expression" dxfId="1183" priority="18">
      <formula>F89&lt;0</formula>
    </cfRule>
  </conditionalFormatting>
  <conditionalFormatting sqref="H89:H110">
    <cfRule type="expression" dxfId="1182" priority="15">
      <formula>H89&gt;0</formula>
    </cfRule>
    <cfRule type="expression" dxfId="1181" priority="16">
      <formula>H89&lt;0</formula>
    </cfRule>
  </conditionalFormatting>
  <conditionalFormatting sqref="J89:J102">
    <cfRule type="expression" dxfId="1180" priority="13">
      <formula>J89&gt;0</formula>
    </cfRule>
    <cfRule type="expression" dxfId="1179" priority="14">
      <formula>J89&lt;0</formula>
    </cfRule>
  </conditionalFormatting>
  <conditionalFormatting sqref="K89:K102">
    <cfRule type="expression" dxfId="1178" priority="11">
      <formula>K89&gt;0</formula>
    </cfRule>
    <cfRule type="expression" dxfId="1177" priority="12">
      <formula>K89&lt;0</formula>
    </cfRule>
  </conditionalFormatting>
  <conditionalFormatting sqref="L89:L102">
    <cfRule type="expression" dxfId="1176" priority="9">
      <formula>L89&gt;0</formula>
    </cfRule>
    <cfRule type="expression" dxfId="1175" priority="10">
      <formula>L89&lt;0</formula>
    </cfRule>
  </conditionalFormatting>
  <conditionalFormatting sqref="F25:F28">
    <cfRule type="expression" dxfId="1174" priority="7">
      <formula>F25&gt;0</formula>
    </cfRule>
    <cfRule type="expression" dxfId="1173" priority="8">
      <formula>F25&lt;0</formula>
    </cfRule>
  </conditionalFormatting>
  <conditionalFormatting sqref="H25:H28">
    <cfRule type="expression" dxfId="1172" priority="5">
      <formula>H25&gt;0</formula>
    </cfRule>
    <cfRule type="expression" dxfId="1171" priority="6">
      <formula>H25&lt;0</formula>
    </cfRule>
  </conditionalFormatting>
  <conditionalFormatting sqref="F29:F31">
    <cfRule type="expression" dxfId="1170" priority="3">
      <formula>F29&gt;0</formula>
    </cfRule>
    <cfRule type="expression" dxfId="1169" priority="4">
      <formula>F29&lt;0</formula>
    </cfRule>
  </conditionalFormatting>
  <conditionalFormatting sqref="H29:H31">
    <cfRule type="expression" dxfId="1168" priority="1">
      <formula>H29&gt;0</formula>
    </cfRule>
    <cfRule type="expression" dxfId="1167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918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9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70</v>
      </c>
      <c r="T2" s="1" t="s">
        <v>963</v>
      </c>
      <c r="U2" t="s">
        <v>1076</v>
      </c>
    </row>
    <row r="3" spans="1:21" x14ac:dyDescent="0.25">
      <c r="A3" s="22" t="s">
        <v>71</v>
      </c>
      <c r="B3" s="434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>H3*I3-J3</f>
        <v>6499.92</v>
      </c>
      <c r="L3" s="4"/>
      <c r="M3" s="4"/>
      <c r="O3" s="11" t="s">
        <v>58</v>
      </c>
      <c r="Q3" s="221">
        <f>IF(Q2=0, Q4, (F18-K18-M18)/Q2)</f>
        <v>125.24485714285711</v>
      </c>
      <c r="T3" s="1"/>
    </row>
    <row r="4" spans="1:21" x14ac:dyDescent="0.25">
      <c r="B4" s="434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>H4*I4-J4</f>
        <v>2718.96</v>
      </c>
      <c r="L4" s="4"/>
      <c r="M4" s="4"/>
      <c r="O4" s="11" t="s">
        <v>66</v>
      </c>
      <c r="Q4" s="54">
        <v>132.32990000000001</v>
      </c>
      <c r="R4" s="495">
        <v>-1.5800000000000002E-2</v>
      </c>
      <c r="T4" s="770">
        <v>43193</v>
      </c>
      <c r="U4" s="30" t="s">
        <v>970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>H5*I5-J5</f>
        <v>3920.35</v>
      </c>
      <c r="L5" s="4"/>
      <c r="M5" s="4"/>
      <c r="O5" s="11" t="s">
        <v>67</v>
      </c>
      <c r="Q5" s="3">
        <f>Q4*Q2</f>
        <v>9263.0930000000008</v>
      </c>
      <c r="U5" s="475" t="s">
        <v>1001</v>
      </c>
    </row>
    <row r="6" spans="1:21" x14ac:dyDescent="0.25">
      <c r="B6" s="47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8767.1399999999976</v>
      </c>
    </row>
    <row r="7" spans="1:21" x14ac:dyDescent="0.25">
      <c r="B7" s="474">
        <v>43284</v>
      </c>
      <c r="C7" s="4">
        <v>20</v>
      </c>
      <c r="D7" s="3">
        <v>132.69999999999999</v>
      </c>
      <c r="E7" s="3">
        <v>0</v>
      </c>
      <c r="F7" s="3">
        <f t="shared" si="0"/>
        <v>2654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495.95300000000316</v>
      </c>
      <c r="R7" s="29">
        <v>43311</v>
      </c>
      <c r="T7" s="1">
        <v>43221</v>
      </c>
      <c r="U7" s="821" t="s">
        <v>1041</v>
      </c>
    </row>
    <row r="8" spans="1:21" x14ac:dyDescent="0.25">
      <c r="B8" s="474">
        <v>43286</v>
      </c>
      <c r="C8" s="4">
        <v>20</v>
      </c>
      <c r="D8" s="3">
        <v>127.58</v>
      </c>
      <c r="E8" s="3">
        <v>0</v>
      </c>
      <c r="F8" s="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495.95300000000316</v>
      </c>
      <c r="U8" t="s">
        <v>1042</v>
      </c>
    </row>
    <row r="9" spans="1:21" x14ac:dyDescent="0.25">
      <c r="B9" s="474">
        <v>43286</v>
      </c>
      <c r="C9" s="4">
        <v>10</v>
      </c>
      <c r="D9" s="3">
        <v>126.28</v>
      </c>
      <c r="E9" s="3">
        <v>0</v>
      </c>
      <c r="F9" s="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5.6569531226831477E-2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3.9295729838834609E-3</v>
      </c>
      <c r="R11">
        <v>0.13</v>
      </c>
      <c r="T11" s="1">
        <v>43228</v>
      </c>
      <c r="U11" t="s">
        <v>1075</v>
      </c>
    </row>
    <row r="12" spans="1:21" x14ac:dyDescent="0.25">
      <c r="H12" s="70"/>
      <c r="O12" s="11" t="s">
        <v>946</v>
      </c>
      <c r="Q12" s="1" t="s">
        <v>1213</v>
      </c>
    </row>
    <row r="13" spans="1:21" x14ac:dyDescent="0.25">
      <c r="H13" s="70"/>
      <c r="O13" s="11" t="s">
        <v>973</v>
      </c>
      <c r="Q13">
        <f>Q4/8.62</f>
        <v>15.35149651972158</v>
      </c>
      <c r="T13" s="1">
        <v>43260</v>
      </c>
      <c r="U13" t="s">
        <v>1126</v>
      </c>
    </row>
    <row r="14" spans="1:21" x14ac:dyDescent="0.25">
      <c r="H14" s="70"/>
    </row>
    <row r="15" spans="1:21" x14ac:dyDescent="0.25">
      <c r="H15" s="70"/>
      <c r="T15" s="1">
        <v>43263</v>
      </c>
      <c r="U15" t="s">
        <v>1128</v>
      </c>
    </row>
    <row r="16" spans="1:21" x14ac:dyDescent="0.25">
      <c r="H16" s="70"/>
    </row>
    <row r="17" spans="1:21" x14ac:dyDescent="0.25">
      <c r="T17" s="1">
        <v>43264</v>
      </c>
      <c r="U17" t="s">
        <v>1131</v>
      </c>
    </row>
    <row r="18" spans="1:21" ht="20.25" thickBot="1" x14ac:dyDescent="0.35">
      <c r="A18" s="31" t="s">
        <v>81</v>
      </c>
      <c r="B18" s="14"/>
      <c r="C18" s="14">
        <f>SUM(C2:C10)</f>
        <v>190</v>
      </c>
      <c r="D18" s="18"/>
      <c r="E18" s="18"/>
      <c r="F18" s="18">
        <f>SUM(F2:F10)</f>
        <v>24943.999999999996</v>
      </c>
      <c r="G18" s="14"/>
      <c r="H18" s="71">
        <f>SUM(H2:H5)</f>
        <v>120</v>
      </c>
      <c r="I18" s="18"/>
      <c r="J18" s="18"/>
      <c r="K18" s="18">
        <f>SUM(K2:K5)</f>
        <v>16170.359999999999</v>
      </c>
      <c r="L18" s="14"/>
      <c r="M18" s="18">
        <f>SUM(M2:M10)</f>
        <v>6.5</v>
      </c>
      <c r="O18" s="777" t="s">
        <v>78</v>
      </c>
      <c r="P18" s="777"/>
      <c r="U18" t="s">
        <v>1132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11414</v>
      </c>
      <c r="G19" s="343"/>
      <c r="H19" s="343">
        <f>SumByColor($A$19,H2:H17)</f>
        <v>120</v>
      </c>
      <c r="I19" s="343"/>
      <c r="J19" s="343"/>
      <c r="K19" s="344">
        <f>SumByColor($A$19,K2:K17)</f>
        <v>16170</v>
      </c>
      <c r="L19" s="343"/>
      <c r="M19" s="344">
        <f>SumByColor($A$19,M2:M17)</f>
        <v>6</v>
      </c>
      <c r="O19" s="81">
        <v>1.1000000000000001</v>
      </c>
      <c r="P19" s="81">
        <f>O19*$Q$4</f>
        <v>145.56289000000001</v>
      </c>
    </row>
    <row r="20" spans="1:21" x14ac:dyDescent="0.25">
      <c r="O20" s="81">
        <v>1.0900000000000001</v>
      </c>
      <c r="P20" s="81">
        <f t="shared" ref="P20:P39" si="1">O20*$Q$4</f>
        <v>144.23959100000002</v>
      </c>
      <c r="T20" s="1">
        <v>43279</v>
      </c>
      <c r="U20" t="s">
        <v>1149</v>
      </c>
    </row>
    <row r="21" spans="1:21" x14ac:dyDescent="0.25">
      <c r="O21" s="81">
        <v>1.08</v>
      </c>
      <c r="P21" s="81">
        <f t="shared" si="1"/>
        <v>142.91629200000003</v>
      </c>
    </row>
    <row r="22" spans="1:21" x14ac:dyDescent="0.25">
      <c r="O22" s="81">
        <v>1.07</v>
      </c>
      <c r="P22" s="81">
        <f t="shared" si="1"/>
        <v>141.59299300000001</v>
      </c>
    </row>
    <row r="23" spans="1:21" x14ac:dyDescent="0.25">
      <c r="O23" s="81">
        <v>1.06</v>
      </c>
      <c r="P23" s="81">
        <f t="shared" si="1"/>
        <v>140.26969400000002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497</v>
      </c>
      <c r="L24" s="220" t="s">
        <v>973</v>
      </c>
      <c r="O24" s="81">
        <v>1.05</v>
      </c>
      <c r="P24" s="81">
        <f t="shared" si="1"/>
        <v>138.94639500000002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2">C25*(E25-D25)</f>
        <v>-1.0000000000002274</v>
      </c>
      <c r="G25" s="39">
        <f t="shared" ref="G25:G31" si="3">D25*C25</f>
        <v>3000</v>
      </c>
      <c r="H25" s="222">
        <f t="shared" ref="H25:H31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137.623096</v>
      </c>
      <c r="T25" s="156">
        <v>43305</v>
      </c>
      <c r="U25" t="s">
        <v>1184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2"/>
        <v>-53.599999999999</v>
      </c>
      <c r="G26" s="39">
        <f t="shared" si="3"/>
        <v>5925.5999999999995</v>
      </c>
      <c r="H26" s="222">
        <f t="shared" si="4"/>
        <v>-9.045497502362462E-3</v>
      </c>
      <c r="I26" s="39"/>
      <c r="J26" s="39"/>
      <c r="K26" s="39"/>
      <c r="L26" s="39"/>
      <c r="O26" s="81">
        <v>1.03</v>
      </c>
      <c r="P26" s="81">
        <f t="shared" si="1"/>
        <v>136.29979700000001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2"/>
        <v>136.73000000000002</v>
      </c>
      <c r="G27" s="39">
        <f t="shared" si="3"/>
        <v>2894.4700000000003</v>
      </c>
      <c r="H27" s="222">
        <f t="shared" si="4"/>
        <v>4.7238354517407335E-2</v>
      </c>
      <c r="I27" s="39"/>
      <c r="J27" s="39"/>
      <c r="K27" s="39"/>
      <c r="L27" s="39"/>
      <c r="O27" s="81">
        <v>1.02</v>
      </c>
      <c r="P27" s="81">
        <f t="shared" si="1"/>
        <v>134.97649800000002</v>
      </c>
      <c r="T27" s="156">
        <v>43313</v>
      </c>
      <c r="U27" t="s">
        <v>1183</v>
      </c>
    </row>
    <row r="28" spans="1:21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si="2"/>
        <v>-297.87000000000035</v>
      </c>
      <c r="G28" s="39">
        <f t="shared" si="3"/>
        <v>7030.87</v>
      </c>
      <c r="H28" s="222">
        <f t="shared" si="4"/>
        <v>-4.2366022981508739E-2</v>
      </c>
      <c r="I28" s="39"/>
      <c r="J28" s="39"/>
      <c r="K28" s="39"/>
      <c r="L28" s="39"/>
      <c r="O28" s="81">
        <v>1.01</v>
      </c>
      <c r="P28" s="81">
        <f t="shared" si="1"/>
        <v>133.653199</v>
      </c>
      <c r="T28" s="156">
        <v>43314</v>
      </c>
      <c r="U28" t="s">
        <v>1186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2"/>
        <v>-410.86999999999989</v>
      </c>
      <c r="G29" s="39">
        <f t="shared" si="3"/>
        <v>7030.87</v>
      </c>
      <c r="H29" s="222">
        <f t="shared" si="4"/>
        <v>-5.8438002693834458E-2</v>
      </c>
      <c r="I29" s="39"/>
      <c r="J29" s="39"/>
      <c r="K29" s="39"/>
      <c r="L29" s="39"/>
      <c r="O29" s="81">
        <v>1</v>
      </c>
      <c r="P29" s="81">
        <f t="shared" si="1"/>
        <v>132.32990000000001</v>
      </c>
      <c r="T29" s="156">
        <v>43326</v>
      </c>
      <c r="U29" t="s">
        <v>1185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2"/>
        <v>-147.3700000000008</v>
      </c>
      <c r="G30" s="39">
        <f t="shared" si="3"/>
        <v>7030.87</v>
      </c>
      <c r="H30" s="222">
        <f t="shared" si="4"/>
        <v>-2.0960421683234195E-2</v>
      </c>
      <c r="I30" s="39"/>
      <c r="J30" s="39"/>
      <c r="K30" s="39"/>
      <c r="L30" s="39"/>
      <c r="O30" s="81">
        <v>0.99</v>
      </c>
      <c r="P30" s="81">
        <f t="shared" si="1"/>
        <v>131.00660100000002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2"/>
        <v>-556.87000000000069</v>
      </c>
      <c r="G31" s="39">
        <f t="shared" si="3"/>
        <v>7030.87</v>
      </c>
      <c r="H31" s="222">
        <f t="shared" si="4"/>
        <v>-7.9203569401795321E-2</v>
      </c>
      <c r="I31" s="39"/>
      <c r="J31" s="39"/>
      <c r="K31" s="39"/>
      <c r="L31" s="39"/>
      <c r="O31" s="81">
        <v>0.98</v>
      </c>
      <c r="P31" s="81">
        <f t="shared" si="1"/>
        <v>129.683302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5">C32*(E32-D32)</f>
        <v>-439.36999999999955</v>
      </c>
      <c r="G32" s="39">
        <f t="shared" ref="G32:G38" si="6">D32*C32</f>
        <v>7030.87</v>
      </c>
      <c r="H32" s="222">
        <f t="shared" ref="H32:H38" si="7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128.36000300000001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5"/>
        <v>-796.99999999999989</v>
      </c>
      <c r="G33" s="39">
        <f t="shared" si="6"/>
        <v>7031</v>
      </c>
      <c r="H33" s="222">
        <f t="shared" si="7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127.036704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5"/>
        <v>-898.86999999999944</v>
      </c>
      <c r="G34" s="39">
        <f t="shared" si="6"/>
        <v>13164.869999999999</v>
      </c>
      <c r="H34" s="222">
        <f t="shared" si="7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125.71340500000001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5"/>
        <v>-1856.3699999999997</v>
      </c>
      <c r="G35" s="39">
        <f t="shared" si="6"/>
        <v>13158.369999999999</v>
      </c>
      <c r="H35" s="222">
        <f t="shared" si="7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124.390106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5"/>
        <v>-974.00000000000091</v>
      </c>
      <c r="G36" s="39">
        <f t="shared" si="6"/>
        <v>13158.000000000002</v>
      </c>
      <c r="H36" s="222">
        <f t="shared" si="7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123.06680700000001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5"/>
        <v>-1173.0000000000018</v>
      </c>
      <c r="G37" s="39">
        <f t="shared" si="6"/>
        <v>13158.000000000002</v>
      </c>
      <c r="H37" s="222">
        <f t="shared" si="7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1"/>
        <v>121.74350800000002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5"/>
        <v>-1591.1759999999999</v>
      </c>
      <c r="G38" s="39">
        <f t="shared" si="6"/>
        <v>15437.976000000001</v>
      </c>
      <c r="H38" s="222">
        <f t="shared" si="7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1"/>
        <v>120.42020900000001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4" si="8">C39*(E39-D39)</f>
        <v>-1383.5759999999993</v>
      </c>
      <c r="G39" s="39">
        <f t="shared" ref="G39:G44" si="9">D39*C39</f>
        <v>15437.976000000001</v>
      </c>
      <c r="H39" s="222">
        <f t="shared" ref="H39:H44" si="10">(E39-D39)/D39</f>
        <v>-8.9621592882382986E-2</v>
      </c>
      <c r="I39" s="39"/>
      <c r="J39" s="39"/>
      <c r="K39" s="39"/>
      <c r="L39" s="39"/>
      <c r="O39" s="81">
        <v>0.9</v>
      </c>
      <c r="P39" s="81">
        <f t="shared" si="1"/>
        <v>119.09691000000001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8"/>
        <v>531.00000000000023</v>
      </c>
      <c r="G40" s="39">
        <f t="shared" si="9"/>
        <v>6219</v>
      </c>
      <c r="H40" s="222">
        <f t="shared" si="10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8"/>
        <v>380.93999999999949</v>
      </c>
      <c r="G41" s="39">
        <f t="shared" si="9"/>
        <v>8873.06</v>
      </c>
      <c r="H41" s="222">
        <f t="shared" si="10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8"/>
        <v>57.600000000000051</v>
      </c>
      <c r="G42" s="39">
        <f t="shared" si="9"/>
        <v>11424.6</v>
      </c>
      <c r="H42" s="222">
        <f t="shared" si="10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8"/>
        <v>-59.499999999999886</v>
      </c>
      <c r="G43" s="39">
        <f t="shared" si="9"/>
        <v>12687.5</v>
      </c>
      <c r="H43" s="222">
        <f t="shared" si="10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8"/>
        <v>380.45700000000039</v>
      </c>
      <c r="G44" s="39">
        <f t="shared" si="9"/>
        <v>8767.143</v>
      </c>
      <c r="H44" s="222">
        <f t="shared" si="10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918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166" priority="31">
      <formula>F54&gt;0</formula>
    </cfRule>
    <cfRule type="expression" dxfId="1165" priority="32">
      <formula>F54&lt;0</formula>
    </cfRule>
  </conditionalFormatting>
  <conditionalFormatting sqref="Q7">
    <cfRule type="expression" dxfId="1164" priority="29">
      <formula>Q7&gt;0</formula>
    </cfRule>
    <cfRule type="expression" dxfId="1163" priority="30">
      <formula>Q7&lt;0</formula>
    </cfRule>
  </conditionalFormatting>
  <conditionalFormatting sqref="Q8">
    <cfRule type="expression" dxfId="1162" priority="27">
      <formula>Q8&gt;0</formula>
    </cfRule>
    <cfRule type="expression" dxfId="1161" priority="28">
      <formula>Q8&lt;0</formula>
    </cfRule>
  </conditionalFormatting>
  <conditionalFormatting sqref="F34:F53">
    <cfRule type="expression" dxfId="1160" priority="25">
      <formula>F34&gt;0</formula>
    </cfRule>
    <cfRule type="expression" dxfId="1159" priority="26">
      <formula>F34&lt;0</formula>
    </cfRule>
  </conditionalFormatting>
  <conditionalFormatting sqref="H34:H53">
    <cfRule type="expression" dxfId="1158" priority="23">
      <formula>H34&gt;0</formula>
    </cfRule>
    <cfRule type="expression" dxfId="1157" priority="24">
      <formula>H34&lt;0</formula>
    </cfRule>
  </conditionalFormatting>
  <conditionalFormatting sqref="Q10">
    <cfRule type="expression" dxfId="1156" priority="21">
      <formula>Q10&gt;0</formula>
    </cfRule>
    <cfRule type="expression" dxfId="1155" priority="22">
      <formula>Q10&lt;0</formula>
    </cfRule>
  </conditionalFormatting>
  <conditionalFormatting sqref="J25:J38">
    <cfRule type="expression" dxfId="1154" priority="19">
      <formula>J25&gt;0</formula>
    </cfRule>
    <cfRule type="expression" dxfId="1153" priority="20">
      <formula>J25&lt;0</formula>
    </cfRule>
  </conditionalFormatting>
  <conditionalFormatting sqref="K25:K35 K37:K38">
    <cfRule type="expression" dxfId="1152" priority="17">
      <formula>K25&gt;0</formula>
    </cfRule>
    <cfRule type="expression" dxfId="1151" priority="18">
      <formula>K25&lt;0</formula>
    </cfRule>
  </conditionalFormatting>
  <conditionalFormatting sqref="L25">
    <cfRule type="expression" dxfId="1150" priority="15">
      <formula>L25&gt;0</formula>
    </cfRule>
    <cfRule type="expression" dxfId="1149" priority="16">
      <formula>L25&lt;0</formula>
    </cfRule>
  </conditionalFormatting>
  <conditionalFormatting sqref="F89:F110">
    <cfRule type="expression" dxfId="1148" priority="13">
      <formula>F89&gt;0</formula>
    </cfRule>
    <cfRule type="expression" dxfId="1147" priority="14">
      <formula>F89&lt;0</formula>
    </cfRule>
  </conditionalFormatting>
  <conditionalFormatting sqref="H89:H110">
    <cfRule type="expression" dxfId="1146" priority="11">
      <formula>H89&gt;0</formula>
    </cfRule>
    <cfRule type="expression" dxfId="1145" priority="12">
      <formula>H89&lt;0</formula>
    </cfRule>
  </conditionalFormatting>
  <conditionalFormatting sqref="J89:J102">
    <cfRule type="expression" dxfId="1144" priority="9">
      <formula>J89&gt;0</formula>
    </cfRule>
    <cfRule type="expression" dxfId="1143" priority="10">
      <formula>J89&lt;0</formula>
    </cfRule>
  </conditionalFormatting>
  <conditionalFormatting sqref="K89:K102">
    <cfRule type="expression" dxfId="1142" priority="7">
      <formula>K89&gt;0</formula>
    </cfRule>
    <cfRule type="expression" dxfId="1141" priority="8">
      <formula>K89&lt;0</formula>
    </cfRule>
  </conditionalFormatting>
  <conditionalFormatting sqref="L89:L102">
    <cfRule type="expression" dxfId="1140" priority="5">
      <formula>L89&gt;0</formula>
    </cfRule>
    <cfRule type="expression" dxfId="1139" priority="6">
      <formula>L89&lt;0</formula>
    </cfRule>
  </conditionalFormatting>
  <conditionalFormatting sqref="F25:F33">
    <cfRule type="expression" dxfId="1138" priority="3">
      <formula>F25&gt;0</formula>
    </cfRule>
    <cfRule type="expression" dxfId="1137" priority="4">
      <formula>F25&lt;0</formula>
    </cfRule>
  </conditionalFormatting>
  <conditionalFormatting sqref="H25:H33">
    <cfRule type="expression" dxfId="1136" priority="1">
      <formula>H25&gt;0</formula>
    </cfRule>
    <cfRule type="expression" dxfId="113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917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249.23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249.23</v>
      </c>
      <c r="R4" s="495">
        <v>5.5999999999999999E-3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973</v>
      </c>
      <c r="Q13">
        <v>16.34</v>
      </c>
      <c r="S13" s="22" t="s">
        <v>978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274.15300000000002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271.66070000000002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269.16840000000002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266.67610000000002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264.18380000000002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261.69150000000002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259.19920000000002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256.70690000000002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254.21459999999999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251.72229999999999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249.23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246.73769999999999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244.24539999999999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241.75309999999999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239.26079999999999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236.76849999999999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234.27619999999999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231.78389999999999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229.29159999999999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226.79929999999999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224.30699999999999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4" priority="31">
      <formula>F47&gt;0</formula>
    </cfRule>
    <cfRule type="expression" dxfId="1133" priority="32">
      <formula>F47&lt;0</formula>
    </cfRule>
  </conditionalFormatting>
  <conditionalFormatting sqref="Q7">
    <cfRule type="expression" dxfId="1132" priority="29">
      <formula>Q7&gt;0</formula>
    </cfRule>
    <cfRule type="expression" dxfId="1131" priority="30">
      <formula>Q7&lt;0</formula>
    </cfRule>
  </conditionalFormatting>
  <conditionalFormatting sqref="Q8">
    <cfRule type="expression" dxfId="1130" priority="27">
      <formula>Q8&gt;0</formula>
    </cfRule>
    <cfRule type="expression" dxfId="1129" priority="28">
      <formula>Q8&lt;0</formula>
    </cfRule>
  </conditionalFormatting>
  <conditionalFormatting sqref="F32:F46">
    <cfRule type="expression" dxfId="1128" priority="25">
      <formula>F32&gt;0</formula>
    </cfRule>
    <cfRule type="expression" dxfId="1127" priority="26">
      <formula>F32&lt;0</formula>
    </cfRule>
  </conditionalFormatting>
  <conditionalFormatting sqref="H32:H46">
    <cfRule type="expression" dxfId="1126" priority="23">
      <formula>H32&gt;0</formula>
    </cfRule>
    <cfRule type="expression" dxfId="1125" priority="24">
      <formula>H32&lt;0</formula>
    </cfRule>
  </conditionalFormatting>
  <conditionalFormatting sqref="Q10">
    <cfRule type="expression" dxfId="1124" priority="21">
      <formula>Q10&gt;0</formula>
    </cfRule>
    <cfRule type="expression" dxfId="1123" priority="22">
      <formula>Q10&lt;0</formula>
    </cfRule>
  </conditionalFormatting>
  <conditionalFormatting sqref="J25:J38">
    <cfRule type="expression" dxfId="1122" priority="19">
      <formula>J25&gt;0</formula>
    </cfRule>
    <cfRule type="expression" dxfId="1121" priority="20">
      <formula>J25&lt;0</formula>
    </cfRule>
  </conditionalFormatting>
  <conditionalFormatting sqref="K25:K38">
    <cfRule type="expression" dxfId="1120" priority="17">
      <formula>K25&gt;0</formula>
    </cfRule>
    <cfRule type="expression" dxfId="1119" priority="18">
      <formula>K25&lt;0</formula>
    </cfRule>
  </conditionalFormatting>
  <conditionalFormatting sqref="L25:L38">
    <cfRule type="expression" dxfId="1118" priority="15">
      <formula>L25&gt;0</formula>
    </cfRule>
    <cfRule type="expression" dxfId="1117" priority="16">
      <formula>L25&lt;0</formula>
    </cfRule>
  </conditionalFormatting>
  <conditionalFormatting sqref="F89:F110">
    <cfRule type="expression" dxfId="1116" priority="13">
      <formula>F89&gt;0</formula>
    </cfRule>
    <cfRule type="expression" dxfId="1115" priority="14">
      <formula>F89&lt;0</formula>
    </cfRule>
  </conditionalFormatting>
  <conditionalFormatting sqref="H89:H110">
    <cfRule type="expression" dxfId="1114" priority="11">
      <formula>H89&gt;0</formula>
    </cfRule>
    <cfRule type="expression" dxfId="1113" priority="12">
      <formula>H89&lt;0</formula>
    </cfRule>
  </conditionalFormatting>
  <conditionalFormatting sqref="J89:J102">
    <cfRule type="expression" dxfId="1112" priority="9">
      <formula>J89&gt;0</formula>
    </cfRule>
    <cfRule type="expression" dxfId="1111" priority="10">
      <formula>J89&lt;0</formula>
    </cfRule>
  </conditionalFormatting>
  <conditionalFormatting sqref="K89:K102">
    <cfRule type="expression" dxfId="1110" priority="7">
      <formula>K89&gt;0</formula>
    </cfRule>
    <cfRule type="expression" dxfId="1109" priority="8">
      <formula>K89&lt;0</formula>
    </cfRule>
  </conditionalFormatting>
  <conditionalFormatting sqref="L89:L102">
    <cfRule type="expression" dxfId="1108" priority="5">
      <formula>L89&gt;0</formula>
    </cfRule>
    <cfRule type="expression" dxfId="1107" priority="6">
      <formula>L89&lt;0</formula>
    </cfRule>
  </conditionalFormatting>
  <conditionalFormatting sqref="F25:F31">
    <cfRule type="expression" dxfId="1106" priority="3">
      <formula>F25&gt;0</formula>
    </cfRule>
    <cfRule type="expression" dxfId="1105" priority="4">
      <formula>F25&lt;0</formula>
    </cfRule>
  </conditionalFormatting>
  <conditionalFormatting sqref="H25:H31">
    <cfRule type="expression" dxfId="1104" priority="1">
      <formula>H25&gt;0</formula>
    </cfRule>
    <cfRule type="expression" dxfId="1103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922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817</v>
      </c>
    </row>
    <row r="3" spans="1:21" x14ac:dyDescent="0.25">
      <c r="A3" s="22" t="s">
        <v>71</v>
      </c>
      <c r="B3" s="72">
        <v>43249</v>
      </c>
      <c r="C3" s="4">
        <v>60</v>
      </c>
      <c r="D3" s="3">
        <v>69.599999999999994</v>
      </c>
      <c r="E3" s="3">
        <v>0</v>
      </c>
      <c r="F3" s="3">
        <f>C3*D3+E3</f>
        <v>4176</v>
      </c>
      <c r="G3" s="72"/>
      <c r="H3" s="176"/>
      <c r="I3" s="3"/>
      <c r="J3" s="3"/>
      <c r="K3" s="3"/>
      <c r="L3" s="72">
        <v>43281</v>
      </c>
      <c r="M3" s="43">
        <v>14.4</v>
      </c>
      <c r="O3" s="11" t="s">
        <v>58</v>
      </c>
      <c r="Q3" s="221">
        <f>IF(Q2=0, Q4, (F18-K18-M18)/Q2)</f>
        <v>65.593999999999994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75.19</v>
      </c>
      <c r="R4" s="495">
        <v>6.6E-3</v>
      </c>
      <c r="T4" s="770">
        <v>43103</v>
      </c>
      <c r="U4" s="30" t="s">
        <v>840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4511.3999999999996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3935.6399999999994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575.75999999999976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575.75999999999976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0.14629386834161656</v>
      </c>
      <c r="T9" s="770">
        <v>43249</v>
      </c>
      <c r="U9" t="s">
        <v>1117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207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1.2767655273307621E-2</v>
      </c>
      <c r="R11">
        <v>0.24</v>
      </c>
    </row>
    <row r="12" spans="1:21" x14ac:dyDescent="0.25">
      <c r="H12" s="70"/>
      <c r="O12" s="11" t="s">
        <v>946</v>
      </c>
      <c r="Q12" s="1" t="s">
        <v>1217</v>
      </c>
    </row>
    <row r="13" spans="1:21" x14ac:dyDescent="0.25">
      <c r="H13" s="70"/>
      <c r="O13" s="11" t="s">
        <v>973</v>
      </c>
      <c r="Q13">
        <f>Q4/3.55</f>
        <v>21.180281690140845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40</v>
      </c>
      <c r="I18" s="18"/>
      <c r="J18" s="18"/>
      <c r="K18" s="18">
        <f>SUM(K2:K5)</f>
        <v>2919.56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40</v>
      </c>
      <c r="D19" s="343"/>
      <c r="E19" s="343"/>
      <c r="F19" s="344">
        <f>SumByColor($A$19,F2:F17)</f>
        <v>2703</v>
      </c>
      <c r="G19" s="343"/>
      <c r="H19" s="343">
        <f>SumByColor($A$19,H2:H17)</f>
        <v>40</v>
      </c>
      <c r="I19" s="343"/>
      <c r="J19" s="343"/>
      <c r="K19" s="344">
        <f>SumByColor($A$19,K2:K17)</f>
        <v>2920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82.709000000000003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669</v>
      </c>
      <c r="L24" s="220" t="s">
        <v>675</v>
      </c>
      <c r="O24" s="81">
        <v>1.0900000000000001</v>
      </c>
      <c r="P24" s="81">
        <f t="shared" ref="P24:P43" si="0">O24*$Q$4</f>
        <v>81.957099999999997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81.205200000000005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80.453299999999999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79.701400000000007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78.9495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78.197599999999994</v>
      </c>
      <c r="Q29" s="2"/>
    </row>
    <row r="30" spans="1:17" x14ac:dyDescent="0.25">
      <c r="A30">
        <v>0</v>
      </c>
      <c r="B30" s="184">
        <v>43256</v>
      </c>
      <c r="C30" s="10">
        <v>60</v>
      </c>
      <c r="D30" s="3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77.445700000000002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76.693799999999996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75.941900000000004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75.19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74.438099999999991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73.686199999999999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72.934299999999993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72.182400000000001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71.430499999999995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70.678599999999989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69.926699999999997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69.174800000000005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68.422899999999998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67.671000000000006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669</v>
      </c>
      <c r="L88" s="220" t="s">
        <v>675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2" priority="31">
      <formula>F47&gt;0</formula>
    </cfRule>
    <cfRule type="expression" dxfId="1101" priority="32">
      <formula>F47&lt;0</formula>
    </cfRule>
  </conditionalFormatting>
  <conditionalFormatting sqref="Q7">
    <cfRule type="expression" dxfId="1100" priority="29">
      <formula>Q7&gt;0</formula>
    </cfRule>
    <cfRule type="expression" dxfId="1099" priority="30">
      <formula>Q7&lt;0</formula>
    </cfRule>
  </conditionalFormatting>
  <conditionalFormatting sqref="Q8">
    <cfRule type="expression" dxfId="1098" priority="27">
      <formula>Q8&gt;0</formula>
    </cfRule>
    <cfRule type="expression" dxfId="1097" priority="28">
      <formula>Q8&lt;0</formula>
    </cfRule>
  </conditionalFormatting>
  <conditionalFormatting sqref="F30:F46">
    <cfRule type="expression" dxfId="1096" priority="25">
      <formula>F30&gt;0</formula>
    </cfRule>
    <cfRule type="expression" dxfId="1095" priority="26">
      <formula>F30&lt;0</formula>
    </cfRule>
  </conditionalFormatting>
  <conditionalFormatting sqref="H30:H46">
    <cfRule type="expression" dxfId="1094" priority="23">
      <formula>H30&gt;0</formula>
    </cfRule>
    <cfRule type="expression" dxfId="1093" priority="24">
      <formula>H30&lt;0</formula>
    </cfRule>
  </conditionalFormatting>
  <conditionalFormatting sqref="Q10">
    <cfRule type="expression" dxfId="1092" priority="21">
      <formula>Q10&gt;0</formula>
    </cfRule>
    <cfRule type="expression" dxfId="1091" priority="22">
      <formula>Q10&lt;0</formula>
    </cfRule>
  </conditionalFormatting>
  <conditionalFormatting sqref="J25:J38">
    <cfRule type="expression" dxfId="1090" priority="19">
      <formula>J25&gt;0</formula>
    </cfRule>
    <cfRule type="expression" dxfId="1089" priority="20">
      <formula>J25&lt;0</formula>
    </cfRule>
  </conditionalFormatting>
  <conditionalFormatting sqref="K25:K38">
    <cfRule type="expression" dxfId="1088" priority="17">
      <formula>K25&gt;0</formula>
    </cfRule>
    <cfRule type="expression" dxfId="1087" priority="18">
      <formula>K25&lt;0</formula>
    </cfRule>
  </conditionalFormatting>
  <conditionalFormatting sqref="L25:L38">
    <cfRule type="expression" dxfId="1086" priority="15">
      <formula>L25&gt;0</formula>
    </cfRule>
    <cfRule type="expression" dxfId="1085" priority="16">
      <formula>L25&lt;0</formula>
    </cfRule>
  </conditionalFormatting>
  <conditionalFormatting sqref="F89:F110">
    <cfRule type="expression" dxfId="1084" priority="13">
      <formula>F89&gt;0</formula>
    </cfRule>
    <cfRule type="expression" dxfId="1083" priority="14">
      <formula>F89&lt;0</formula>
    </cfRule>
  </conditionalFormatting>
  <conditionalFormatting sqref="H89:H110">
    <cfRule type="expression" dxfId="1082" priority="11">
      <formula>H89&gt;0</formula>
    </cfRule>
    <cfRule type="expression" dxfId="1081" priority="12">
      <formula>H89&lt;0</formula>
    </cfRule>
  </conditionalFormatting>
  <conditionalFormatting sqref="J89:J102">
    <cfRule type="expression" dxfId="1080" priority="9">
      <formula>J89&gt;0</formula>
    </cfRule>
    <cfRule type="expression" dxfId="1079" priority="10">
      <formula>J89&lt;0</formula>
    </cfRule>
  </conditionalFormatting>
  <conditionalFormatting sqref="K89:K102">
    <cfRule type="expression" dxfId="1078" priority="7">
      <formula>K89&gt;0</formula>
    </cfRule>
    <cfRule type="expression" dxfId="1077" priority="8">
      <formula>K89&lt;0</formula>
    </cfRule>
  </conditionalFormatting>
  <conditionalFormatting sqref="L89:L102">
    <cfRule type="expression" dxfId="1076" priority="5">
      <formula>L89&gt;0</formula>
    </cfRule>
    <cfRule type="expression" dxfId="1075" priority="6">
      <formula>L89&lt;0</formula>
    </cfRule>
  </conditionalFormatting>
  <conditionalFormatting sqref="F25:F29">
    <cfRule type="expression" dxfId="1074" priority="3">
      <formula>F25&gt;0</formula>
    </cfRule>
    <cfRule type="expression" dxfId="1073" priority="4">
      <formula>F25&lt;0</formula>
    </cfRule>
  </conditionalFormatting>
  <conditionalFormatting sqref="H25:H29">
    <cfRule type="expression" dxfId="1072" priority="1">
      <formula>H25&gt;0</formula>
    </cfRule>
    <cfRule type="expression" dxfId="107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77.569999999999993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77.569999999999993</v>
      </c>
      <c r="R4" s="475">
        <v>3.8E-3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208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207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497</v>
      </c>
      <c r="J22" s="220" t="s">
        <v>150</v>
      </c>
      <c r="K22" s="220" t="s">
        <v>669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271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51" t="s">
        <v>78</v>
      </c>
      <c r="P44" s="851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85.326999999999998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84.551299999999998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83.775599999999997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82.999899999999997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82.224199999999996</v>
      </c>
      <c r="T49" s="91" t="s">
        <v>121</v>
      </c>
      <c r="U49" s="127" t="s">
        <v>522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81.448499999999996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80.672799999999995</v>
      </c>
      <c r="T51" s="91" t="s">
        <v>104</v>
      </c>
      <c r="U51" s="127" t="s">
        <v>597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79.897099999999995</v>
      </c>
      <c r="T52" s="91" t="s">
        <v>105</v>
      </c>
      <c r="U52" s="127" t="s">
        <v>598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79.121399999999994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78.345699999999994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77.569999999999993</v>
      </c>
      <c r="T55" s="91" t="s">
        <v>107</v>
      </c>
      <c r="U55" s="127" t="s">
        <v>599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76.794299999999993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76.018599999999992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75.242899999999992</v>
      </c>
      <c r="T58" s="91" t="s">
        <v>108</v>
      </c>
      <c r="U58" s="127" t="s">
        <v>539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74.467199999999991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73.691499999999991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72.91579999999999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72.140100000000004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71.364400000000003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70.588700000000003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69.813000000000002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70" priority="57">
      <formula>F27&gt;0</formula>
    </cfRule>
    <cfRule type="expression" dxfId="1069" priority="58">
      <formula>F27&lt;0</formula>
    </cfRule>
  </conditionalFormatting>
  <conditionalFormatting sqref="H28:H33">
    <cfRule type="expression" dxfId="1068" priority="53">
      <formula>H28&gt;0</formula>
    </cfRule>
    <cfRule type="expression" dxfId="1067" priority="54">
      <formula>H28&lt;0</formula>
    </cfRule>
  </conditionalFormatting>
  <conditionalFormatting sqref="F24:F26">
    <cfRule type="expression" dxfId="1066" priority="39">
      <formula>F24&gt;0</formula>
    </cfRule>
    <cfRule type="expression" dxfId="1065" priority="40">
      <formula>F24&lt;0</formula>
    </cfRule>
  </conditionalFormatting>
  <conditionalFormatting sqref="Q8">
    <cfRule type="expression" dxfId="1064" priority="33">
      <formula>Q8&gt;0</formula>
    </cfRule>
    <cfRule type="expression" dxfId="1063" priority="34">
      <formula>Q8&lt;0</formula>
    </cfRule>
  </conditionalFormatting>
  <conditionalFormatting sqref="Q7">
    <cfRule type="expression" dxfId="1062" priority="35">
      <formula>Q7&gt;0</formula>
    </cfRule>
    <cfRule type="expression" dxfId="1061" priority="36">
      <formula>Q7&lt;0</formula>
    </cfRule>
  </conditionalFormatting>
  <conditionalFormatting sqref="F34">
    <cfRule type="expression" dxfId="1060" priority="31">
      <formula>F34&gt;0</formula>
    </cfRule>
    <cfRule type="expression" dxfId="1059" priority="32">
      <formula>F34&lt;0</formula>
    </cfRule>
  </conditionalFormatting>
  <conditionalFormatting sqref="H34">
    <cfRule type="expression" dxfId="1058" priority="29">
      <formula>H34&gt;0</formula>
    </cfRule>
    <cfRule type="expression" dxfId="1057" priority="30">
      <formula>H34&lt;0</formula>
    </cfRule>
  </conditionalFormatting>
  <conditionalFormatting sqref="M36">
    <cfRule type="expression" dxfId="1056" priority="19">
      <formula>M36&gt;0</formula>
    </cfRule>
    <cfRule type="expression" dxfId="1055" priority="20">
      <formula>M36&lt;0</formula>
    </cfRule>
  </conditionalFormatting>
  <conditionalFormatting sqref="Q10">
    <cfRule type="expression" dxfId="1054" priority="15">
      <formula>Q10&gt;0</formula>
    </cfRule>
    <cfRule type="expression" dxfId="1053" priority="16">
      <formula>Q10&lt;0</formula>
    </cfRule>
  </conditionalFormatting>
  <conditionalFormatting sqref="F23">
    <cfRule type="expression" dxfId="1052" priority="13">
      <formula>F23&gt;0</formula>
    </cfRule>
    <cfRule type="expression" dxfId="1051" priority="14">
      <formula>F23&lt;0</formula>
    </cfRule>
  </conditionalFormatting>
  <conditionalFormatting sqref="I25:J25">
    <cfRule type="expression" dxfId="1050" priority="9">
      <formula>I25&gt;0</formula>
    </cfRule>
    <cfRule type="expression" dxfId="1049" priority="10">
      <formula>I25&lt;0</formula>
    </cfRule>
  </conditionalFormatting>
  <conditionalFormatting sqref="I26:J27">
    <cfRule type="expression" dxfId="1048" priority="7">
      <formula>I26&gt;0</formula>
    </cfRule>
    <cfRule type="expression" dxfId="1047" priority="8">
      <formula>I26&lt;0</formula>
    </cfRule>
  </conditionalFormatting>
  <conditionalFormatting sqref="K25:K27">
    <cfRule type="expression" dxfId="1046" priority="5">
      <formula>K25&gt;0</formula>
    </cfRule>
    <cfRule type="expression" dxfId="1045" priority="6">
      <formula>K25&lt;0</formula>
    </cfRule>
  </conditionalFormatting>
  <conditionalFormatting sqref="I23:J23">
    <cfRule type="expression" dxfId="1044" priority="3">
      <formula>I23&gt;0</formula>
    </cfRule>
    <cfRule type="expression" dxfId="1043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74"/>
  <sheetViews>
    <sheetView zoomScale="98" zoomScaleNormal="98" workbookViewId="0">
      <pane ySplit="1" topLeftCell="A2" activePane="bottomLeft" state="frozen"/>
      <selection activeCell="A2" sqref="A2"/>
      <selection pane="bottomLeft" activeCell="H23" sqref="H23:K23"/>
    </sheetView>
  </sheetViews>
  <sheetFormatPr defaultRowHeight="15" x14ac:dyDescent="0.25"/>
  <cols>
    <col min="2" max="2" width="9.7109375" bestFit="1" customWidth="1"/>
    <col min="4" max="6" width="9.140625" style="2"/>
    <col min="7" max="7" width="10.7109375" bestFit="1" customWidth="1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757</v>
      </c>
      <c r="AB1" s="731" t="s">
        <v>713</v>
      </c>
      <c r="AC1" s="731" t="s">
        <v>933</v>
      </c>
      <c r="AD1" s="731" t="s">
        <v>932</v>
      </c>
      <c r="AE1" s="731" t="s">
        <v>1066</v>
      </c>
      <c r="AF1" s="707"/>
      <c r="AG1" s="707"/>
    </row>
    <row r="2" spans="1:33" x14ac:dyDescent="0.25">
      <c r="A2" s="6" t="s">
        <v>225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2" si="1">I2*H2-J2</f>
        <v>2890.94</v>
      </c>
      <c r="L2" s="72">
        <v>42810</v>
      </c>
      <c r="M2" s="43">
        <v>27.5</v>
      </c>
      <c r="O2" s="11" t="s">
        <v>57</v>
      </c>
      <c r="Q2">
        <f>C32-H32</f>
        <v>500</v>
      </c>
      <c r="X2" s="736"/>
      <c r="Z2" s="708" t="s">
        <v>758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20.062699999999925</v>
      </c>
      <c r="U3" t="s">
        <v>731</v>
      </c>
      <c r="V3" s="22" t="s">
        <v>730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27.979900000000001</v>
      </c>
      <c r="R4" s="494">
        <v>-6.0000000000000001E-3</v>
      </c>
      <c r="Z4" s="710" t="s">
        <v>725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13989.95</v>
      </c>
      <c r="Z5" s="711" t="s">
        <v>718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10031.349999999962</v>
      </c>
      <c r="U6" s="770">
        <v>43150</v>
      </c>
      <c r="V6" t="s">
        <v>82</v>
      </c>
      <c r="Z6" s="712" t="s">
        <v>711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5410.860000000037</v>
      </c>
      <c r="R7">
        <v>100</v>
      </c>
      <c r="V7" t="s">
        <v>975</v>
      </c>
      <c r="Z7" s="712" t="s">
        <v>747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3958.6000000000386</v>
      </c>
      <c r="Z8" s="712" t="s">
        <v>719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208</v>
      </c>
      <c r="Q9" s="134">
        <f>IF(Q2=0, 0, Q8/Q6)</f>
        <v>0.39462285734223745</v>
      </c>
      <c r="Z9" s="712" t="s">
        <v>720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207</v>
      </c>
      <c r="P10" s="33"/>
      <c r="Q10" s="2">
        <f>M155</f>
        <v>1452.2599999999984</v>
      </c>
      <c r="U10" s="1">
        <v>43227</v>
      </c>
      <c r="V10" t="s">
        <v>82</v>
      </c>
      <c r="Z10" s="712" t="s">
        <v>737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28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3.5739941886854493E-3</v>
      </c>
      <c r="R11">
        <f>0.025</f>
        <v>2.5000000000000001E-2</v>
      </c>
      <c r="V11" t="s">
        <v>1065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946</v>
      </c>
      <c r="Q12" s="1" t="s">
        <v>1210</v>
      </c>
      <c r="Z12" s="712" t="s">
        <v>714</v>
      </c>
      <c r="AA12" s="714"/>
      <c r="AB12" s="719">
        <v>7.0000000000000007E-2</v>
      </c>
      <c r="AC12" s="719" t="s">
        <v>759</v>
      </c>
      <c r="AD12" s="732" t="s">
        <v>936</v>
      </c>
      <c r="AE12" s="831" t="s">
        <v>937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973</v>
      </c>
      <c r="Q13" s="2">
        <f>Q4/(1.4)</f>
        <v>19.98564285714286</v>
      </c>
      <c r="U13" s="1">
        <v>43234</v>
      </c>
      <c r="V13" t="s">
        <v>1112</v>
      </c>
      <c r="Z13" s="712" t="s">
        <v>721</v>
      </c>
      <c r="AA13" s="714"/>
      <c r="AB13" s="719">
        <v>0.09</v>
      </c>
      <c r="AC13" s="719"/>
      <c r="AD13" s="732" t="s">
        <v>937</v>
      </c>
      <c r="AE13" s="831" t="s">
        <v>1067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1111</v>
      </c>
      <c r="Q14" s="736">
        <v>0.20250000000000001</v>
      </c>
      <c r="V14" t="s">
        <v>1113</v>
      </c>
      <c r="Z14" s="712" t="s">
        <v>745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715</v>
      </c>
      <c r="AA15" s="714"/>
      <c r="AB15" s="676"/>
      <c r="AC15" s="676"/>
      <c r="AD15" s="676"/>
      <c r="AE15" s="676"/>
      <c r="AF15" s="676"/>
      <c r="AG15" s="676"/>
    </row>
    <row r="16" spans="1:33" ht="20.25" thickBot="1" x14ac:dyDescent="0.35">
      <c r="A16" t="s">
        <v>782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51" t="s">
        <v>78</v>
      </c>
      <c r="P16" s="851"/>
      <c r="Z16" s="712" t="s">
        <v>716</v>
      </c>
      <c r="AA16" s="714"/>
      <c r="AB16" s="676"/>
      <c r="AC16" s="676"/>
      <c r="AD16" s="676"/>
      <c r="AE16" s="676"/>
      <c r="AF16" s="676"/>
      <c r="AG16" s="676"/>
    </row>
    <row r="17" spans="1:33" ht="15.75" thickTop="1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30.777890000000003</v>
      </c>
      <c r="U17" s="1">
        <v>43270</v>
      </c>
      <c r="V17" t="s">
        <v>1193</v>
      </c>
      <c r="Z17" s="712" t="s">
        <v>931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x14ac:dyDescent="0.2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3">O18*$Q$4</f>
        <v>30.498091000000002</v>
      </c>
      <c r="V18" t="s">
        <v>1194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x14ac:dyDescent="0.25">
      <c r="A19" t="s">
        <v>782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3"/>
        <v>30.218292000000002</v>
      </c>
      <c r="Z19" s="712" t="s">
        <v>726</v>
      </c>
      <c r="AA19" s="717" t="s">
        <v>729</v>
      </c>
      <c r="AB19" s="712" t="s">
        <v>729</v>
      </c>
      <c r="AC19" s="712" t="s">
        <v>729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1.07</v>
      </c>
      <c r="P20" s="81">
        <f t="shared" si="3"/>
        <v>29.938493000000001</v>
      </c>
      <c r="U20" s="156">
        <v>43313</v>
      </c>
      <c r="V20" t="s">
        <v>1192</v>
      </c>
      <c r="Z20" s="712" t="s">
        <v>727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1.06</v>
      </c>
      <c r="P21" s="81">
        <f t="shared" si="3"/>
        <v>29.658694000000001</v>
      </c>
      <c r="Z21" s="712" t="s">
        <v>747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1.05</v>
      </c>
      <c r="P22" s="81">
        <f t="shared" si="3"/>
        <v>29.378895000000004</v>
      </c>
      <c r="Z22" s="718" t="s">
        <v>744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29"/>
      <c r="H23" s="176"/>
      <c r="I23" s="3"/>
      <c r="J23" s="3"/>
      <c r="K23" s="3"/>
      <c r="O23" s="81">
        <v>1.04</v>
      </c>
      <c r="P23" s="81">
        <f t="shared" si="3"/>
        <v>29.099096000000003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29"/>
      <c r="O24" s="81">
        <v>1.03</v>
      </c>
      <c r="P24" s="81">
        <f t="shared" si="3"/>
        <v>28.819297000000002</v>
      </c>
      <c r="Z24" s="709" t="s">
        <v>710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7">
        <v>43228</v>
      </c>
      <c r="C25" s="4">
        <v>100</v>
      </c>
      <c r="D25" s="2">
        <v>26.08</v>
      </c>
      <c r="E25" s="2">
        <v>0</v>
      </c>
      <c r="F25" s="2">
        <f t="shared" si="2"/>
        <v>2608</v>
      </c>
      <c r="G25" s="29"/>
      <c r="O25" s="81">
        <v>1.02</v>
      </c>
      <c r="P25" s="81">
        <f t="shared" si="3"/>
        <v>28.539498000000002</v>
      </c>
      <c r="Z25" s="710" t="s">
        <v>722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735">
        <v>43270</v>
      </c>
      <c r="C26" s="4">
        <v>200</v>
      </c>
      <c r="D26" s="2">
        <v>28.2</v>
      </c>
      <c r="E26" s="2">
        <v>0</v>
      </c>
      <c r="F26" s="2">
        <f t="shared" si="2"/>
        <v>5640</v>
      </c>
      <c r="G26" s="29"/>
      <c r="O26" s="81">
        <v>1.01</v>
      </c>
      <c r="P26" s="81">
        <f t="shared" si="3"/>
        <v>28.259699000000001</v>
      </c>
      <c r="Z26" s="711" t="s">
        <v>723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735">
        <v>43292</v>
      </c>
      <c r="C27" s="4">
        <v>100</v>
      </c>
      <c r="D27" s="3">
        <v>28.2</v>
      </c>
      <c r="E27" s="3">
        <v>0</v>
      </c>
      <c r="F27" s="3">
        <f t="shared" si="2"/>
        <v>2820</v>
      </c>
      <c r="G27" s="29"/>
      <c r="O27" s="81">
        <v>1</v>
      </c>
      <c r="P27" s="81">
        <f t="shared" si="3"/>
        <v>27.979900000000001</v>
      </c>
      <c r="Z27" s="712" t="s">
        <v>711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735">
        <v>43292</v>
      </c>
      <c r="C28" s="4">
        <v>100</v>
      </c>
      <c r="D28" s="3">
        <v>27.88</v>
      </c>
      <c r="E28" s="3">
        <v>0</v>
      </c>
      <c r="F28" s="3">
        <f t="shared" si="2"/>
        <v>2788</v>
      </c>
      <c r="G28" s="29"/>
      <c r="O28" s="81">
        <v>0.99</v>
      </c>
      <c r="P28" s="81">
        <f t="shared" si="3"/>
        <v>27.700101</v>
      </c>
      <c r="Z28" s="712" t="s">
        <v>747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29"/>
      <c r="C29" s="4"/>
      <c r="G29" s="29"/>
      <c r="O29" s="81">
        <v>0.98</v>
      </c>
      <c r="P29" s="81">
        <f t="shared" si="3"/>
        <v>27.420302</v>
      </c>
      <c r="Z29" s="712" t="s">
        <v>719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29"/>
      <c r="G30" s="29"/>
      <c r="O30" s="81">
        <v>0.97</v>
      </c>
      <c r="P30" s="81">
        <f t="shared" si="3"/>
        <v>27.140502999999999</v>
      </c>
      <c r="Z30" s="712" t="s">
        <v>720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G31" s="29"/>
      <c r="O31" s="81">
        <v>0.96</v>
      </c>
      <c r="P31" s="81">
        <f t="shared" si="3"/>
        <v>26.860703999999998</v>
      </c>
      <c r="Z31" s="712" t="s">
        <v>712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A32" s="31" t="s">
        <v>81</v>
      </c>
      <c r="B32" s="14"/>
      <c r="C32" s="14">
        <f>SUM(C2:C29)</f>
        <v>3550</v>
      </c>
      <c r="D32" s="18"/>
      <c r="E32" s="18"/>
      <c r="F32" s="18">
        <f>SUM(F2:F29)</f>
        <v>88700.62</v>
      </c>
      <c r="G32" s="14"/>
      <c r="H32" s="14">
        <f>SUM(H2:H31)</f>
        <v>3050</v>
      </c>
      <c r="I32" s="18"/>
      <c r="J32" s="18"/>
      <c r="K32" s="18">
        <f>SUM(K2:K31)</f>
        <v>78384.270000000033</v>
      </c>
      <c r="L32" s="14"/>
      <c r="M32" s="18">
        <f>SUM(M2:M10)</f>
        <v>285</v>
      </c>
      <c r="O32" s="81">
        <v>0.95</v>
      </c>
      <c r="P32" s="81">
        <f t="shared" si="3"/>
        <v>26.580904999999998</v>
      </c>
      <c r="Z32" s="676"/>
      <c r="AA32" s="714"/>
      <c r="AB32" s="676"/>
      <c r="AC32" s="676"/>
      <c r="AD32" s="676"/>
      <c r="AE32" s="676"/>
      <c r="AF32" s="676"/>
      <c r="AG32" s="676"/>
    </row>
    <row r="33" spans="1:33" ht="15.75" thickBot="1" x14ac:dyDescent="0.3">
      <c r="A33" s="341" t="s">
        <v>193</v>
      </c>
      <c r="B33" s="342"/>
      <c r="C33" s="343">
        <f>SumByColor($A$33,C2:C31)</f>
        <v>3050</v>
      </c>
      <c r="D33" s="343"/>
      <c r="E33" s="343"/>
      <c r="F33" s="344">
        <f>SumByColor($A$33,F2:F31)</f>
        <v>74845</v>
      </c>
      <c r="G33" s="343"/>
      <c r="H33" s="343">
        <f>SumByColor($A$33,H2:H31)</f>
        <v>3050</v>
      </c>
      <c r="I33" s="343"/>
      <c r="J33" s="343"/>
      <c r="K33" s="344">
        <f>SumByColor($A$33,K2:K31)</f>
        <v>78386</v>
      </c>
      <c r="L33" s="343"/>
      <c r="M33" s="344">
        <f>SumByColor($A$33,M2:M31)</f>
        <v>286</v>
      </c>
      <c r="O33" s="81">
        <v>0.94</v>
      </c>
      <c r="P33" s="81">
        <f t="shared" si="3"/>
        <v>26.301106000000001</v>
      </c>
      <c r="Z33" s="712" t="s">
        <v>714</v>
      </c>
      <c r="AA33" s="714"/>
      <c r="AB33" s="719">
        <v>0.15</v>
      </c>
      <c r="AC33" s="732" t="s">
        <v>760</v>
      </c>
      <c r="AD33" s="732" t="s">
        <v>934</v>
      </c>
      <c r="AE33" s="732" t="s">
        <v>934</v>
      </c>
      <c r="AF33" s="676"/>
      <c r="AG33" s="676"/>
    </row>
    <row r="34" spans="1:33" x14ac:dyDescent="0.25">
      <c r="O34" s="81">
        <v>0.93</v>
      </c>
      <c r="P34" s="81">
        <f t="shared" si="3"/>
        <v>26.021307000000004</v>
      </c>
      <c r="Z34" s="712" t="s">
        <v>721</v>
      </c>
      <c r="AA34" s="714"/>
      <c r="AB34" s="719">
        <v>0.18</v>
      </c>
      <c r="AC34" s="719"/>
      <c r="AD34" s="732" t="s">
        <v>935</v>
      </c>
      <c r="AE34" s="732" t="s">
        <v>935</v>
      </c>
      <c r="AF34" s="676"/>
      <c r="AG34" s="676"/>
    </row>
    <row r="35" spans="1:33" x14ac:dyDescent="0.25">
      <c r="O35" s="81">
        <v>0.92</v>
      </c>
      <c r="P35" s="81">
        <f t="shared" si="3"/>
        <v>25.741508000000003</v>
      </c>
      <c r="Z35" s="712" t="s">
        <v>745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497</v>
      </c>
      <c r="K36" s="488" t="s">
        <v>150</v>
      </c>
      <c r="L36" s="488" t="s">
        <v>973</v>
      </c>
      <c r="O36" s="81">
        <v>0.91</v>
      </c>
      <c r="P36" s="81">
        <f t="shared" si="3"/>
        <v>25.461709000000003</v>
      </c>
      <c r="Z36" s="712" t="s">
        <v>715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4">C37*(E37-D37)</f>
        <v>267.00000000000017</v>
      </c>
      <c r="G37" s="527">
        <f t="shared" ref="G37:G42" si="5">D37*C37</f>
        <v>2758</v>
      </c>
      <c r="H37" s="568">
        <f t="shared" ref="H37:H42" si="6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3"/>
        <v>25.181910000000002</v>
      </c>
      <c r="Z37" s="712" t="s">
        <v>716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4"/>
        <v>436.92999999999989</v>
      </c>
      <c r="G38" s="527">
        <f t="shared" si="5"/>
        <v>2718.07</v>
      </c>
      <c r="H38" s="568">
        <f t="shared" si="6"/>
        <v>0.16075009105725749</v>
      </c>
      <c r="I38" s="527"/>
      <c r="J38" s="527"/>
      <c r="K38" s="527"/>
      <c r="L38" s="527"/>
      <c r="Z38" s="712" t="s">
        <v>746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A39" t="s">
        <v>348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4"/>
        <v>37.000000000000099</v>
      </c>
      <c r="G39" s="39">
        <f t="shared" si="5"/>
        <v>3118</v>
      </c>
      <c r="H39" s="222">
        <f t="shared" si="6"/>
        <v>1.1866581141757569E-2</v>
      </c>
      <c r="I39" s="39"/>
      <c r="J39" s="39"/>
      <c r="K39" s="39"/>
      <c r="L39" s="39"/>
      <c r="Z39" s="712" t="s">
        <v>726</v>
      </c>
      <c r="AA39" s="717" t="s">
        <v>738</v>
      </c>
      <c r="AB39" s="712" t="s">
        <v>729</v>
      </c>
      <c r="AC39" s="712" t="s">
        <v>761</v>
      </c>
      <c r="AD39" s="712"/>
      <c r="AE39" s="712"/>
      <c r="AF39" s="676"/>
      <c r="AG39" s="676"/>
    </row>
    <row r="40" spans="1:33" x14ac:dyDescent="0.25">
      <c r="A40" t="s">
        <v>348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4"/>
        <v>207.99999999999983</v>
      </c>
      <c r="G40" s="39">
        <f t="shared" si="5"/>
        <v>3118</v>
      </c>
      <c r="H40" s="222">
        <f t="shared" si="6"/>
        <v>6.6709429121231498E-2</v>
      </c>
      <c r="I40" s="39"/>
      <c r="J40" s="39"/>
      <c r="K40" s="39"/>
      <c r="L40" s="39"/>
      <c r="Z40" s="712" t="s">
        <v>727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338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4"/>
        <v>246.00000000000009</v>
      </c>
      <c r="G41" s="39">
        <f t="shared" si="5"/>
        <v>3118</v>
      </c>
      <c r="H41" s="222">
        <f t="shared" si="6"/>
        <v>7.8896728672225816E-2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4"/>
        <v>-245.99999999999937</v>
      </c>
      <c r="G42" s="39">
        <f t="shared" si="5"/>
        <v>5966</v>
      </c>
      <c r="H42" s="222">
        <f t="shared" si="6"/>
        <v>-4.1233657391887259E-2</v>
      </c>
      <c r="I42" s="39"/>
      <c r="J42" s="39">
        <v>30.72</v>
      </c>
      <c r="K42" s="39">
        <v>1207</v>
      </c>
      <c r="L42" s="39"/>
      <c r="Q42" s="2"/>
      <c r="Z42" s="718" t="s">
        <v>744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>C43*(E43-D43)</f>
        <v>-161.0599999999998</v>
      </c>
      <c r="G43" s="39">
        <f>D43*C43</f>
        <v>3075.06</v>
      </c>
      <c r="H43" s="222">
        <f>(E43-D43)/D43</f>
        <v>-5.2376213797454295E-2</v>
      </c>
      <c r="I43" s="39"/>
      <c r="J43" s="39"/>
      <c r="K43" s="39">
        <v>1291</v>
      </c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7">C44*(E44-D44)</f>
        <v>-130.55999999999983</v>
      </c>
      <c r="G44" s="39">
        <f t="shared" ref="G44:G57" si="8">D44*C44</f>
        <v>3047.56</v>
      </c>
      <c r="H44" s="222">
        <f t="shared" ref="H44:H57" si="9">(E44-D44)/D44</f>
        <v>-4.2840830041081988E-2</v>
      </c>
      <c r="I44" s="39"/>
      <c r="J44" s="39">
        <v>30</v>
      </c>
      <c r="K44" s="39">
        <v>1321</v>
      </c>
      <c r="L44" s="39"/>
      <c r="Q44" s="2"/>
      <c r="Z44" s="709" t="s">
        <v>1068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7"/>
        <v>-144.55999999999989</v>
      </c>
      <c r="G45" s="39">
        <f t="shared" si="8"/>
        <v>5882.56</v>
      </c>
      <c r="H45" s="222">
        <f t="shared" si="9"/>
        <v>-2.4574334983408566E-2</v>
      </c>
      <c r="I45" s="39">
        <v>29</v>
      </c>
      <c r="J45" s="39"/>
      <c r="K45" s="39">
        <v>1308</v>
      </c>
      <c r="L45" s="39"/>
      <c r="Q45" s="2"/>
      <c r="Z45" s="712" t="s">
        <v>719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7"/>
        <v>-898.56000000000017</v>
      </c>
      <c r="G46" s="39">
        <f t="shared" si="8"/>
        <v>8383.56</v>
      </c>
      <c r="H46" s="222">
        <f t="shared" si="9"/>
        <v>-0.10718119748650932</v>
      </c>
      <c r="I46" s="39"/>
      <c r="J46" s="39"/>
      <c r="K46" s="39">
        <v>554</v>
      </c>
      <c r="L46" s="39"/>
      <c r="Q46" s="2"/>
      <c r="Z46" s="712" t="s">
        <v>720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7"/>
        <v>-1189.5600000000002</v>
      </c>
      <c r="G47" s="39">
        <f t="shared" si="8"/>
        <v>10781.56</v>
      </c>
      <c r="H47" s="222">
        <f t="shared" si="9"/>
        <v>-0.11033282753145186</v>
      </c>
      <c r="I47" s="39"/>
      <c r="J47" s="39"/>
      <c r="K47" s="39"/>
      <c r="L47" s="39"/>
      <c r="Q47" s="2"/>
      <c r="Z47" s="712" t="s">
        <v>712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7"/>
        <v>-1401.5600000000006</v>
      </c>
      <c r="G48" s="39">
        <f t="shared" si="8"/>
        <v>10781.56</v>
      </c>
      <c r="H48" s="222">
        <f t="shared" si="9"/>
        <v>-0.12999603025907203</v>
      </c>
      <c r="I48" s="39"/>
      <c r="J48" s="39"/>
      <c r="K48" s="39">
        <v>50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7"/>
        <v>-1631.9999999999993</v>
      </c>
      <c r="G49" s="39">
        <f t="shared" si="8"/>
        <v>15378</v>
      </c>
      <c r="H49" s="222">
        <f t="shared" si="9"/>
        <v>-0.10612563402262969</v>
      </c>
      <c r="I49" s="39"/>
      <c r="J49" s="39"/>
      <c r="K49" s="39">
        <v>-179</v>
      </c>
      <c r="L49" s="39"/>
      <c r="Q49" s="2"/>
      <c r="Z49" s="712" t="s">
        <v>717</v>
      </c>
      <c r="AA49" s="714">
        <v>20</v>
      </c>
      <c r="AB49" s="712" t="s">
        <v>752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7"/>
        <v>-1121.6799999999992</v>
      </c>
      <c r="G50" s="39">
        <f t="shared" si="8"/>
        <v>10541.68</v>
      </c>
      <c r="H50" s="222">
        <f t="shared" si="9"/>
        <v>-0.1064042922949662</v>
      </c>
      <c r="I50" s="39"/>
      <c r="J50" s="39"/>
      <c r="K50" s="39">
        <v>331</v>
      </c>
      <c r="L50" s="39"/>
      <c r="Q50" s="2"/>
      <c r="Z50" s="712" t="s">
        <v>724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7"/>
        <v>-1533.6600000000003</v>
      </c>
      <c r="G51" s="39">
        <f t="shared" si="8"/>
        <v>15177.66</v>
      </c>
      <c r="H51" s="222">
        <f t="shared" si="9"/>
        <v>-0.10104719699874687</v>
      </c>
      <c r="I51" s="39"/>
      <c r="J51" s="39"/>
      <c r="K51" s="39">
        <v>-81.41</v>
      </c>
      <c r="L51" s="39"/>
      <c r="Q51" s="2"/>
      <c r="Z51" s="712" t="s">
        <v>748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7"/>
        <v>-1461.6599999999999</v>
      </c>
      <c r="G52" s="39">
        <f t="shared" si="8"/>
        <v>15087.66</v>
      </c>
      <c r="H52" s="222">
        <f t="shared" si="9"/>
        <v>-9.6877845868743054E-2</v>
      </c>
      <c r="I52" s="39"/>
      <c r="J52" s="39"/>
      <c r="K52" s="39">
        <v>-9.41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7"/>
        <v>-613.80000000000052</v>
      </c>
      <c r="G53" s="39">
        <f t="shared" si="8"/>
        <v>10257.800000000001</v>
      </c>
      <c r="H53" s="222">
        <f t="shared" si="9"/>
        <v>-5.9837392033379525E-2</v>
      </c>
      <c r="I53" s="39"/>
      <c r="J53" s="39"/>
      <c r="K53" s="39">
        <v>836</v>
      </c>
      <c r="L53" s="39"/>
      <c r="Q53" s="2"/>
      <c r="Z53" s="712" t="s">
        <v>746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7"/>
        <v>-384.00000000000034</v>
      </c>
      <c r="G54" s="39">
        <f t="shared" si="8"/>
        <v>14916</v>
      </c>
      <c r="H54" s="222">
        <f t="shared" si="9"/>
        <v>-2.5744167337087714E-2</v>
      </c>
      <c r="I54" s="39"/>
      <c r="J54" s="39"/>
      <c r="K54" s="39">
        <v>1066</v>
      </c>
      <c r="L54" s="39"/>
      <c r="Z54" s="712" t="s">
        <v>749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7"/>
        <v>-229.9199999999999</v>
      </c>
      <c r="G55" s="39">
        <f t="shared" si="8"/>
        <v>9917.92</v>
      </c>
      <c r="H55" s="222">
        <f t="shared" si="9"/>
        <v>-2.3182280155516471E-2</v>
      </c>
      <c r="I55" s="39">
        <v>23</v>
      </c>
      <c r="J55" s="39"/>
      <c r="K55" s="39">
        <v>1222</v>
      </c>
      <c r="L55" s="39"/>
      <c r="Z55" s="712" t="s">
        <v>750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7"/>
        <v>-613.79999999999984</v>
      </c>
      <c r="G56" s="39">
        <f t="shared" si="8"/>
        <v>14773.800000000001</v>
      </c>
      <c r="H56" s="222">
        <f t="shared" si="9"/>
        <v>-4.1546521544897033E-2</v>
      </c>
      <c r="I56" s="39"/>
      <c r="J56" s="39"/>
      <c r="K56" s="39">
        <v>838</v>
      </c>
      <c r="L56" s="39"/>
      <c r="Z56" s="722" t="s">
        <v>751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7"/>
        <v>-1069.9199999999992</v>
      </c>
      <c r="G57" s="39">
        <f t="shared" si="8"/>
        <v>19269.919999999998</v>
      </c>
      <c r="H57" s="222">
        <f t="shared" si="9"/>
        <v>-5.5522804453780765E-2</v>
      </c>
      <c r="I57" s="39"/>
      <c r="J57" s="39"/>
      <c r="K57" s="39"/>
      <c r="L57" s="39"/>
      <c r="Z57" s="718" t="s">
        <v>744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:F69" si="10">C58*(E58-D58)</f>
        <v>-3716.9999999999991</v>
      </c>
      <c r="G58" s="39">
        <f t="shared" ref="G58:G69" si="11">D58*C58</f>
        <v>21231</v>
      </c>
      <c r="H58" s="222">
        <f t="shared" ref="H58:H69" si="12">(E58-D58)/D58</f>
        <v>-0.17507418397626109</v>
      </c>
      <c r="I58" s="39"/>
      <c r="J58" s="39"/>
      <c r="K58" s="39">
        <v>-2264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si="10"/>
        <v>-3428.5599999999986</v>
      </c>
      <c r="G59" s="39">
        <f t="shared" si="11"/>
        <v>19252.560000000001</v>
      </c>
      <c r="H59" s="222">
        <f t="shared" si="12"/>
        <v>-0.17808333021686459</v>
      </c>
      <c r="I59" s="39">
        <v>23.5</v>
      </c>
      <c r="J59" s="39"/>
      <c r="K59" s="39">
        <v>-2128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si="10"/>
        <v>-2204.5600000000009</v>
      </c>
      <c r="G60" s="39">
        <f t="shared" si="11"/>
        <v>19252.560000000001</v>
      </c>
      <c r="H60" s="222">
        <f t="shared" si="12"/>
        <v>-0.11450736940957466</v>
      </c>
      <c r="I60" s="39">
        <v>23.5</v>
      </c>
      <c r="J60" s="39"/>
      <c r="K60" s="39">
        <v>-752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10"/>
        <v>-1845.599999999999</v>
      </c>
      <c r="G61" s="39">
        <f t="shared" si="11"/>
        <v>19117.599999999999</v>
      </c>
      <c r="H61" s="222">
        <f t="shared" si="12"/>
        <v>-9.6539314558312703E-2</v>
      </c>
      <c r="I61" s="39">
        <v>23.5</v>
      </c>
      <c r="J61" s="39"/>
      <c r="K61" s="39">
        <v>-393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10"/>
        <v>-1695.999999999998</v>
      </c>
      <c r="G62" s="39">
        <f t="shared" si="11"/>
        <v>19120</v>
      </c>
      <c r="H62" s="222">
        <f t="shared" si="12"/>
        <v>-8.8702928870292783E-2</v>
      </c>
      <c r="I62" s="39"/>
      <c r="J62" s="39">
        <v>61</v>
      </c>
      <c r="K62" s="39">
        <v>-241</v>
      </c>
      <c r="L62" s="39"/>
      <c r="Z62" s="713" t="s">
        <v>742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si="10"/>
        <v>-2295.9999999999982</v>
      </c>
      <c r="G63" s="39">
        <f t="shared" si="11"/>
        <v>19120</v>
      </c>
      <c r="H63" s="222">
        <f t="shared" si="12"/>
        <v>-0.1200836820083681</v>
      </c>
      <c r="I63" s="39"/>
      <c r="J63" s="39"/>
      <c r="K63" s="39">
        <v>-841</v>
      </c>
      <c r="L63" s="39"/>
      <c r="Z63" s="713" t="s">
        <v>740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si="10"/>
        <v>-847.99999999999898</v>
      </c>
      <c r="G64" s="39">
        <f t="shared" si="11"/>
        <v>19120</v>
      </c>
      <c r="H64" s="222">
        <f t="shared" si="12"/>
        <v>-4.4351464435146391E-2</v>
      </c>
      <c r="I64" s="39"/>
      <c r="J64" s="39">
        <v>60.22</v>
      </c>
      <c r="K64" s="39">
        <v>607</v>
      </c>
      <c r="L64" s="39"/>
      <c r="Z64" s="713" t="s">
        <v>739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10"/>
        <v>454.25000000000006</v>
      </c>
      <c r="G65" s="39">
        <f t="shared" si="11"/>
        <v>11740.75</v>
      </c>
      <c r="H65" s="222">
        <f t="shared" si="12"/>
        <v>3.8690032578838664E-2</v>
      </c>
      <c r="I65" s="39"/>
      <c r="J65" s="39"/>
      <c r="K65" s="39">
        <v>1907</v>
      </c>
      <c r="L65" s="39"/>
      <c r="Z65" s="713" t="s">
        <v>938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si="10"/>
        <v>669.24999999999989</v>
      </c>
      <c r="G66" s="39">
        <f t="shared" si="11"/>
        <v>11740.75</v>
      </c>
      <c r="H66" s="222">
        <f t="shared" si="12"/>
        <v>5.7002320976087546E-2</v>
      </c>
      <c r="I66" s="39"/>
      <c r="J66" s="39"/>
      <c r="K66" s="39">
        <v>2121</v>
      </c>
      <c r="L66" s="39"/>
      <c r="Z66" s="713" t="s">
        <v>741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10"/>
        <v>873.00000000000057</v>
      </c>
      <c r="G67" s="39">
        <f t="shared" si="11"/>
        <v>10480.5</v>
      </c>
      <c r="H67" s="222">
        <f t="shared" si="12"/>
        <v>8.3297552597681471E-2</v>
      </c>
      <c r="I67" s="39"/>
      <c r="J67" s="39">
        <v>68</v>
      </c>
      <c r="K67" s="39">
        <v>2324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10"/>
        <v>1519.9999999999989</v>
      </c>
      <c r="G68" s="39">
        <f t="shared" si="11"/>
        <v>9140</v>
      </c>
      <c r="H68" s="222">
        <f t="shared" si="12"/>
        <v>0.16630196936542657</v>
      </c>
      <c r="I68" s="746" t="s">
        <v>829</v>
      </c>
      <c r="J68" s="39"/>
      <c r="K68" s="39">
        <v>2972</v>
      </c>
      <c r="L68" s="39"/>
      <c r="Z68" s="713" t="s">
        <v>743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10"/>
        <v>1223.6800000000003</v>
      </c>
      <c r="G69" s="39">
        <f t="shared" si="11"/>
        <v>9140.32</v>
      </c>
      <c r="H69" s="222">
        <f t="shared" si="12"/>
        <v>0.13387715090937738</v>
      </c>
      <c r="I69" s="39"/>
      <c r="J69" s="39"/>
      <c r="K69" s="39">
        <v>2676</v>
      </c>
      <c r="L69" s="39"/>
      <c r="Z69" s="713" t="s">
        <v>1069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13">C70*(E70-D70)</f>
        <v>1747.6799999999998</v>
      </c>
      <c r="G70" s="39">
        <f t="shared" ref="G70:G82" si="14">D70*C70</f>
        <v>9140.32</v>
      </c>
      <c r="H70" s="222">
        <f t="shared" ref="H70:H82" si="15">(E70-D70)/D70</f>
        <v>0.1912055595427731</v>
      </c>
      <c r="I70" s="39"/>
      <c r="J70" s="39"/>
      <c r="K70" s="39">
        <v>3120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13"/>
        <v>1126.7099999999991</v>
      </c>
      <c r="G71" s="39">
        <f t="shared" si="14"/>
        <v>10429.290000000001</v>
      </c>
      <c r="H71" s="222">
        <f t="shared" si="15"/>
        <v>0.10803324099722983</v>
      </c>
      <c r="I71" s="39"/>
      <c r="J71" s="39"/>
      <c r="K71" s="39">
        <v>2579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13"/>
        <v>1382.6799999999992</v>
      </c>
      <c r="G72" s="39">
        <f t="shared" si="14"/>
        <v>9105.32</v>
      </c>
      <c r="H72" s="222">
        <f t="shared" si="15"/>
        <v>0.15185408091093988</v>
      </c>
      <c r="I72" s="39">
        <v>22.5</v>
      </c>
      <c r="J72" s="39"/>
      <c r="K72" s="39">
        <v>2835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13"/>
        <v>1507.9999999999998</v>
      </c>
      <c r="G73" s="39">
        <f t="shared" si="14"/>
        <v>9104</v>
      </c>
      <c r="H73" s="222">
        <f t="shared" si="15"/>
        <v>0.16564147627416517</v>
      </c>
      <c r="I73" s="39"/>
      <c r="J73" s="39">
        <v>58.41</v>
      </c>
      <c r="K73" s="39">
        <v>2959</v>
      </c>
      <c r="L73" s="39"/>
      <c r="AA73" s="107"/>
    </row>
    <row r="74" spans="1:33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13"/>
        <v>1936.6200000000003</v>
      </c>
      <c r="G74" s="39">
        <f t="shared" si="14"/>
        <v>6343.38</v>
      </c>
      <c r="H74" s="222">
        <f t="shared" si="15"/>
        <v>0.30529780653216426</v>
      </c>
      <c r="I74" s="39"/>
      <c r="J74" s="39"/>
      <c r="K74" s="39">
        <v>3389</v>
      </c>
      <c r="L74" s="39"/>
      <c r="AA74" s="4"/>
    </row>
    <row r="75" spans="1:33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13"/>
        <v>1888.600000000001</v>
      </c>
      <c r="G75" s="39">
        <f t="shared" si="14"/>
        <v>9031.4</v>
      </c>
      <c r="H75" s="222">
        <f t="shared" si="15"/>
        <v>0.20911486591226178</v>
      </c>
      <c r="I75" s="39"/>
      <c r="J75" s="39"/>
      <c r="K75" s="39">
        <v>3341</v>
      </c>
      <c r="L75" s="39"/>
    </row>
    <row r="76" spans="1:33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13"/>
        <v>1415.9999999999995</v>
      </c>
      <c r="G76" s="39">
        <f t="shared" si="14"/>
        <v>14208</v>
      </c>
      <c r="H76" s="222">
        <f t="shared" si="15"/>
        <v>9.9662162162162143E-2</v>
      </c>
      <c r="I76" s="39"/>
      <c r="J76" s="39"/>
      <c r="K76" s="39">
        <v>2869</v>
      </c>
      <c r="L76" s="39"/>
    </row>
    <row r="77" spans="1:33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13"/>
        <v>556.64000000000158</v>
      </c>
      <c r="G77" s="39">
        <f t="shared" si="14"/>
        <v>18923.36</v>
      </c>
      <c r="H77" s="222">
        <f t="shared" si="15"/>
        <v>2.9415494922677664E-2</v>
      </c>
      <c r="I77" s="39"/>
      <c r="J77" s="39"/>
      <c r="K77" s="39"/>
      <c r="L77" s="39"/>
    </row>
    <row r="78" spans="1:33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13"/>
        <v>582.48000000000036</v>
      </c>
      <c r="G78" s="39">
        <f t="shared" si="14"/>
        <v>14027.52</v>
      </c>
      <c r="H78" s="222">
        <f t="shared" si="15"/>
        <v>4.1524089789214368E-2</v>
      </c>
      <c r="I78" s="39"/>
      <c r="J78" s="39"/>
      <c r="K78" s="39">
        <v>2035</v>
      </c>
      <c r="L78" s="39"/>
    </row>
    <row r="79" spans="1:33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13"/>
        <v>1488.0000000000002</v>
      </c>
      <c r="G79" s="39">
        <f t="shared" si="14"/>
        <v>14028</v>
      </c>
      <c r="H79" s="222">
        <f t="shared" si="15"/>
        <v>0.10607356715141149</v>
      </c>
      <c r="I79" s="39"/>
      <c r="J79" s="39"/>
      <c r="K79" s="39">
        <v>2941</v>
      </c>
      <c r="L79" s="39"/>
    </row>
    <row r="80" spans="1:33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13"/>
        <v>1685.0000000000005</v>
      </c>
      <c r="G80" s="39">
        <f t="shared" si="14"/>
        <v>11410</v>
      </c>
      <c r="H80" s="222">
        <f t="shared" si="15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13"/>
        <v>1980.0000000000011</v>
      </c>
      <c r="G81" s="39">
        <f t="shared" si="14"/>
        <v>8724</v>
      </c>
      <c r="H81" s="222">
        <f t="shared" si="15"/>
        <v>0.22696011004126562</v>
      </c>
      <c r="I81" s="746" t="s">
        <v>939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13"/>
        <v>2524.0000000000009</v>
      </c>
      <c r="G82" s="39">
        <f t="shared" si="14"/>
        <v>8724</v>
      </c>
      <c r="H82" s="222">
        <f t="shared" si="15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>C83*(E83-D83)</f>
        <v>2004.0000000000007</v>
      </c>
      <c r="G83" s="39">
        <f>D83*C83</f>
        <v>8724</v>
      </c>
      <c r="H83" s="222">
        <f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>C84*(E84-D84)</f>
        <v>2372</v>
      </c>
      <c r="G84" s="39">
        <f>D84*C84</f>
        <v>8724</v>
      </c>
      <c r="H84" s="222">
        <f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>C85*(E85-D85)</f>
        <v>1584.0000000000005</v>
      </c>
      <c r="G85" s="39">
        <f>D85*C85</f>
        <v>13770</v>
      </c>
      <c r="H85" s="222">
        <f>(E85-D85)/D85</f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16">C86*(E86-D86)</f>
        <v>1019.9999999999995</v>
      </c>
      <c r="G86" s="39">
        <f t="shared" ref="G86:G93" si="17">D86*C86</f>
        <v>13770</v>
      </c>
      <c r="H86" s="222">
        <f t="shared" ref="H86:H93" si="18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16"/>
        <v>364.40000000000055</v>
      </c>
      <c r="G87" s="39">
        <f t="shared" si="17"/>
        <v>18491.599999999999</v>
      </c>
      <c r="H87" s="222">
        <f t="shared" si="18"/>
        <v>1.9706244997728727E-2</v>
      </c>
      <c r="I87" s="746" t="s">
        <v>965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16"/>
        <v>928.26000000000022</v>
      </c>
      <c r="G88" s="39">
        <f t="shared" si="17"/>
        <v>13639.74</v>
      </c>
      <c r="H88" s="222">
        <f t="shared" si="18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16"/>
        <v>560.00000000000227</v>
      </c>
      <c r="G89" s="39">
        <f t="shared" si="17"/>
        <v>18376</v>
      </c>
      <c r="H89" s="222">
        <f t="shared" si="18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16"/>
        <v>1788.0000000000002</v>
      </c>
      <c r="G90" s="39">
        <f t="shared" si="17"/>
        <v>13326</v>
      </c>
      <c r="H90" s="222">
        <f t="shared" si="18"/>
        <v>0.13417379558757317</v>
      </c>
      <c r="I90" s="746" t="s">
        <v>967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16"/>
        <v>1372.0000000000007</v>
      </c>
      <c r="G91" s="39">
        <f t="shared" si="17"/>
        <v>15778</v>
      </c>
      <c r="H91" s="222">
        <f t="shared" si="18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16"/>
        <v>1059.2000000000012</v>
      </c>
      <c r="G92" s="39">
        <f t="shared" si="17"/>
        <v>18180.8</v>
      </c>
      <c r="H92" s="222">
        <f t="shared" si="18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16"/>
        <v>1881.0000000000009</v>
      </c>
      <c r="G93" s="39">
        <f t="shared" si="17"/>
        <v>13137</v>
      </c>
      <c r="H93" s="222">
        <f t="shared" si="18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>C94*(E94-D94)</f>
        <v>2486.9999999999995</v>
      </c>
      <c r="G94" s="39">
        <f>D94*C94</f>
        <v>13137</v>
      </c>
      <c r="H94" s="222">
        <f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3" si="19">C95*(E95-D95)</f>
        <v>3165.0000000000014</v>
      </c>
      <c r="G95" s="39">
        <f t="shared" ref="G95:G103" si="20">D95*C95</f>
        <v>13137</v>
      </c>
      <c r="H95" s="222">
        <f t="shared" ref="H95:H103" si="21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19"/>
        <v>3350.7999999999997</v>
      </c>
      <c r="G96" s="39">
        <f t="shared" si="20"/>
        <v>7621.2000000000007</v>
      </c>
      <c r="H96" s="222">
        <f t="shared" si="21"/>
        <v>0.4396682937070277</v>
      </c>
      <c r="I96" s="746" t="s">
        <v>1063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19"/>
        <v>3456.8999999999992</v>
      </c>
      <c r="G97" s="39">
        <f t="shared" si="20"/>
        <v>10323.1</v>
      </c>
      <c r="H97" s="222">
        <f t="shared" si="21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19"/>
        <v>2728.920000000001</v>
      </c>
      <c r="G98" s="39">
        <f t="shared" si="20"/>
        <v>12931.08</v>
      </c>
      <c r="H98" s="222">
        <f t="shared" si="21"/>
        <v>0.21103573715420529</v>
      </c>
      <c r="I98" s="746" t="s">
        <v>1072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19"/>
        <v>3410.7600000000007</v>
      </c>
      <c r="G99" s="39">
        <f t="shared" si="20"/>
        <v>7457.24</v>
      </c>
      <c r="H99" s="222">
        <f t="shared" si="21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19"/>
        <v>4114.6999999999989</v>
      </c>
      <c r="G100" s="39">
        <f t="shared" si="20"/>
        <v>1701.3000000000002</v>
      </c>
      <c r="H100" s="222">
        <f t="shared" si="21"/>
        <v>2.418562275906659</v>
      </c>
      <c r="I100" s="39"/>
      <c r="J100" s="39"/>
      <c r="K100" s="39">
        <v>5567</v>
      </c>
      <c r="L100" s="39"/>
    </row>
    <row r="101" spans="1:12" x14ac:dyDescent="0.25">
      <c r="A101">
        <v>200</v>
      </c>
      <c r="B101" s="184">
        <v>43270</v>
      </c>
      <c r="C101" s="7">
        <v>400</v>
      </c>
      <c r="D101" s="43">
        <v>18.353300000000001</v>
      </c>
      <c r="E101" s="39">
        <v>28.31</v>
      </c>
      <c r="F101" s="39">
        <f t="shared" si="19"/>
        <v>3982.6799999999994</v>
      </c>
      <c r="G101" s="39">
        <f t="shared" si="20"/>
        <v>7341.3200000000006</v>
      </c>
      <c r="H101" s="222">
        <f t="shared" si="21"/>
        <v>0.54250189339246879</v>
      </c>
      <c r="I101" s="229" t="s">
        <v>1135</v>
      </c>
      <c r="J101" s="39"/>
      <c r="K101" s="39">
        <v>5435</v>
      </c>
      <c r="L101" s="39"/>
    </row>
    <row r="102" spans="1:12" x14ac:dyDescent="0.25">
      <c r="A102">
        <v>200</v>
      </c>
      <c r="B102" s="184">
        <v>43272</v>
      </c>
      <c r="C102" s="10">
        <v>400</v>
      </c>
      <c r="D102" s="39">
        <v>18.328299999999999</v>
      </c>
      <c r="E102" s="39">
        <v>28.28</v>
      </c>
      <c r="F102" s="39">
        <f t="shared" si="19"/>
        <v>3980.6800000000012</v>
      </c>
      <c r="G102" s="39">
        <f t="shared" si="20"/>
        <v>7331.32</v>
      </c>
      <c r="H102" s="222">
        <f t="shared" si="21"/>
        <v>0.54296906969004233</v>
      </c>
      <c r="I102" s="39"/>
      <c r="J102" s="39"/>
      <c r="K102" s="39">
        <v>5473</v>
      </c>
      <c r="L102" s="39"/>
    </row>
    <row r="103" spans="1:12" x14ac:dyDescent="0.25">
      <c r="A103">
        <v>100</v>
      </c>
      <c r="B103" s="184">
        <v>43273</v>
      </c>
      <c r="C103" s="10">
        <v>300</v>
      </c>
      <c r="D103" s="39">
        <v>14.7445</v>
      </c>
      <c r="E103" s="39">
        <v>28.88</v>
      </c>
      <c r="F103" s="39">
        <f t="shared" si="19"/>
        <v>4240.6499999999996</v>
      </c>
      <c r="G103" s="39">
        <f t="shared" si="20"/>
        <v>4423.3500000000004</v>
      </c>
      <c r="H103" s="222">
        <f t="shared" si="21"/>
        <v>0.95869646308793099</v>
      </c>
      <c r="I103" s="39"/>
      <c r="J103" s="39"/>
      <c r="K103" s="39">
        <v>5693</v>
      </c>
      <c r="L103" s="39"/>
    </row>
    <row r="104" spans="1:12" x14ac:dyDescent="0.25">
      <c r="A104">
        <v>100</v>
      </c>
      <c r="B104" s="184">
        <v>43292</v>
      </c>
      <c r="C104" s="7">
        <v>400</v>
      </c>
      <c r="D104" s="43">
        <v>18.11</v>
      </c>
      <c r="E104" s="39">
        <v>27.88</v>
      </c>
      <c r="F104" s="39">
        <f t="shared" ref="F104:F105" si="22">C104*(E104-D104)</f>
        <v>3908</v>
      </c>
      <c r="G104" s="39">
        <f t="shared" ref="G104:G105" si="23">D104*C104</f>
        <v>7244</v>
      </c>
      <c r="H104" s="222">
        <f t="shared" ref="H104:H105" si="24">(E104-D104)/D104</f>
        <v>0.5394809497515185</v>
      </c>
      <c r="I104" s="39"/>
      <c r="J104" s="39"/>
      <c r="K104" s="39">
        <v>5361</v>
      </c>
      <c r="L104" s="39"/>
    </row>
    <row r="105" spans="1:12" x14ac:dyDescent="0.25">
      <c r="A105">
        <v>100</v>
      </c>
      <c r="B105" s="184">
        <v>43292</v>
      </c>
      <c r="C105" s="10">
        <v>500</v>
      </c>
      <c r="D105" s="39">
        <v>20.059999999999999</v>
      </c>
      <c r="E105" s="39">
        <v>27.88</v>
      </c>
      <c r="F105" s="39">
        <f t="shared" si="22"/>
        <v>3910</v>
      </c>
      <c r="G105" s="39">
        <f t="shared" si="23"/>
        <v>10030</v>
      </c>
      <c r="H105" s="222">
        <f t="shared" si="24"/>
        <v>0.38983050847457629</v>
      </c>
      <c r="I105" s="39"/>
      <c r="J105" s="39"/>
      <c r="K105" s="39">
        <v>5361</v>
      </c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1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1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1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2" spans="1:12" x14ac:dyDescent="0.25">
      <c r="B112" s="484" t="s">
        <v>113</v>
      </c>
      <c r="C112" s="484" t="s">
        <v>146</v>
      </c>
      <c r="D112" s="485" t="s">
        <v>145</v>
      </c>
      <c r="E112" s="486" t="s">
        <v>147</v>
      </c>
      <c r="F112" s="486" t="s">
        <v>65</v>
      </c>
      <c r="G112" s="488" t="s">
        <v>151</v>
      </c>
      <c r="H112" s="488" t="s">
        <v>88</v>
      </c>
      <c r="I112" s="488" t="s">
        <v>154</v>
      </c>
    </row>
    <row r="113" spans="2:9" x14ac:dyDescent="0.25">
      <c r="B113" s="361">
        <v>42548</v>
      </c>
      <c r="C113" s="362">
        <v>100</v>
      </c>
      <c r="D113" s="363">
        <v>25</v>
      </c>
      <c r="E113" s="363">
        <v>24.69</v>
      </c>
      <c r="F113" s="363">
        <f t="shared" ref="F113:F118" si="25">C113*(E113-D113)</f>
        <v>-30.999999999999872</v>
      </c>
      <c r="G113" s="363">
        <f t="shared" ref="G113:G118" si="26">D113*C113</f>
        <v>2500</v>
      </c>
      <c r="H113" s="364">
        <f t="shared" ref="H113:H118" si="27">(E113-D113)/D113</f>
        <v>-1.2399999999999949E-2</v>
      </c>
      <c r="I113" s="363"/>
    </row>
    <row r="114" spans="2:9" x14ac:dyDescent="0.25">
      <c r="B114" s="361">
        <v>42549</v>
      </c>
      <c r="C114" s="362">
        <v>100</v>
      </c>
      <c r="D114" s="363">
        <v>25</v>
      </c>
      <c r="E114" s="363">
        <v>25.26</v>
      </c>
      <c r="F114" s="363">
        <f t="shared" si="25"/>
        <v>26.000000000000156</v>
      </c>
      <c r="G114" s="363">
        <f t="shared" si="26"/>
        <v>2500</v>
      </c>
      <c r="H114" s="364">
        <f t="shared" si="27"/>
        <v>1.0400000000000062E-2</v>
      </c>
      <c r="I114" s="363"/>
    </row>
    <row r="115" spans="2:9" x14ac:dyDescent="0.25">
      <c r="B115" s="361">
        <v>42552</v>
      </c>
      <c r="C115" s="362">
        <v>100</v>
      </c>
      <c r="D115" s="363">
        <v>25</v>
      </c>
      <c r="E115" s="363">
        <v>26.57</v>
      </c>
      <c r="F115" s="363">
        <f t="shared" si="25"/>
        <v>157.00000000000003</v>
      </c>
      <c r="G115" s="363">
        <f t="shared" si="26"/>
        <v>2500</v>
      </c>
      <c r="H115" s="364">
        <f t="shared" si="27"/>
        <v>6.2800000000000009E-2</v>
      </c>
      <c r="I115" s="363"/>
    </row>
    <row r="116" spans="2:9" x14ac:dyDescent="0.25">
      <c r="B116" s="361">
        <v>42556</v>
      </c>
      <c r="C116" s="362">
        <v>100</v>
      </c>
      <c r="D116" s="363">
        <v>25</v>
      </c>
      <c r="E116" s="363">
        <v>25.47</v>
      </c>
      <c r="F116" s="363">
        <f t="shared" si="25"/>
        <v>46.999999999999886</v>
      </c>
      <c r="G116" s="363">
        <f t="shared" si="26"/>
        <v>2500</v>
      </c>
      <c r="H116" s="364">
        <f t="shared" si="27"/>
        <v>1.8799999999999956E-2</v>
      </c>
      <c r="I116" s="363"/>
    </row>
    <row r="117" spans="2:9" x14ac:dyDescent="0.25">
      <c r="B117" s="361">
        <v>42562</v>
      </c>
      <c r="C117" s="362">
        <v>100</v>
      </c>
      <c r="D117" s="363">
        <v>25</v>
      </c>
      <c r="E117" s="363">
        <v>25.69</v>
      </c>
      <c r="F117" s="363">
        <f t="shared" si="25"/>
        <v>69.000000000000128</v>
      </c>
      <c r="G117" s="363">
        <f t="shared" si="26"/>
        <v>2500</v>
      </c>
      <c r="H117" s="364">
        <f t="shared" si="27"/>
        <v>2.7600000000000052E-2</v>
      </c>
      <c r="I117" s="363"/>
    </row>
    <row r="118" spans="2:9" x14ac:dyDescent="0.25">
      <c r="B118" s="361">
        <v>42563</v>
      </c>
      <c r="C118" s="362">
        <v>100</v>
      </c>
      <c r="D118" s="363">
        <v>25</v>
      </c>
      <c r="E118" s="363">
        <v>26.48</v>
      </c>
      <c r="F118" s="363">
        <f t="shared" si="25"/>
        <v>148.00000000000006</v>
      </c>
      <c r="G118" s="363">
        <f t="shared" si="26"/>
        <v>2500</v>
      </c>
      <c r="H118" s="364">
        <f t="shared" si="27"/>
        <v>5.9200000000000016E-2</v>
      </c>
      <c r="I118" s="363"/>
    </row>
    <row r="119" spans="2:9" x14ac:dyDescent="0.25">
      <c r="B119" s="361">
        <v>42569</v>
      </c>
      <c r="C119" s="362">
        <v>100</v>
      </c>
      <c r="D119" s="363">
        <v>25</v>
      </c>
      <c r="E119" s="363">
        <v>29.28</v>
      </c>
      <c r="F119" s="363">
        <f t="shared" ref="F119:F125" si="28">C119*(E119-D119)</f>
        <v>428.00000000000011</v>
      </c>
      <c r="G119" s="363">
        <f t="shared" ref="G119:G125" si="29">D119*C119</f>
        <v>2500</v>
      </c>
      <c r="H119" s="364">
        <f t="shared" ref="H119:H125" si="30">(E119-D119)/D119</f>
        <v>0.17120000000000005</v>
      </c>
      <c r="I119" s="363"/>
    </row>
    <row r="120" spans="2:9" x14ac:dyDescent="0.25">
      <c r="B120" s="361">
        <v>42570</v>
      </c>
      <c r="C120" s="362">
        <v>100</v>
      </c>
      <c r="D120" s="363">
        <v>25</v>
      </c>
      <c r="E120" s="363">
        <v>28.68</v>
      </c>
      <c r="F120" s="363">
        <f t="shared" si="28"/>
        <v>368</v>
      </c>
      <c r="G120" s="363">
        <f t="shared" si="29"/>
        <v>2500</v>
      </c>
      <c r="H120" s="364">
        <f t="shared" si="30"/>
        <v>0.1472</v>
      </c>
      <c r="I120" s="363"/>
    </row>
    <row r="121" spans="2:9" x14ac:dyDescent="0.25">
      <c r="B121" s="361">
        <v>42571</v>
      </c>
      <c r="C121" s="362">
        <v>100</v>
      </c>
      <c r="D121" s="363">
        <v>25</v>
      </c>
      <c r="E121" s="363">
        <v>29.01</v>
      </c>
      <c r="F121" s="363">
        <f t="shared" si="28"/>
        <v>401.00000000000017</v>
      </c>
      <c r="G121" s="363">
        <f t="shared" si="29"/>
        <v>2500</v>
      </c>
      <c r="H121" s="364">
        <f t="shared" si="30"/>
        <v>0.16040000000000007</v>
      </c>
      <c r="I121" s="363"/>
    </row>
    <row r="122" spans="2:9" x14ac:dyDescent="0.25">
      <c r="B122" s="361">
        <v>42572</v>
      </c>
      <c r="C122" s="362">
        <v>100</v>
      </c>
      <c r="D122" s="363">
        <v>25</v>
      </c>
      <c r="E122" s="363">
        <v>28.89</v>
      </c>
      <c r="F122" s="363">
        <f t="shared" si="28"/>
        <v>389.00000000000006</v>
      </c>
      <c r="G122" s="363">
        <f t="shared" si="29"/>
        <v>2500</v>
      </c>
      <c r="H122" s="364">
        <f t="shared" si="30"/>
        <v>0.15560000000000002</v>
      </c>
      <c r="I122" s="363"/>
    </row>
    <row r="123" spans="2:9" x14ac:dyDescent="0.25">
      <c r="B123" s="361">
        <v>42576</v>
      </c>
      <c r="C123" s="362">
        <v>100</v>
      </c>
      <c r="D123" s="363">
        <v>25</v>
      </c>
      <c r="E123" s="363">
        <v>28.63</v>
      </c>
      <c r="F123" s="363">
        <f t="shared" si="28"/>
        <v>362.99999999999989</v>
      </c>
      <c r="G123" s="363">
        <f t="shared" si="29"/>
        <v>2500</v>
      </c>
      <c r="H123" s="364">
        <f t="shared" si="30"/>
        <v>0.14519999999999997</v>
      </c>
      <c r="I123" s="363"/>
    </row>
    <row r="124" spans="2:9" x14ac:dyDescent="0.25">
      <c r="B124" s="361">
        <v>42577</v>
      </c>
      <c r="C124" s="362">
        <v>100</v>
      </c>
      <c r="D124" s="363">
        <v>25</v>
      </c>
      <c r="E124" s="363">
        <v>29.34</v>
      </c>
      <c r="F124" s="363">
        <f t="shared" si="28"/>
        <v>434</v>
      </c>
      <c r="G124" s="363">
        <f t="shared" si="29"/>
        <v>2500</v>
      </c>
      <c r="H124" s="364">
        <f t="shared" si="30"/>
        <v>0.1736</v>
      </c>
      <c r="I124" s="363"/>
    </row>
    <row r="125" spans="2:9" x14ac:dyDescent="0.25">
      <c r="B125" s="361">
        <v>42580</v>
      </c>
      <c r="C125" s="362">
        <v>100</v>
      </c>
      <c r="D125" s="363">
        <v>25</v>
      </c>
      <c r="E125" s="363">
        <v>27</v>
      </c>
      <c r="F125" s="363">
        <f t="shared" si="28"/>
        <v>200</v>
      </c>
      <c r="G125" s="363">
        <f t="shared" si="29"/>
        <v>2500</v>
      </c>
      <c r="H125" s="364">
        <f t="shared" si="30"/>
        <v>0.08</v>
      </c>
      <c r="I125" s="363"/>
    </row>
    <row r="126" spans="2:9" x14ac:dyDescent="0.25">
      <c r="B126" s="361">
        <v>42584</v>
      </c>
      <c r="C126" s="362">
        <v>0</v>
      </c>
      <c r="D126" s="363"/>
      <c r="E126" s="363"/>
      <c r="F126" s="363">
        <v>287.94</v>
      </c>
      <c r="G126" s="363"/>
      <c r="H126" s="364"/>
      <c r="I126" s="36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2" t="s">
        <v>113</v>
      </c>
      <c r="C128" s="182" t="s">
        <v>146</v>
      </c>
      <c r="D128" s="183" t="s">
        <v>145</v>
      </c>
      <c r="E128" s="185" t="s">
        <v>147</v>
      </c>
      <c r="F128" s="185" t="s">
        <v>65</v>
      </c>
      <c r="G128" s="220" t="s">
        <v>151</v>
      </c>
      <c r="H128" s="220" t="s">
        <v>88</v>
      </c>
      <c r="I128" s="220" t="s">
        <v>154</v>
      </c>
    </row>
    <row r="129" spans="2:9" x14ac:dyDescent="0.25">
      <c r="B129" s="255">
        <v>42627</v>
      </c>
      <c r="C129" s="250">
        <v>50</v>
      </c>
      <c r="D129" s="251">
        <v>25.74</v>
      </c>
      <c r="E129" s="251">
        <v>25.83</v>
      </c>
      <c r="F129" s="251">
        <f>C129*(E129-D129)</f>
        <v>4.4999999999999929</v>
      </c>
      <c r="G129" s="251">
        <f>D129*C129</f>
        <v>1287</v>
      </c>
      <c r="H129" s="265">
        <f>(E129-D129)/D129</f>
        <v>3.4965034965034913E-3</v>
      </c>
      <c r="I129" s="251"/>
    </row>
    <row r="130" spans="2:9" x14ac:dyDescent="0.25">
      <c r="B130" s="255">
        <v>42629</v>
      </c>
      <c r="C130" s="250">
        <v>50</v>
      </c>
      <c r="D130" s="251">
        <v>25.74</v>
      </c>
      <c r="E130" s="251">
        <v>25.54</v>
      </c>
      <c r="F130" s="251">
        <f t="shared" ref="F130:F135" si="31">C130*(E130-D130)</f>
        <v>-9.9999999999999645</v>
      </c>
      <c r="G130" s="251">
        <f t="shared" ref="G130:G135" si="32">D130*C130</f>
        <v>1287</v>
      </c>
      <c r="H130" s="265">
        <f t="shared" ref="H130:H135" si="33">(E130-D130)/D130</f>
        <v>-7.7700077700077431E-3</v>
      </c>
      <c r="I130" s="251"/>
    </row>
    <row r="131" spans="2:9" x14ac:dyDescent="0.25">
      <c r="B131" s="255">
        <v>42636</v>
      </c>
      <c r="C131" s="250">
        <v>50</v>
      </c>
      <c r="D131" s="251">
        <v>25.74</v>
      </c>
      <c r="E131" s="251">
        <v>24.82</v>
      </c>
      <c r="F131" s="251">
        <f t="shared" si="31"/>
        <v>-45.999999999999908</v>
      </c>
      <c r="G131" s="251">
        <f t="shared" si="32"/>
        <v>1287</v>
      </c>
      <c r="H131" s="265">
        <f t="shared" si="33"/>
        <v>-3.5742035742035674E-2</v>
      </c>
      <c r="I131" s="251"/>
    </row>
    <row r="132" spans="2:9" x14ac:dyDescent="0.25">
      <c r="B132" s="255">
        <v>42639</v>
      </c>
      <c r="C132" s="250">
        <v>100</v>
      </c>
      <c r="D132" s="251">
        <v>24.96</v>
      </c>
      <c r="E132" s="251">
        <v>24.14</v>
      </c>
      <c r="F132" s="251">
        <f t="shared" si="31"/>
        <v>-82.000000000000028</v>
      </c>
      <c r="G132" s="251">
        <f t="shared" si="32"/>
        <v>2496</v>
      </c>
      <c r="H132" s="265">
        <f t="shared" si="33"/>
        <v>-3.2852564102564111E-2</v>
      </c>
      <c r="I132" s="251"/>
    </row>
    <row r="133" spans="2:9" x14ac:dyDescent="0.25">
      <c r="B133" s="255">
        <v>42639</v>
      </c>
      <c r="C133" s="250">
        <v>150</v>
      </c>
      <c r="D133" s="251">
        <v>24.8</v>
      </c>
      <c r="E133" s="251">
        <v>24.14</v>
      </c>
      <c r="F133" s="251">
        <f t="shared" si="31"/>
        <v>-99.000000000000028</v>
      </c>
      <c r="G133" s="251">
        <f t="shared" si="32"/>
        <v>3720</v>
      </c>
      <c r="H133" s="265">
        <f t="shared" si="33"/>
        <v>-2.6612903225806457E-2</v>
      </c>
      <c r="I133" s="251"/>
    </row>
    <row r="134" spans="2:9" x14ac:dyDescent="0.25">
      <c r="B134" s="255">
        <v>42640</v>
      </c>
      <c r="C134" s="250">
        <v>150</v>
      </c>
      <c r="D134" s="251">
        <v>24.8</v>
      </c>
      <c r="E134" s="251">
        <v>23.99</v>
      </c>
      <c r="F134" s="251">
        <f t="shared" si="31"/>
        <v>-121.50000000000034</v>
      </c>
      <c r="G134" s="251">
        <f t="shared" si="32"/>
        <v>3720</v>
      </c>
      <c r="H134" s="265">
        <f t="shared" si="33"/>
        <v>-3.2661290322580736E-2</v>
      </c>
      <c r="I134" s="251"/>
    </row>
    <row r="135" spans="2:9" x14ac:dyDescent="0.25">
      <c r="B135" s="255">
        <v>42643</v>
      </c>
      <c r="C135" s="250">
        <v>150</v>
      </c>
      <c r="D135" s="251">
        <v>24.8</v>
      </c>
      <c r="E135" s="251">
        <v>24.46</v>
      </c>
      <c r="F135" s="251">
        <f t="shared" si="31"/>
        <v>-50.999999999999979</v>
      </c>
      <c r="G135" s="251">
        <f t="shared" si="32"/>
        <v>3720</v>
      </c>
      <c r="H135" s="265">
        <f t="shared" si="33"/>
        <v>-1.3709677419354832E-2</v>
      </c>
      <c r="I135" s="251"/>
    </row>
    <row r="136" spans="2:9" x14ac:dyDescent="0.25">
      <c r="B136" s="255">
        <v>42646</v>
      </c>
      <c r="C136" s="250">
        <v>150</v>
      </c>
      <c r="D136" s="251">
        <v>24.8</v>
      </c>
      <c r="E136" s="251">
        <v>24.89</v>
      </c>
      <c r="F136" s="251">
        <f t="shared" ref="F136:F147" si="34">C136*(E136-D136)</f>
        <v>13.499999999999979</v>
      </c>
      <c r="G136" s="251">
        <f t="shared" ref="G136:G147" si="35">D136*C136</f>
        <v>3720</v>
      </c>
      <c r="H136" s="265">
        <f t="shared" ref="H136:H147" si="36">(E136-D136)/D136</f>
        <v>3.6290322580645102E-3</v>
      </c>
      <c r="I136" s="251"/>
    </row>
    <row r="137" spans="2:9" x14ac:dyDescent="0.25">
      <c r="B137" s="255">
        <v>42648</v>
      </c>
      <c r="C137" s="250">
        <v>150</v>
      </c>
      <c r="D137" s="251">
        <v>24.8</v>
      </c>
      <c r="E137" s="251">
        <v>25.07</v>
      </c>
      <c r="F137" s="251">
        <f t="shared" si="34"/>
        <v>40.499999999999936</v>
      </c>
      <c r="G137" s="251">
        <f t="shared" si="35"/>
        <v>3720</v>
      </c>
      <c r="H137" s="265">
        <f t="shared" si="36"/>
        <v>1.0887096774193531E-2</v>
      </c>
      <c r="I137" s="251"/>
    </row>
    <row r="138" spans="2:9" x14ac:dyDescent="0.25">
      <c r="B138" s="255">
        <v>42649</v>
      </c>
      <c r="C138" s="250">
        <v>150</v>
      </c>
      <c r="D138" s="251">
        <v>24.8</v>
      </c>
      <c r="E138" s="251">
        <v>24.85</v>
      </c>
      <c r="F138" s="251">
        <f t="shared" si="34"/>
        <v>7.5000000000001066</v>
      </c>
      <c r="G138" s="251">
        <f t="shared" si="35"/>
        <v>3720</v>
      </c>
      <c r="H138" s="265">
        <f t="shared" si="36"/>
        <v>2.0161290322580931E-3</v>
      </c>
      <c r="I138" s="251"/>
    </row>
    <row r="139" spans="2:9" x14ac:dyDescent="0.25">
      <c r="B139" s="255">
        <v>42650</v>
      </c>
      <c r="C139" s="250">
        <v>150</v>
      </c>
      <c r="D139" s="251">
        <v>24.8</v>
      </c>
      <c r="E139" s="251">
        <v>24.58</v>
      </c>
      <c r="F139" s="251">
        <f t="shared" si="34"/>
        <v>-33.000000000000362</v>
      </c>
      <c r="G139" s="251">
        <f t="shared" si="35"/>
        <v>3720</v>
      </c>
      <c r="H139" s="265">
        <f t="shared" si="36"/>
        <v>-8.8709677419355811E-3</v>
      </c>
      <c r="I139" s="251"/>
    </row>
    <row r="140" spans="2:9" x14ac:dyDescent="0.25">
      <c r="B140" s="255">
        <v>42661</v>
      </c>
      <c r="C140" s="250">
        <v>150</v>
      </c>
      <c r="D140" s="251">
        <v>24.8</v>
      </c>
      <c r="E140" s="251">
        <v>23.39</v>
      </c>
      <c r="F140" s="251">
        <f t="shared" si="34"/>
        <v>-211.50000000000003</v>
      </c>
      <c r="G140" s="251">
        <f t="shared" si="35"/>
        <v>3720</v>
      </c>
      <c r="H140" s="265">
        <f t="shared" si="36"/>
        <v>-5.6854838709677426E-2</v>
      </c>
      <c r="I140" s="251"/>
    </row>
    <row r="141" spans="2:9" x14ac:dyDescent="0.25">
      <c r="B141" s="255">
        <v>42662</v>
      </c>
      <c r="C141" s="250">
        <v>150</v>
      </c>
      <c r="D141" s="251">
        <v>24.8</v>
      </c>
      <c r="E141" s="251">
        <v>23.84</v>
      </c>
      <c r="F141" s="251">
        <f t="shared" si="34"/>
        <v>-144.00000000000011</v>
      </c>
      <c r="G141" s="251">
        <f t="shared" si="35"/>
        <v>3720</v>
      </c>
      <c r="H141" s="265">
        <f t="shared" si="36"/>
        <v>-3.8709677419354875E-2</v>
      </c>
      <c r="I141" s="251"/>
    </row>
    <row r="142" spans="2:9" x14ac:dyDescent="0.25">
      <c r="B142" s="255">
        <v>42664</v>
      </c>
      <c r="C142" s="250">
        <v>150</v>
      </c>
      <c r="D142" s="251">
        <v>24.8</v>
      </c>
      <c r="E142" s="251">
        <v>24.31</v>
      </c>
      <c r="F142" s="251">
        <f t="shared" si="34"/>
        <v>-73.500000000000298</v>
      </c>
      <c r="G142" s="251">
        <f t="shared" si="35"/>
        <v>3720</v>
      </c>
      <c r="H142" s="265">
        <f t="shared" si="36"/>
        <v>-1.975806451612911E-2</v>
      </c>
      <c r="I142" s="251"/>
    </row>
    <row r="143" spans="2:9" x14ac:dyDescent="0.25">
      <c r="B143" s="255">
        <v>42670</v>
      </c>
      <c r="C143" s="250">
        <v>150</v>
      </c>
      <c r="D143" s="251">
        <v>24.626899999999999</v>
      </c>
      <c r="E143" s="251">
        <v>23.93</v>
      </c>
      <c r="F143" s="251">
        <f t="shared" si="34"/>
        <v>-104.53499999999991</v>
      </c>
      <c r="G143" s="251">
        <f t="shared" si="35"/>
        <v>3694.0349999999999</v>
      </c>
      <c r="H143" s="265">
        <f t="shared" si="36"/>
        <v>-2.8298324190214743E-2</v>
      </c>
      <c r="I143" s="251"/>
    </row>
    <row r="144" spans="2:9" x14ac:dyDescent="0.25">
      <c r="B144" s="255">
        <v>42674</v>
      </c>
      <c r="C144" s="250">
        <v>150</v>
      </c>
      <c r="D144" s="251">
        <v>24.626899999999999</v>
      </c>
      <c r="E144" s="251">
        <v>23.53</v>
      </c>
      <c r="F144" s="251">
        <f t="shared" si="34"/>
        <v>-164.53499999999968</v>
      </c>
      <c r="G144" s="251">
        <f t="shared" si="35"/>
        <v>3694.0349999999999</v>
      </c>
      <c r="H144" s="265">
        <f t="shared" si="36"/>
        <v>-4.4540725791715481E-2</v>
      </c>
      <c r="I144" s="251"/>
    </row>
    <row r="145" spans="1:13" x14ac:dyDescent="0.25">
      <c r="B145" s="255">
        <v>42675</v>
      </c>
      <c r="C145" s="250">
        <v>150</v>
      </c>
      <c r="D145" s="251">
        <v>24.264700000000001</v>
      </c>
      <c r="E145" s="251">
        <v>24.32</v>
      </c>
      <c r="F145" s="251">
        <f t="shared" si="34"/>
        <v>8.2949999999998525</v>
      </c>
      <c r="G145" s="251">
        <f t="shared" si="35"/>
        <v>3639.7050000000004</v>
      </c>
      <c r="H145" s="265">
        <f t="shared" si="36"/>
        <v>2.2790308555225912E-3</v>
      </c>
      <c r="I145" s="251"/>
    </row>
    <row r="146" spans="1:13" x14ac:dyDescent="0.25">
      <c r="B146" s="255">
        <v>42676</v>
      </c>
      <c r="C146" s="250">
        <v>150</v>
      </c>
      <c r="D146" s="251">
        <v>24.264700000000001</v>
      </c>
      <c r="E146" s="251">
        <v>24.73</v>
      </c>
      <c r="F146" s="251">
        <f t="shared" si="34"/>
        <v>69.794999999999874</v>
      </c>
      <c r="G146" s="251">
        <f t="shared" si="35"/>
        <v>3639.7050000000004</v>
      </c>
      <c r="H146" s="265">
        <f t="shared" si="36"/>
        <v>1.9176004648728363E-2</v>
      </c>
      <c r="I146" s="251"/>
    </row>
    <row r="147" spans="1:13" x14ac:dyDescent="0.25">
      <c r="B147" s="255">
        <v>42704</v>
      </c>
      <c r="C147" s="250">
        <v>100</v>
      </c>
      <c r="D147" s="251">
        <v>22.507400000000001</v>
      </c>
      <c r="E147" s="251">
        <v>28.4</v>
      </c>
      <c r="F147" s="251">
        <f t="shared" si="34"/>
        <v>589.25999999999976</v>
      </c>
      <c r="G147" s="251">
        <f t="shared" si="35"/>
        <v>2250.7400000000002</v>
      </c>
      <c r="H147" s="265">
        <f t="shared" si="36"/>
        <v>0.26180722784506422</v>
      </c>
      <c r="I147" s="251"/>
    </row>
    <row r="148" spans="1:13" x14ac:dyDescent="0.25">
      <c r="B148" s="255">
        <v>42711</v>
      </c>
      <c r="C148" s="250">
        <v>0</v>
      </c>
      <c r="D148" s="251"/>
      <c r="E148" s="251"/>
      <c r="F148" s="251">
        <v>727.2</v>
      </c>
      <c r="G148" s="251"/>
      <c r="H148" s="265"/>
      <c r="I148" s="251"/>
    </row>
    <row r="149" spans="1:13" x14ac:dyDescent="0.25">
      <c r="B149" s="184"/>
      <c r="C149" s="10"/>
      <c r="D149" s="39"/>
      <c r="E149" s="39"/>
      <c r="F149" s="39"/>
      <c r="G149" s="39"/>
      <c r="H149" s="222"/>
      <c r="I149" s="39"/>
    </row>
    <row r="150" spans="1:13" x14ac:dyDescent="0.25">
      <c r="B150" s="184"/>
      <c r="C150" s="10"/>
      <c r="D150" s="39"/>
      <c r="E150" s="39"/>
      <c r="F150" s="39"/>
      <c r="G150" s="39"/>
      <c r="H150" s="222"/>
      <c r="I150" s="39"/>
    </row>
    <row r="151" spans="1:13" x14ac:dyDescent="0.25">
      <c r="B151" s="184"/>
      <c r="C151" s="10"/>
      <c r="D151" s="39"/>
      <c r="E151" s="39"/>
      <c r="F151" s="39"/>
      <c r="G151" s="39"/>
      <c r="H151" s="222"/>
      <c r="I151" s="39"/>
    </row>
    <row r="155" spans="1:13" x14ac:dyDescent="0.25">
      <c r="L155" t="s">
        <v>65</v>
      </c>
      <c r="M155" s="2">
        <f>K173+M173-F173</f>
        <v>1452.2599999999984</v>
      </c>
    </row>
    <row r="156" spans="1:13" x14ac:dyDescent="0.25">
      <c r="A156" s="449" t="s">
        <v>1</v>
      </c>
      <c r="B156" s="449" t="s">
        <v>2</v>
      </c>
      <c r="C156" s="449" t="s">
        <v>4</v>
      </c>
      <c r="D156" s="450" t="s">
        <v>5</v>
      </c>
      <c r="E156" s="450" t="s">
        <v>94</v>
      </c>
      <c r="F156" s="450" t="s">
        <v>60</v>
      </c>
      <c r="G156" s="449" t="s">
        <v>3</v>
      </c>
      <c r="H156" s="449" t="s">
        <v>6</v>
      </c>
      <c r="I156" s="450" t="s">
        <v>7</v>
      </c>
      <c r="J156" s="450" t="s">
        <v>95</v>
      </c>
      <c r="K156" s="450" t="s">
        <v>61</v>
      </c>
      <c r="L156" s="449" t="s">
        <v>37</v>
      </c>
      <c r="M156" s="449" t="s">
        <v>38</v>
      </c>
    </row>
    <row r="157" spans="1:13" x14ac:dyDescent="0.25">
      <c r="A157" s="451" t="s">
        <v>225</v>
      </c>
      <c r="B157" s="452">
        <v>42548</v>
      </c>
      <c r="C157" s="453">
        <v>100</v>
      </c>
      <c r="D157" s="454">
        <v>25</v>
      </c>
      <c r="E157" s="454">
        <v>0</v>
      </c>
      <c r="F157" s="454">
        <f>D157*C157+E157</f>
        <v>2500</v>
      </c>
      <c r="G157" s="452">
        <v>42584</v>
      </c>
      <c r="H157" s="455">
        <v>100</v>
      </c>
      <c r="I157" s="454">
        <v>27.88</v>
      </c>
      <c r="J157" s="454">
        <v>0.06</v>
      </c>
      <c r="K157" s="454">
        <f>H157*I157-J157</f>
        <v>2787.94</v>
      </c>
      <c r="L157" s="452">
        <v>42719</v>
      </c>
      <c r="M157" s="453">
        <v>41.25</v>
      </c>
    </row>
    <row r="158" spans="1:13" x14ac:dyDescent="0.25">
      <c r="A158" s="456" t="s">
        <v>71</v>
      </c>
      <c r="B158" s="452">
        <v>42627</v>
      </c>
      <c r="C158" s="453">
        <v>50</v>
      </c>
      <c r="D158" s="454">
        <v>25.74</v>
      </c>
      <c r="E158" s="454">
        <v>0</v>
      </c>
      <c r="F158" s="454">
        <v>1287</v>
      </c>
      <c r="G158" s="452" t="s">
        <v>335</v>
      </c>
      <c r="H158" s="455">
        <v>50</v>
      </c>
      <c r="I158" s="454">
        <v>25</v>
      </c>
      <c r="J158" s="454">
        <v>0.03</v>
      </c>
      <c r="K158" s="454">
        <v>1249.97</v>
      </c>
      <c r="L158" s="453"/>
      <c r="M158" s="453"/>
    </row>
    <row r="159" spans="1:13" x14ac:dyDescent="0.25">
      <c r="A159" s="453"/>
      <c r="B159" s="452">
        <v>42639</v>
      </c>
      <c r="C159" s="453">
        <v>50</v>
      </c>
      <c r="D159" s="454">
        <v>24.48</v>
      </c>
      <c r="E159" s="454">
        <v>0</v>
      </c>
      <c r="F159" s="454">
        <v>1224</v>
      </c>
      <c r="G159" s="452" t="s">
        <v>335</v>
      </c>
      <c r="H159" s="455">
        <v>100</v>
      </c>
      <c r="I159" s="454">
        <v>24.88</v>
      </c>
      <c r="J159" s="454">
        <v>0.05</v>
      </c>
      <c r="K159" s="454">
        <v>2487.9499999999998</v>
      </c>
      <c r="L159" s="453"/>
      <c r="M159" s="453"/>
    </row>
    <row r="160" spans="1:13" x14ac:dyDescent="0.25">
      <c r="A160" s="453"/>
      <c r="B160" s="452">
        <v>42639</v>
      </c>
      <c r="C160" s="453">
        <v>50</v>
      </c>
      <c r="D160" s="454">
        <v>24.18</v>
      </c>
      <c r="E160" s="454">
        <v>0</v>
      </c>
      <c r="F160" s="454">
        <v>1209</v>
      </c>
      <c r="G160" s="452" t="s">
        <v>335</v>
      </c>
      <c r="H160" s="455">
        <v>50</v>
      </c>
      <c r="I160" s="454">
        <v>27.78</v>
      </c>
      <c r="J160" s="454">
        <v>0.03</v>
      </c>
      <c r="K160" s="454">
        <v>1388.97</v>
      </c>
      <c r="L160" s="453"/>
      <c r="M160" s="453"/>
    </row>
    <row r="161" spans="1:13" x14ac:dyDescent="0.25">
      <c r="A161" s="453"/>
      <c r="B161" s="452">
        <v>42670</v>
      </c>
      <c r="C161" s="453">
        <v>50</v>
      </c>
      <c r="D161" s="454">
        <v>24.48</v>
      </c>
      <c r="E161" s="454">
        <v>0</v>
      </c>
      <c r="F161" s="454">
        <v>1224</v>
      </c>
      <c r="G161" s="452" t="s">
        <v>335</v>
      </c>
      <c r="H161" s="455">
        <v>100</v>
      </c>
      <c r="I161" s="454">
        <v>29.78</v>
      </c>
      <c r="J161" s="454">
        <v>0.06</v>
      </c>
      <c r="K161" s="454">
        <v>2977.94</v>
      </c>
      <c r="L161" s="453"/>
      <c r="M161" s="453"/>
    </row>
    <row r="162" spans="1:13" x14ac:dyDescent="0.25">
      <c r="A162" s="453"/>
      <c r="B162" s="452" t="s">
        <v>335</v>
      </c>
      <c r="C162" s="453">
        <v>100</v>
      </c>
      <c r="D162" s="454">
        <v>24.34</v>
      </c>
      <c r="E162" s="454">
        <v>-0.37</v>
      </c>
      <c r="F162" s="454">
        <v>2433.63</v>
      </c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96">
        <v>42723</v>
      </c>
      <c r="C163" s="497">
        <v>100</v>
      </c>
      <c r="D163" s="499">
        <v>27.98</v>
      </c>
      <c r="E163" s="499">
        <v>0</v>
      </c>
      <c r="F163" s="499">
        <f>D163*C163+E163</f>
        <v>2798</v>
      </c>
      <c r="G163" s="496">
        <v>42724</v>
      </c>
      <c r="H163" s="497">
        <v>100</v>
      </c>
      <c r="I163" s="499">
        <v>27.94</v>
      </c>
      <c r="J163" s="499">
        <v>0.06</v>
      </c>
      <c r="K163" s="499">
        <f>I163*H163-J163</f>
        <v>2793.94</v>
      </c>
      <c r="L163" s="453"/>
      <c r="M163" s="453"/>
    </row>
    <row r="164" spans="1:13" x14ac:dyDescent="0.25">
      <c r="A164" s="453"/>
      <c r="B164" s="434">
        <v>42724</v>
      </c>
      <c r="C164" s="7">
        <v>100</v>
      </c>
      <c r="D164" s="43">
        <v>27.58</v>
      </c>
      <c r="E164" s="43">
        <v>0</v>
      </c>
      <c r="F164" s="43">
        <f>D164*C164+E164</f>
        <v>2758</v>
      </c>
      <c r="G164" s="434">
        <v>42758</v>
      </c>
      <c r="H164" s="80">
        <v>100</v>
      </c>
      <c r="I164" s="43">
        <v>31.58</v>
      </c>
      <c r="J164" s="43">
        <v>7.0000000000000007E-2</v>
      </c>
      <c r="K164" s="43">
        <f>H164*I164-J164</f>
        <v>3157.93</v>
      </c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5"/>
      <c r="I169" s="454"/>
      <c r="J169" s="454"/>
      <c r="K169" s="454"/>
      <c r="L169" s="453"/>
      <c r="M169" s="453"/>
    </row>
    <row r="170" spans="1:13" x14ac:dyDescent="0.25">
      <c r="A170" s="453"/>
      <c r="B170" s="453"/>
      <c r="C170" s="453"/>
      <c r="D170" s="454"/>
      <c r="E170" s="454"/>
      <c r="F170" s="454"/>
      <c r="G170" s="453"/>
      <c r="H170" s="455"/>
      <c r="I170" s="454"/>
      <c r="J170" s="454"/>
      <c r="K170" s="454"/>
      <c r="L170" s="453"/>
      <c r="M170" s="453"/>
    </row>
    <row r="171" spans="1:13" x14ac:dyDescent="0.25">
      <c r="A171" s="453"/>
      <c r="B171" s="453"/>
      <c r="C171" s="453"/>
      <c r="D171" s="454"/>
      <c r="E171" s="454"/>
      <c r="F171" s="454"/>
      <c r="G171" s="453"/>
      <c r="H171" s="455"/>
      <c r="I171" s="454"/>
      <c r="J171" s="454"/>
      <c r="K171" s="454"/>
      <c r="L171" s="453"/>
      <c r="M171" s="453"/>
    </row>
    <row r="172" spans="1:13" x14ac:dyDescent="0.25">
      <c r="A172" s="453"/>
      <c r="B172" s="453"/>
      <c r="C172" s="453"/>
      <c r="D172" s="454"/>
      <c r="E172" s="454"/>
      <c r="F172" s="454"/>
      <c r="G172" s="453"/>
      <c r="H172" s="453"/>
      <c r="I172" s="454"/>
      <c r="J172" s="454"/>
      <c r="K172" s="454"/>
      <c r="L172" s="453"/>
      <c r="M172" s="453"/>
    </row>
    <row r="173" spans="1:13" x14ac:dyDescent="0.25">
      <c r="A173" s="63" t="s">
        <v>81</v>
      </c>
      <c r="B173" s="64"/>
      <c r="C173" s="64">
        <f>SUM(C157:C172)</f>
        <v>600</v>
      </c>
      <c r="D173" s="65"/>
      <c r="E173" s="65"/>
      <c r="F173" s="65">
        <f>SUM(F157:F172)</f>
        <v>15433.630000000001</v>
      </c>
      <c r="G173" s="64"/>
      <c r="H173" s="544">
        <f>SUM(H157:H172)</f>
        <v>600</v>
      </c>
      <c r="I173" s="65"/>
      <c r="J173" s="65"/>
      <c r="K173" s="65">
        <f>SUM(K157:K172)</f>
        <v>16844.64</v>
      </c>
      <c r="L173" s="64"/>
      <c r="M173" s="65">
        <f>SUM(M157:M165)</f>
        <v>41.25</v>
      </c>
    </row>
    <row r="174" spans="1:13" ht="15.75" thickBot="1" x14ac:dyDescent="0.3">
      <c r="A174" s="457" t="s">
        <v>193</v>
      </c>
      <c r="B174" s="458"/>
      <c r="C174" s="459">
        <f>SumByColor($A$33,C157:C172)</f>
        <v>100</v>
      </c>
      <c r="D174" s="459"/>
      <c r="E174" s="459"/>
      <c r="F174" s="460">
        <f>SumByColor($A$33,F157:F172)</f>
        <v>2758</v>
      </c>
      <c r="G174" s="459"/>
      <c r="H174" s="459">
        <f>SumByColor($A$33,H157:H172)</f>
        <v>100</v>
      </c>
      <c r="I174" s="459"/>
      <c r="J174" s="459"/>
      <c r="K174" s="460">
        <f>SumByColor($A$33,K157:K172)</f>
        <v>3158</v>
      </c>
      <c r="L174" s="459"/>
      <c r="M174" s="460">
        <f>SumByColor($A$33,M157:M172)</f>
        <v>0</v>
      </c>
    </row>
  </sheetData>
  <mergeCells count="1">
    <mergeCell ref="O16:P16"/>
  </mergeCells>
  <conditionalFormatting sqref="O17:O37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6:F127 H126:H127 H133:H151 F133:F151 K85:K92 H85:H92 F85:F92 K108:K110 F108:F110 H108:H110">
    <cfRule type="expression" dxfId="1042" priority="76">
      <formula>F85&gt;0</formula>
    </cfRule>
    <cfRule type="expression" dxfId="1041" priority="77">
      <formula>F85&lt;0</formula>
    </cfRule>
  </conditionalFormatting>
  <conditionalFormatting sqref="Q7">
    <cfRule type="expression" dxfId="1040" priority="64">
      <formula>Q7&gt;0</formula>
    </cfRule>
    <cfRule type="expression" dxfId="1039" priority="65">
      <formula>Q7&lt;0</formula>
    </cfRule>
  </conditionalFormatting>
  <conditionalFormatting sqref="Q8">
    <cfRule type="expression" dxfId="1038" priority="62">
      <formula>Q8&gt;0</formula>
    </cfRule>
    <cfRule type="expression" dxfId="1037" priority="63">
      <formula>Q8&lt;0</formula>
    </cfRule>
  </conditionalFormatting>
  <conditionalFormatting sqref="F113:F125">
    <cfRule type="expression" dxfId="1036" priority="60">
      <formula>F113&gt;0</formula>
    </cfRule>
    <cfRule type="expression" dxfId="1035" priority="61">
      <formula>F113&lt;0</formula>
    </cfRule>
  </conditionalFormatting>
  <conditionalFormatting sqref="H113:H125">
    <cfRule type="expression" dxfId="1034" priority="58">
      <formula>H113&gt;0</formula>
    </cfRule>
    <cfRule type="expression" dxfId="1033" priority="59">
      <formula>H113&lt;0</formula>
    </cfRule>
  </conditionalFormatting>
  <conditionalFormatting sqref="H129:H132">
    <cfRule type="expression" dxfId="1032" priority="54">
      <formula>H129&gt;0</formula>
    </cfRule>
    <cfRule type="expression" dxfId="1031" priority="55">
      <formula>H129&lt;0</formula>
    </cfRule>
  </conditionalFormatting>
  <conditionalFormatting sqref="F129:F132">
    <cfRule type="expression" dxfId="1030" priority="56">
      <formula>F129&gt;0</formula>
    </cfRule>
    <cfRule type="expression" dxfId="1029" priority="57">
      <formula>F129&lt;0</formula>
    </cfRule>
  </conditionalFormatting>
  <conditionalFormatting sqref="M155">
    <cfRule type="expression" dxfId="1028" priority="52">
      <formula>M155&gt;0</formula>
    </cfRule>
    <cfRule type="expression" dxfId="1027" priority="53">
      <formula>M155&lt;0</formula>
    </cfRule>
  </conditionalFormatting>
  <conditionalFormatting sqref="F37:F38 F45:F82">
    <cfRule type="expression" dxfId="1026" priority="50">
      <formula>F37&gt;0</formula>
    </cfRule>
    <cfRule type="expression" dxfId="1025" priority="51">
      <formula>F37&lt;0</formula>
    </cfRule>
  </conditionalFormatting>
  <conditionalFormatting sqref="H37:H38 H45:H82">
    <cfRule type="expression" dxfId="1024" priority="48">
      <formula>H37&gt;0</formula>
    </cfRule>
    <cfRule type="expression" dxfId="1023" priority="49">
      <formula>H37&lt;0</formula>
    </cfRule>
  </conditionalFormatting>
  <conditionalFormatting sqref="Q10">
    <cfRule type="expression" dxfId="1022" priority="46">
      <formula>Q10&gt;0</formula>
    </cfRule>
    <cfRule type="expression" dxfId="1021" priority="47">
      <formula>Q10&lt;0</formula>
    </cfRule>
  </conditionalFormatting>
  <conditionalFormatting sqref="F39:F44">
    <cfRule type="expression" dxfId="1020" priority="44">
      <formula>F39&gt;0</formula>
    </cfRule>
    <cfRule type="expression" dxfId="1019" priority="45">
      <formula>F39&lt;0</formula>
    </cfRule>
  </conditionalFormatting>
  <conditionalFormatting sqref="H39:H44">
    <cfRule type="expression" dxfId="1018" priority="42">
      <formula>H39&gt;0</formula>
    </cfRule>
    <cfRule type="expression" dxfId="1017" priority="43">
      <formula>H39&lt;0</formula>
    </cfRule>
  </conditionalFormatting>
  <conditionalFormatting sqref="K42:K49">
    <cfRule type="expression" dxfId="1016" priority="40">
      <formula>K42&gt;0</formula>
    </cfRule>
    <cfRule type="expression" dxfId="1015" priority="41">
      <formula>K42&lt;0</formula>
    </cfRule>
  </conditionalFormatting>
  <conditionalFormatting sqref="K50:K82">
    <cfRule type="expression" dxfId="1014" priority="38">
      <formula>K50&gt;0</formula>
    </cfRule>
    <cfRule type="expression" dxfId="1013" priority="39">
      <formula>K50&lt;0</formula>
    </cfRule>
  </conditionalFormatting>
  <conditionalFormatting sqref="F83:F84">
    <cfRule type="expression" dxfId="1012" priority="35">
      <formula>F83&gt;0</formula>
    </cfRule>
    <cfRule type="expression" dxfId="1011" priority="36">
      <formula>F83&lt;0</formula>
    </cfRule>
  </conditionalFormatting>
  <conditionalFormatting sqref="H83:H84">
    <cfRule type="expression" dxfId="1010" priority="33">
      <formula>H83&gt;0</formula>
    </cfRule>
    <cfRule type="expression" dxfId="1009" priority="34">
      <formula>H83&lt;0</formula>
    </cfRule>
  </conditionalFormatting>
  <conditionalFormatting sqref="K83:K84">
    <cfRule type="expression" dxfId="1008" priority="31">
      <formula>K83&gt;0</formula>
    </cfRule>
    <cfRule type="expression" dxfId="1007" priority="32">
      <formula>K83&lt;0</formula>
    </cfRule>
  </conditionalFormatting>
  <conditionalFormatting sqref="F93:F95 H93:H95 K93:K95">
    <cfRule type="expression" dxfId="1006" priority="27">
      <formula>F93&gt;0</formula>
    </cfRule>
    <cfRule type="expression" dxfId="1005" priority="28">
      <formula>F93&lt;0</formula>
    </cfRule>
  </conditionalFormatting>
  <conditionalFormatting sqref="L85:L91 L108:L110">
    <cfRule type="expression" dxfId="1004" priority="25">
      <formula>L85&gt;0</formula>
    </cfRule>
    <cfRule type="expression" dxfId="1003" priority="26">
      <formula>L85&lt;0</formula>
    </cfRule>
  </conditionalFormatting>
  <conditionalFormatting sqref="L42:L49">
    <cfRule type="expression" dxfId="1002" priority="23">
      <formula>L42&gt;0</formula>
    </cfRule>
    <cfRule type="expression" dxfId="1001" priority="24">
      <formula>L42&lt;0</formula>
    </cfRule>
  </conditionalFormatting>
  <conditionalFormatting sqref="L50:L82">
    <cfRule type="expression" dxfId="1000" priority="21">
      <formula>L50&gt;0</formula>
    </cfRule>
    <cfRule type="expression" dxfId="999" priority="22">
      <formula>L50&lt;0</formula>
    </cfRule>
  </conditionalFormatting>
  <conditionalFormatting sqref="L83:L84">
    <cfRule type="expression" dxfId="998" priority="19">
      <formula>L83&gt;0</formula>
    </cfRule>
    <cfRule type="expression" dxfId="997" priority="20">
      <formula>L83&lt;0</formula>
    </cfRule>
  </conditionalFormatting>
  <conditionalFormatting sqref="L93:L95">
    <cfRule type="expression" dxfId="996" priority="17">
      <formula>L93&gt;0</formula>
    </cfRule>
    <cfRule type="expression" dxfId="995" priority="18">
      <formula>L93&lt;0</formula>
    </cfRule>
  </conditionalFormatting>
  <conditionalFormatting sqref="K102:K104 F102:F105 H102:H105">
    <cfRule type="expression" dxfId="994" priority="15">
      <formula>F102&gt;0</formula>
    </cfRule>
    <cfRule type="expression" dxfId="993" priority="16">
      <formula>F102&lt;0</formula>
    </cfRule>
  </conditionalFormatting>
  <conditionalFormatting sqref="L102:L104">
    <cfRule type="expression" dxfId="992" priority="13">
      <formula>L102&gt;0</formula>
    </cfRule>
    <cfRule type="expression" dxfId="991" priority="14">
      <formula>L102&lt;0</formula>
    </cfRule>
  </conditionalFormatting>
  <conditionalFormatting sqref="K99:K101 F99:F101 H99:H101">
    <cfRule type="expression" dxfId="990" priority="11">
      <formula>F99&gt;0</formula>
    </cfRule>
    <cfRule type="expression" dxfId="989" priority="12">
      <formula>F99&lt;0</formula>
    </cfRule>
  </conditionalFormatting>
  <conditionalFormatting sqref="L99:L101">
    <cfRule type="expression" dxfId="988" priority="9">
      <formula>L99&gt;0</formula>
    </cfRule>
    <cfRule type="expression" dxfId="987" priority="10">
      <formula>L99&lt;0</formula>
    </cfRule>
  </conditionalFormatting>
  <conditionalFormatting sqref="K96:K98 F96:F98 H96:H98">
    <cfRule type="expression" dxfId="986" priority="7">
      <formula>F96&gt;0</formula>
    </cfRule>
    <cfRule type="expression" dxfId="985" priority="8">
      <formula>F96&lt;0</formula>
    </cfRule>
  </conditionalFormatting>
  <conditionalFormatting sqref="L97:L98">
    <cfRule type="expression" dxfId="984" priority="5">
      <formula>L97&gt;0</formula>
    </cfRule>
    <cfRule type="expression" dxfId="983" priority="6">
      <formula>L97&lt;0</formula>
    </cfRule>
  </conditionalFormatting>
  <conditionalFormatting sqref="K105:K107 F106:F107 H106:H107">
    <cfRule type="expression" dxfId="982" priority="3">
      <formula>F105&gt;0</formula>
    </cfRule>
    <cfRule type="expression" dxfId="981" priority="4">
      <formula>F105&lt;0</formula>
    </cfRule>
  </conditionalFormatting>
  <conditionalFormatting sqref="L105:L107">
    <cfRule type="expression" dxfId="980" priority="1">
      <formula>L105&gt;0</formula>
    </cfRule>
    <cfRule type="expression" dxfId="979" priority="2">
      <formula>L105&lt;0</formula>
    </cfRule>
  </conditionalFormatting>
  <hyperlinks>
    <hyperlink ref="A3" location="ACTIVE!A1" display="Back"/>
    <hyperlink ref="A158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57.52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57.52</v>
      </c>
      <c r="R4" s="475">
        <v>2.8E-3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208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207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63.272000000000006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62.69680000000001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62.121600000000008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61.546400000000006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60.971200000000003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60.396000000000008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59.820800000000006</v>
      </c>
      <c r="Q47" s="2"/>
      <c r="T47" s="91" t="s">
        <v>315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59.245600000000003</v>
      </c>
      <c r="Q48" s="2"/>
      <c r="T48" s="91" t="s">
        <v>316</v>
      </c>
      <c r="U48" s="86" t="s">
        <v>498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58.670400000000001</v>
      </c>
      <c r="Q49" s="2"/>
      <c r="T49" s="91" t="s">
        <v>317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58.095200000000006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57.52</v>
      </c>
      <c r="Q51" s="2"/>
      <c r="T51" s="91" t="s">
        <v>104</v>
      </c>
      <c r="U51" s="86" t="s">
        <v>600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56.944800000000001</v>
      </c>
      <c r="Q52" s="2"/>
      <c r="T52" s="91" t="s">
        <v>105</v>
      </c>
      <c r="U52" s="86" t="s">
        <v>512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56.369600000000005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55.794400000000003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223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234</v>
      </c>
      <c r="M55" s="250"/>
      <c r="O55" s="81">
        <v>0.96</v>
      </c>
      <c r="P55" s="81">
        <f t="shared" si="5"/>
        <v>55.219200000000001</v>
      </c>
      <c r="T55" s="91" t="s">
        <v>318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54.643999999999998</v>
      </c>
      <c r="T56" s="91" t="s">
        <v>319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54.068800000000003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53.493600000000008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52.918400000000005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52.343200000000003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51.768000000000001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78" priority="9">
      <formula>F39&gt;0</formula>
    </cfRule>
    <cfRule type="expression" dxfId="977" priority="10">
      <formula>F39&lt;0</formula>
    </cfRule>
  </conditionalFormatting>
  <conditionalFormatting sqref="F25:F38">
    <cfRule type="expression" dxfId="976" priority="7">
      <formula>F25&gt;0</formula>
    </cfRule>
    <cfRule type="expression" dxfId="975" priority="8">
      <formula>F25&lt;0</formula>
    </cfRule>
  </conditionalFormatting>
  <conditionalFormatting sqref="H25:H38">
    <cfRule type="expression" dxfId="974" priority="5">
      <formula>H25&gt;0</formula>
    </cfRule>
    <cfRule type="expression" dxfId="973" priority="6">
      <formula>H25&lt;0</formula>
    </cfRule>
  </conditionalFormatting>
  <conditionalFormatting sqref="Q7">
    <cfRule type="expression" dxfId="972" priority="3">
      <formula>Q7&gt;0</formula>
    </cfRule>
    <cfRule type="expression" dxfId="971" priority="4">
      <formula>Q7&lt;0</formula>
    </cfRule>
  </conditionalFormatting>
  <conditionalFormatting sqref="Q8">
    <cfRule type="expression" dxfId="970" priority="1">
      <formula>Q8&gt;0</formula>
    </cfRule>
    <cfRule type="expression" dxfId="96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823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454.21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454.21</v>
      </c>
      <c r="R4" s="495">
        <v>-2.0899999999999998E-2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4"/>
    </row>
    <row r="10" spans="1:23" x14ac:dyDescent="0.25">
      <c r="H10" s="70"/>
      <c r="O10" s="11" t="s">
        <v>207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51" t="s">
        <v>78</v>
      </c>
      <c r="P14" s="851"/>
      <c r="W14" s="134"/>
    </row>
    <row r="15" spans="1:23" ht="15.75" thickTop="1" x14ac:dyDescent="0.25">
      <c r="H15" s="70"/>
      <c r="O15" s="81">
        <v>1.1000000000000001</v>
      </c>
      <c r="P15" s="81">
        <f>O15*$Q$4</f>
        <v>499.63100000000003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495.08890000000002</v>
      </c>
      <c r="W16" s="134"/>
    </row>
    <row r="17" spans="1:23" x14ac:dyDescent="0.25">
      <c r="O17" s="81">
        <v>1.08</v>
      </c>
      <c r="P17" s="81">
        <f t="shared" si="0"/>
        <v>490.54680000000002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486.00470000000001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481.46260000000001</v>
      </c>
      <c r="W19" s="134"/>
    </row>
    <row r="20" spans="1:23" x14ac:dyDescent="0.25">
      <c r="O20" s="81">
        <v>1.05</v>
      </c>
      <c r="P20" s="81">
        <f t="shared" si="0"/>
        <v>476.9205</v>
      </c>
      <c r="W20" s="134"/>
    </row>
    <row r="21" spans="1:23" x14ac:dyDescent="0.25">
      <c r="O21" s="81">
        <v>1.04</v>
      </c>
      <c r="P21" s="81">
        <f t="shared" si="0"/>
        <v>472.3784</v>
      </c>
      <c r="W21" s="134"/>
    </row>
    <row r="22" spans="1:23" x14ac:dyDescent="0.25">
      <c r="O22" s="81">
        <v>1.03</v>
      </c>
      <c r="P22" s="81">
        <f t="shared" si="0"/>
        <v>467.83629999999999</v>
      </c>
      <c r="W22" s="134"/>
    </row>
    <row r="23" spans="1:23" x14ac:dyDescent="0.25">
      <c r="O23" s="81">
        <v>1.02</v>
      </c>
      <c r="P23" s="81">
        <f t="shared" si="0"/>
        <v>463.29419999999999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497</v>
      </c>
      <c r="K24" s="220" t="s">
        <v>178</v>
      </c>
      <c r="L24" s="220"/>
      <c r="O24" s="81">
        <v>1.01</v>
      </c>
      <c r="P24" s="81">
        <f t="shared" si="0"/>
        <v>458.75209999999998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454.21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449.66789999999997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445.12579999999997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440.58369999999996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436.04159999999996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431.49949999999995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426.95739999999995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422.4153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417.8732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413.33109999999999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408.78899999999999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823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68" priority="29">
      <formula>F29&gt;0</formula>
    </cfRule>
    <cfRule type="expression" dxfId="967" priority="30">
      <formula>F29&lt;0</formula>
    </cfRule>
  </conditionalFormatting>
  <conditionalFormatting sqref="Q7">
    <cfRule type="expression" dxfId="966" priority="27">
      <formula>Q7&gt;0</formula>
    </cfRule>
    <cfRule type="expression" dxfId="965" priority="28">
      <formula>Q7&lt;0</formula>
    </cfRule>
  </conditionalFormatting>
  <conditionalFormatting sqref="Q8">
    <cfRule type="expression" dxfId="964" priority="25">
      <formula>Q8&gt;0</formula>
    </cfRule>
    <cfRule type="expression" dxfId="963" priority="26">
      <formula>Q8&lt;0</formula>
    </cfRule>
  </conditionalFormatting>
  <conditionalFormatting sqref="F96:F110">
    <cfRule type="expression" dxfId="962" priority="19">
      <formula>F96&gt;0</formula>
    </cfRule>
    <cfRule type="expression" dxfId="961" priority="20">
      <formula>F96&lt;0</formula>
    </cfRule>
  </conditionalFormatting>
  <conditionalFormatting sqref="H96:H110">
    <cfRule type="expression" dxfId="960" priority="17">
      <formula>H96&gt;0</formula>
    </cfRule>
    <cfRule type="expression" dxfId="959" priority="18">
      <formula>H96&lt;0</formula>
    </cfRule>
  </conditionalFormatting>
  <conditionalFormatting sqref="Q10">
    <cfRule type="expression" dxfId="958" priority="15">
      <formula>Q10&gt;0</formula>
    </cfRule>
    <cfRule type="expression" dxfId="957" priority="16">
      <formula>Q10&lt;0</formula>
    </cfRule>
  </conditionalFormatting>
  <conditionalFormatting sqref="L29:L38">
    <cfRule type="expression" dxfId="956" priority="9">
      <formula>L29&gt;0</formula>
    </cfRule>
    <cfRule type="expression" dxfId="955" priority="10">
      <formula>L29&lt;0</formula>
    </cfRule>
  </conditionalFormatting>
  <conditionalFormatting sqref="F27:F29 H27:H29 J25:K29">
    <cfRule type="expression" dxfId="954" priority="7">
      <formula>F25&gt;0</formula>
    </cfRule>
    <cfRule type="expression" dxfId="953" priority="8">
      <formula>F25&lt;0</formula>
    </cfRule>
  </conditionalFormatting>
  <conditionalFormatting sqref="L25:L29">
    <cfRule type="expression" dxfId="952" priority="5">
      <formula>L25&gt;0</formula>
    </cfRule>
    <cfRule type="expression" dxfId="951" priority="6">
      <formula>L25&lt;0</formula>
    </cfRule>
  </conditionalFormatting>
  <conditionalFormatting sqref="F25:F26">
    <cfRule type="expression" dxfId="950" priority="3">
      <formula>F25&gt;0</formula>
    </cfRule>
    <cfRule type="expression" dxfId="949" priority="4">
      <formula>F25&lt;0</formula>
    </cfRule>
  </conditionalFormatting>
  <conditionalFormatting sqref="H25:H26">
    <cfRule type="expression" dxfId="948" priority="1">
      <formula>H25&gt;0</formula>
    </cfRule>
    <cfRule type="expression" dxfId="94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849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884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82.575749999999942</v>
      </c>
      <c r="T3" s="1">
        <v>43114</v>
      </c>
      <c r="U3" t="s">
        <v>885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94.349900000000005</v>
      </c>
      <c r="R4" s="495">
        <v>-2.2499999999999999E-2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3773.9960000000001</v>
      </c>
      <c r="T5" s="1">
        <v>43121</v>
      </c>
      <c r="U5" t="s">
        <v>902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3303.0299999999979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470.96600000000126</v>
      </c>
      <c r="R7">
        <v>40</v>
      </c>
      <c r="T7" s="1">
        <v>43138</v>
      </c>
      <c r="U7" t="s">
        <v>983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470.96600000000126</v>
      </c>
      <c r="T8" s="1"/>
      <c r="U8" t="s">
        <v>984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0.14258604977853714</v>
      </c>
      <c r="U9" t="s">
        <v>985</v>
      </c>
      <c r="W9" s="134"/>
    </row>
    <row r="10" spans="1:23" x14ac:dyDescent="0.25">
      <c r="H10" s="70"/>
      <c r="O10" s="11" t="s">
        <v>207</v>
      </c>
      <c r="P10" s="33"/>
      <c r="Q10" s="2">
        <f>M66</f>
        <v>0</v>
      </c>
      <c r="U10" t="s">
        <v>987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2.4165367424872731E-2</v>
      </c>
      <c r="R11">
        <f>0.57</f>
        <v>0.56999999999999995</v>
      </c>
      <c r="W11" s="134"/>
    </row>
    <row r="12" spans="1:23" x14ac:dyDescent="0.25">
      <c r="H12" s="70"/>
      <c r="O12" s="11" t="s">
        <v>946</v>
      </c>
      <c r="Q12" s="1" t="s">
        <v>1219</v>
      </c>
      <c r="W12" s="134"/>
    </row>
    <row r="13" spans="1:23" x14ac:dyDescent="0.25">
      <c r="H13" s="70"/>
      <c r="O13" s="11" t="s">
        <v>973</v>
      </c>
      <c r="Q13" s="2">
        <f>Q4/4.76</f>
        <v>19.821407563025211</v>
      </c>
      <c r="T13" s="1">
        <v>43213</v>
      </c>
      <c r="U13" t="s">
        <v>986</v>
      </c>
      <c r="W13" s="134"/>
    </row>
    <row r="14" spans="1:23" x14ac:dyDescent="0.25">
      <c r="H14" s="70"/>
      <c r="U14" t="s">
        <v>1025</v>
      </c>
      <c r="W14" s="134"/>
    </row>
    <row r="15" spans="1:23" x14ac:dyDescent="0.25">
      <c r="H15" s="70"/>
      <c r="U15" t="s">
        <v>1026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1095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140</v>
      </c>
      <c r="I18" s="18"/>
      <c r="J18" s="18"/>
      <c r="K18" s="18">
        <f>SUM(K2:K5)</f>
        <v>12311.970000000001</v>
      </c>
      <c r="L18" s="14"/>
      <c r="M18" s="18">
        <f>SUM(M2:M10)</f>
        <v>85.8</v>
      </c>
      <c r="O18" s="851" t="s">
        <v>78</v>
      </c>
      <c r="P18" s="851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12098</v>
      </c>
      <c r="G19" s="343"/>
      <c r="H19" s="343">
        <f>SumByColor($A$19,H2:H17)</f>
        <v>140</v>
      </c>
      <c r="I19" s="343"/>
      <c r="J19" s="343"/>
      <c r="K19" s="344">
        <f>SumByColor($A$19,K2:K17)</f>
        <v>12312</v>
      </c>
      <c r="L19" s="343"/>
      <c r="M19" s="344">
        <f>SumByColor($A$19,M2:M17)</f>
        <v>86</v>
      </c>
      <c r="O19" s="81">
        <v>1.1000000000000001</v>
      </c>
      <c r="P19" s="81">
        <f>O19*$Q$4</f>
        <v>103.78489000000002</v>
      </c>
      <c r="W19" s="134"/>
    </row>
    <row r="20" spans="1:23" x14ac:dyDescent="0.25">
      <c r="O20" s="81">
        <v>1.0900000000000001</v>
      </c>
      <c r="P20" s="81">
        <f t="shared" ref="P20:P39" si="0">O20*$Q$4</f>
        <v>102.84139100000002</v>
      </c>
      <c r="W20" s="134"/>
    </row>
    <row r="21" spans="1:23" x14ac:dyDescent="0.25">
      <c r="O21" s="81">
        <v>1.08</v>
      </c>
      <c r="P21" s="81">
        <f t="shared" si="0"/>
        <v>101.89789200000001</v>
      </c>
      <c r="W21" s="134"/>
    </row>
    <row r="22" spans="1:23" x14ac:dyDescent="0.25">
      <c r="O22" s="81">
        <v>1.07</v>
      </c>
      <c r="P22" s="81">
        <f t="shared" si="0"/>
        <v>100.95439300000001</v>
      </c>
      <c r="W22" s="134"/>
    </row>
    <row r="23" spans="1:23" x14ac:dyDescent="0.25">
      <c r="O23" s="81">
        <v>1.06</v>
      </c>
      <c r="P23" s="81">
        <f t="shared" si="0"/>
        <v>100.01089400000001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497</v>
      </c>
      <c r="K24" s="220" t="s">
        <v>973</v>
      </c>
      <c r="L24" s="220"/>
      <c r="O24" s="81">
        <v>1.05</v>
      </c>
      <c r="P24" s="81">
        <f t="shared" si="0"/>
        <v>99.067395000000005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:F39" si="1">C25*(E25-D25)</f>
        <v>93.199999999999932</v>
      </c>
      <c r="G25" s="39">
        <f t="shared" ref="G25:G39" si="2">D25*C25</f>
        <v>3603.2</v>
      </c>
      <c r="H25" s="222">
        <f t="shared" ref="H25:H39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98.123896000000002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1"/>
        <v>373.59999999999957</v>
      </c>
      <c r="G26" s="39">
        <f t="shared" si="2"/>
        <v>3580.4</v>
      </c>
      <c r="H26" s="222">
        <f t="shared" si="3"/>
        <v>0.1043458831415483</v>
      </c>
      <c r="I26" s="39"/>
      <c r="J26" s="39"/>
      <c r="K26" s="39"/>
      <c r="L26" s="39"/>
      <c r="O26" s="81">
        <v>1.03</v>
      </c>
      <c r="P26" s="81">
        <f t="shared" si="0"/>
        <v>97.180397000000013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1"/>
        <v>-38.2000000000005</v>
      </c>
      <c r="G27" s="39">
        <f t="shared" si="2"/>
        <v>8973.2000000000007</v>
      </c>
      <c r="H27" s="222">
        <f t="shared" si="3"/>
        <v>-4.2571212053671486E-3</v>
      </c>
      <c r="I27" s="39"/>
      <c r="J27" s="39"/>
      <c r="K27" s="39"/>
      <c r="L27" s="155"/>
      <c r="O27" s="81">
        <v>1.02</v>
      </c>
      <c r="P27" s="81">
        <f t="shared" si="0"/>
        <v>96.236898000000011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1"/>
        <v>-199.20000000000044</v>
      </c>
      <c r="G28" s="39">
        <f t="shared" si="2"/>
        <v>8973.2000000000007</v>
      </c>
      <c r="H28" s="222">
        <f t="shared" si="3"/>
        <v>-2.2199438327464054E-2</v>
      </c>
      <c r="I28" s="39"/>
      <c r="J28" s="39"/>
      <c r="K28" s="39"/>
      <c r="L28" s="155"/>
      <c r="O28" s="81">
        <v>1.01</v>
      </c>
      <c r="P28" s="81">
        <f t="shared" si="0"/>
        <v>95.293399000000008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1"/>
        <v>-328.19999999999965</v>
      </c>
      <c r="G29" s="39">
        <f t="shared" si="2"/>
        <v>8973.2000000000007</v>
      </c>
      <c r="H29" s="222">
        <f t="shared" si="3"/>
        <v>-3.6575580617839748E-2</v>
      </c>
      <c r="I29" s="39"/>
      <c r="J29" s="39"/>
      <c r="K29" s="39"/>
      <c r="L29" s="155"/>
      <c r="O29" s="81">
        <v>1</v>
      </c>
      <c r="P29" s="81">
        <f t="shared" si="0"/>
        <v>94.349900000000005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1"/>
        <v>-551.20000000000005</v>
      </c>
      <c r="G30" s="39">
        <f t="shared" si="2"/>
        <v>8973.2000000000007</v>
      </c>
      <c r="H30" s="222">
        <f t="shared" si="3"/>
        <v>-6.1427361476396387E-2</v>
      </c>
      <c r="I30" s="39"/>
      <c r="J30" s="39"/>
      <c r="K30" s="39"/>
      <c r="L30" s="155"/>
      <c r="O30" s="81">
        <v>0.99</v>
      </c>
      <c r="P30" s="81">
        <f t="shared" si="0"/>
        <v>93.406401000000002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1"/>
        <v>-465.2000000000001</v>
      </c>
      <c r="G31" s="39">
        <f t="shared" si="2"/>
        <v>8973.2000000000007</v>
      </c>
      <c r="H31" s="222">
        <f t="shared" si="3"/>
        <v>-5.1843266616145869E-2</v>
      </c>
      <c r="I31" s="39"/>
      <c r="J31" s="39"/>
      <c r="K31" s="39"/>
      <c r="L31" s="155"/>
      <c r="O31" s="81">
        <v>0.98</v>
      </c>
      <c r="P31" s="81">
        <f t="shared" si="0"/>
        <v>92.462902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1"/>
        <v>-566.20000000000061</v>
      </c>
      <c r="G32" s="39">
        <f t="shared" si="2"/>
        <v>8973.2000000000007</v>
      </c>
      <c r="H32" s="222">
        <f t="shared" si="3"/>
        <v>-6.3099005928765731E-2</v>
      </c>
      <c r="I32" s="39"/>
      <c r="J32" s="39"/>
      <c r="K32" s="39"/>
      <c r="L32" s="155"/>
      <c r="O32" s="81">
        <v>0.97</v>
      </c>
      <c r="P32" s="81">
        <f t="shared" si="0"/>
        <v>91.519402999999997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1"/>
        <v>-530.19999999999925</v>
      </c>
      <c r="G33" s="39">
        <f t="shared" si="2"/>
        <v>8973.2000000000007</v>
      </c>
      <c r="H33" s="222">
        <f t="shared" si="3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90.575904000000008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1"/>
        <v>-691.19400000000019</v>
      </c>
      <c r="G34" s="39">
        <f t="shared" si="2"/>
        <v>12285.993999999999</v>
      </c>
      <c r="H34" s="222">
        <f t="shared" si="3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89.632405000000006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1"/>
        <v>-212.07999999999885</v>
      </c>
      <c r="G35" s="39">
        <f t="shared" si="2"/>
        <v>8824.08</v>
      </c>
      <c r="H35" s="222">
        <f t="shared" si="3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88.688906000000003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1"/>
        <v>-202.67799999999966</v>
      </c>
      <c r="G36" s="39">
        <f t="shared" si="2"/>
        <v>12216.078</v>
      </c>
      <c r="H36" s="222">
        <f t="shared" si="3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87.745407000000014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1"/>
        <v>17.000000000000171</v>
      </c>
      <c r="G37" s="39">
        <f t="shared" si="2"/>
        <v>8721</v>
      </c>
      <c r="H37" s="222">
        <f t="shared" si="3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86.801908000000012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1"/>
        <v>170.00000000000028</v>
      </c>
      <c r="G38" s="39">
        <f t="shared" si="2"/>
        <v>8658</v>
      </c>
      <c r="H38" s="222">
        <f t="shared" si="3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85.858409000000009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1"/>
        <v>249.37200000000018</v>
      </c>
      <c r="G39" s="39">
        <f t="shared" si="2"/>
        <v>3303.0279999999998</v>
      </c>
      <c r="H39" s="222">
        <f t="shared" si="3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84.914910000000006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849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46" priority="25">
      <formula>F47&gt;0</formula>
    </cfRule>
    <cfRule type="expression" dxfId="945" priority="26">
      <formula>F47&lt;0</formula>
    </cfRule>
  </conditionalFormatting>
  <conditionalFormatting sqref="Q7">
    <cfRule type="expression" dxfId="944" priority="23">
      <formula>Q7&gt;0</formula>
    </cfRule>
    <cfRule type="expression" dxfId="943" priority="24">
      <formula>Q7&lt;0</formula>
    </cfRule>
  </conditionalFormatting>
  <conditionalFormatting sqref="Q8">
    <cfRule type="expression" dxfId="942" priority="21">
      <formula>Q8&gt;0</formula>
    </cfRule>
    <cfRule type="expression" dxfId="941" priority="22">
      <formula>Q8&lt;0</formula>
    </cfRule>
  </conditionalFormatting>
  <conditionalFormatting sqref="F25:F29 F34:F46">
    <cfRule type="expression" dxfId="940" priority="19">
      <formula>F25&gt;0</formula>
    </cfRule>
    <cfRule type="expression" dxfId="939" priority="20">
      <formula>F25&lt;0</formula>
    </cfRule>
  </conditionalFormatting>
  <conditionalFormatting sqref="H25:H29 H34:H46">
    <cfRule type="expression" dxfId="938" priority="17">
      <formula>H25&gt;0</formula>
    </cfRule>
    <cfRule type="expression" dxfId="937" priority="18">
      <formula>H25&lt;0</formula>
    </cfRule>
  </conditionalFormatting>
  <conditionalFormatting sqref="F89:F110">
    <cfRule type="expression" dxfId="936" priority="15">
      <formula>F89&gt;0</formula>
    </cfRule>
    <cfRule type="expression" dxfId="935" priority="16">
      <formula>F89&lt;0</formula>
    </cfRule>
  </conditionalFormatting>
  <conditionalFormatting sqref="H89:H110">
    <cfRule type="expression" dxfId="934" priority="13">
      <formula>H89&gt;0</formula>
    </cfRule>
    <cfRule type="expression" dxfId="933" priority="14">
      <formula>H89&lt;0</formula>
    </cfRule>
  </conditionalFormatting>
  <conditionalFormatting sqref="Q10">
    <cfRule type="expression" dxfId="932" priority="11">
      <formula>Q10&gt;0</formula>
    </cfRule>
    <cfRule type="expression" dxfId="931" priority="12">
      <formula>Q10&lt;0</formula>
    </cfRule>
  </conditionalFormatting>
  <conditionalFormatting sqref="J25:J32 J34:J38">
    <cfRule type="expression" dxfId="930" priority="9">
      <formula>J25&gt;0</formula>
    </cfRule>
    <cfRule type="expression" dxfId="929" priority="10">
      <formula>J25&lt;0</formula>
    </cfRule>
  </conditionalFormatting>
  <conditionalFormatting sqref="K25:K30">
    <cfRule type="expression" dxfId="928" priority="7">
      <formula>K25&gt;0</formula>
    </cfRule>
    <cfRule type="expression" dxfId="927" priority="8">
      <formula>K25&lt;0</formula>
    </cfRule>
  </conditionalFormatting>
  <conditionalFormatting sqref="L25:L38">
    <cfRule type="expression" dxfId="926" priority="5">
      <formula>L25&gt;0</formula>
    </cfRule>
    <cfRule type="expression" dxfId="925" priority="6">
      <formula>L25&lt;0</formula>
    </cfRule>
  </conditionalFormatting>
  <conditionalFormatting sqref="F30:F33">
    <cfRule type="expression" dxfId="924" priority="3">
      <formula>F30&gt;0</formula>
    </cfRule>
    <cfRule type="expression" dxfId="923" priority="4">
      <formula>F30&lt;0</formula>
    </cfRule>
  </conditionalFormatting>
  <conditionalFormatting sqref="H30:H33">
    <cfRule type="expression" dxfId="922" priority="1">
      <formula>H30&gt;0</formula>
    </cfRule>
    <cfRule type="expression" dxfId="921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733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1020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75.86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75.86</v>
      </c>
      <c r="R4" s="495">
        <v>-5.8999999999999999E-3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813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812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816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U9" t="s">
        <v>814</v>
      </c>
      <c r="W9" s="134"/>
    </row>
    <row r="10" spans="1:23" x14ac:dyDescent="0.25">
      <c r="H10" s="70"/>
      <c r="O10" s="11" t="s">
        <v>207</v>
      </c>
      <c r="P10" s="33"/>
      <c r="Q10" s="2">
        <f>M41</f>
        <v>459.31999999999971</v>
      </c>
      <c r="U10" t="s">
        <v>815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946</v>
      </c>
      <c r="Q12" s="1"/>
      <c r="T12" s="1">
        <v>43114</v>
      </c>
      <c r="U12" t="s">
        <v>866</v>
      </c>
      <c r="W12" s="134"/>
    </row>
    <row r="13" spans="1:23" x14ac:dyDescent="0.25">
      <c r="H13" s="70"/>
      <c r="O13" s="11" t="s">
        <v>973</v>
      </c>
      <c r="Q13" s="2">
        <f>Q4/(4.03+4.14)*2</f>
        <v>18.570379436964505</v>
      </c>
      <c r="U13" t="s">
        <v>867</v>
      </c>
      <c r="W13" s="134"/>
    </row>
    <row r="14" spans="1:23" x14ac:dyDescent="0.25">
      <c r="H14" s="70"/>
      <c r="U14" t="s">
        <v>869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51" t="s">
        <v>78</v>
      </c>
      <c r="P16" s="851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83.446000000000012</v>
      </c>
      <c r="Q17" s="2"/>
      <c r="U17" t="s">
        <v>972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82.687400000000011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81.92880000000001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81.170200000000008</v>
      </c>
      <c r="Q20" s="2"/>
      <c r="W20" s="134"/>
    </row>
    <row r="21" spans="1:23" x14ac:dyDescent="0.25">
      <c r="O21" s="81">
        <v>1.06</v>
      </c>
      <c r="P21" s="81">
        <f t="shared" si="0"/>
        <v>80.411600000000007</v>
      </c>
      <c r="Q21" s="2"/>
      <c r="T21" s="1">
        <v>43283</v>
      </c>
      <c r="U21" t="s">
        <v>1151</v>
      </c>
      <c r="W21" s="134"/>
    </row>
    <row r="22" spans="1:23" x14ac:dyDescent="0.25">
      <c r="O22" s="81">
        <v>1.05</v>
      </c>
      <c r="P22" s="81">
        <f t="shared" si="0"/>
        <v>79.653000000000006</v>
      </c>
      <c r="Q22" s="2"/>
      <c r="W22" s="134"/>
    </row>
    <row r="23" spans="1:23" x14ac:dyDescent="0.25">
      <c r="O23" s="81">
        <v>1.04</v>
      </c>
      <c r="P23" s="81">
        <f t="shared" si="0"/>
        <v>78.894400000000005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497</v>
      </c>
      <c r="K24" s="220"/>
      <c r="L24" s="220" t="s">
        <v>973</v>
      </c>
      <c r="M24" s="220" t="s">
        <v>150</v>
      </c>
      <c r="O24" s="81">
        <v>1.03</v>
      </c>
      <c r="P24" s="81">
        <f t="shared" si="0"/>
        <v>78.135800000000003</v>
      </c>
      <c r="Q24" s="2"/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77.377200000000002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76.618600000000001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75.86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75.101399999999998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74.342799999999997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73.584199999999996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72.825599999999994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72.066999999999993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71.308399999999992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70.549800000000005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69.791200000000003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69.032600000000002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68.274000000000001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733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497</v>
      </c>
      <c r="K64" s="488"/>
      <c r="L64" s="488" t="s">
        <v>973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868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893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916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20" priority="49">
      <formula>Q7&gt;0</formula>
    </cfRule>
    <cfRule type="expression" dxfId="919" priority="50">
      <formula>Q7&lt;0</formula>
    </cfRule>
  </conditionalFormatting>
  <conditionalFormatting sqref="Q8">
    <cfRule type="expression" dxfId="918" priority="47">
      <formula>Q8&gt;0</formula>
    </cfRule>
    <cfRule type="expression" dxfId="917" priority="48">
      <formula>Q8&lt;0</formula>
    </cfRule>
  </conditionalFormatting>
  <conditionalFormatting sqref="F26:F38">
    <cfRule type="expression" dxfId="916" priority="45">
      <formula>F26&gt;0</formula>
    </cfRule>
    <cfRule type="expression" dxfId="915" priority="46">
      <formula>F26&lt;0</formula>
    </cfRule>
  </conditionalFormatting>
  <conditionalFormatting sqref="H26:H38">
    <cfRule type="expression" dxfId="914" priority="43">
      <formula>H26&gt;0</formula>
    </cfRule>
    <cfRule type="expression" dxfId="913" priority="44">
      <formula>H26&lt;0</formula>
    </cfRule>
  </conditionalFormatting>
  <conditionalFormatting sqref="H25">
    <cfRule type="expression" dxfId="912" priority="23">
      <formula>H25&gt;0</formula>
    </cfRule>
    <cfRule type="expression" dxfId="911" priority="24">
      <formula>H25&lt;0</formula>
    </cfRule>
  </conditionalFormatting>
  <conditionalFormatting sqref="Q10">
    <cfRule type="expression" dxfId="910" priority="37">
      <formula>Q10&gt;0</formula>
    </cfRule>
    <cfRule type="expression" dxfId="909" priority="38">
      <formula>Q10&lt;0</formula>
    </cfRule>
  </conditionalFormatting>
  <conditionalFormatting sqref="F25">
    <cfRule type="expression" dxfId="908" priority="25">
      <formula>F25&gt;0</formula>
    </cfRule>
    <cfRule type="expression" dxfId="907" priority="26">
      <formula>F25&lt;0</formula>
    </cfRule>
  </conditionalFormatting>
  <conditionalFormatting sqref="J65:K72">
    <cfRule type="expression" dxfId="906" priority="19">
      <formula>J65&gt;0</formula>
    </cfRule>
    <cfRule type="expression" dxfId="905" priority="20">
      <formula>J65&lt;0</formula>
    </cfRule>
  </conditionalFormatting>
  <conditionalFormatting sqref="F65:F83 F89">
    <cfRule type="expression" dxfId="904" priority="17">
      <formula>F65&gt;0</formula>
    </cfRule>
    <cfRule type="expression" dxfId="903" priority="18">
      <formula>F65&lt;0</formula>
    </cfRule>
  </conditionalFormatting>
  <conditionalFormatting sqref="H65:H83 H89">
    <cfRule type="expression" dxfId="902" priority="15">
      <formula>H65&gt;0</formula>
    </cfRule>
    <cfRule type="expression" dxfId="901" priority="16">
      <formula>H65&lt;0</formula>
    </cfRule>
  </conditionalFormatting>
  <conditionalFormatting sqref="J76:J78">
    <cfRule type="expression" dxfId="900" priority="13">
      <formula>J76&gt;0</formula>
    </cfRule>
    <cfRule type="expression" dxfId="899" priority="14">
      <formula>J76&lt;0</formula>
    </cfRule>
  </conditionalFormatting>
  <conditionalFormatting sqref="K76:K78">
    <cfRule type="expression" dxfId="898" priority="11">
      <formula>K76&gt;0</formula>
    </cfRule>
    <cfRule type="expression" dxfId="897" priority="12">
      <formula>K76&lt;0</formula>
    </cfRule>
  </conditionalFormatting>
  <conditionalFormatting sqref="L65:L78">
    <cfRule type="expression" dxfId="896" priority="9">
      <formula>L65&gt;0</formula>
    </cfRule>
    <cfRule type="expression" dxfId="895" priority="10">
      <formula>L65&lt;0</formula>
    </cfRule>
  </conditionalFormatting>
  <conditionalFormatting sqref="F84:F88">
    <cfRule type="expression" dxfId="894" priority="7">
      <formula>F84&gt;0</formula>
    </cfRule>
    <cfRule type="expression" dxfId="893" priority="8">
      <formula>F84&lt;0</formula>
    </cfRule>
  </conditionalFormatting>
  <conditionalFormatting sqref="H84:H88">
    <cfRule type="expression" dxfId="892" priority="5">
      <formula>H84&gt;0</formula>
    </cfRule>
    <cfRule type="expression" dxfId="891" priority="6">
      <formula>H84&lt;0</formula>
    </cfRule>
  </conditionalFormatting>
  <conditionalFormatting sqref="M65:M78">
    <cfRule type="expression" dxfId="890" priority="3">
      <formula>M65&gt;0</formula>
    </cfRule>
    <cfRule type="expression" dxfId="889" priority="4">
      <formula>M65&lt;0</formula>
    </cfRule>
  </conditionalFormatting>
  <conditionalFormatting sqref="M26:M31">
    <cfRule type="expression" dxfId="888" priority="1">
      <formula>M26&gt;0</formula>
    </cfRule>
    <cfRule type="expression" dxfId="887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6"/>
  <sheetViews>
    <sheetView workbookViewId="0">
      <pane ySplit="1" topLeftCell="A2" activePane="bottomLeft" state="frozen"/>
      <selection activeCell="A2" sqref="A2"/>
      <selection pane="bottomLeft" activeCell="C16" sqref="C16:F16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1104</v>
      </c>
      <c r="Z1" s="11" t="s">
        <v>1102</v>
      </c>
      <c r="AA1" s="11" t="s">
        <v>1103</v>
      </c>
      <c r="AB1" s="11" t="s">
        <v>1105</v>
      </c>
      <c r="AC1" s="11" t="s">
        <v>1102</v>
      </c>
      <c r="AD1" s="11" t="s">
        <v>1103</v>
      </c>
      <c r="AE1" s="11" t="s">
        <v>1106</v>
      </c>
      <c r="AF1" s="11" t="s">
        <v>1102</v>
      </c>
      <c r="AG1" s="11" t="s">
        <v>1103</v>
      </c>
      <c r="AH1" s="11" t="s">
        <v>1107</v>
      </c>
      <c r="AI1" s="11" t="s">
        <v>1102</v>
      </c>
      <c r="AJ1" s="11" t="s">
        <v>1103</v>
      </c>
      <c r="AK1" s="11" t="s">
        <v>1108</v>
      </c>
      <c r="AM1" s="11" t="s">
        <v>1109</v>
      </c>
      <c r="AO1" s="11" t="s">
        <v>1110</v>
      </c>
    </row>
    <row r="2" spans="1:41" x14ac:dyDescent="0.25">
      <c r="A2" s="6" t="s">
        <v>824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7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199</v>
      </c>
      <c r="AJ2">
        <f>$Q$2*$Q$4</f>
        <v>9011.9600000000009</v>
      </c>
      <c r="AK2">
        <f ca="1">AJ2*EXP(-$X$2 * AI2/365.25)</f>
        <v>16231.786918751008</v>
      </c>
      <c r="AM2" s="2">
        <f>Q10</f>
        <v>0</v>
      </c>
      <c r="AO2">
        <f ca="1" xml:space="preserve"> (SUM(AB:AB) - SUM(AE:AE) - SUM(AH:AH) - SUM(AK:AK))/SUM(AB:AB)</f>
        <v>-0.11888610992230553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30.841699999999999</v>
      </c>
      <c r="U3" t="s">
        <v>1018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199</v>
      </c>
      <c r="AJ3">
        <f t="shared" ref="AJ3:AJ17" si="11">$Q$2*$Q$4</f>
        <v>9011.9600000000009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4"/>
      <c r="M4" s="4"/>
      <c r="O4" s="11" t="s">
        <v>66</v>
      </c>
      <c r="Q4" s="54">
        <v>22.529900000000001</v>
      </c>
      <c r="R4" s="495">
        <v>-1.7000000000000001E-2</v>
      </c>
      <c r="U4" t="s">
        <v>1019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-43098</v>
      </c>
      <c r="AG4" s="2">
        <f t="shared" si="8"/>
        <v>0</v>
      </c>
      <c r="AH4">
        <f t="shared" si="9"/>
        <v>0</v>
      </c>
      <c r="AI4" s="2">
        <f t="shared" ca="1" si="10"/>
        <v>199</v>
      </c>
      <c r="AJ4">
        <f t="shared" si="11"/>
        <v>9011.9600000000009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9011.9600000000009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199</v>
      </c>
      <c r="AJ5">
        <f t="shared" si="11"/>
        <v>9011.9600000000009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12336.68</v>
      </c>
      <c r="T6" s="1">
        <v>43032</v>
      </c>
      <c r="U6" t="s">
        <v>883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199</v>
      </c>
      <c r="AJ6">
        <f t="shared" si="11"/>
        <v>9011.9600000000009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5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-3324.7199999999993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199</v>
      </c>
      <c r="AJ7">
        <f t="shared" si="11"/>
        <v>9011.9600000000009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K24+M24-F24+Q2*Q4</f>
        <v>-3324.7199999999993</v>
      </c>
      <c r="T8" s="1">
        <v>43121</v>
      </c>
      <c r="U8" t="s">
        <v>901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-43098</v>
      </c>
      <c r="AD8" s="2">
        <f t="shared" si="5"/>
        <v>0</v>
      </c>
      <c r="AE8">
        <f t="shared" si="6"/>
        <v>0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199</v>
      </c>
      <c r="AJ8">
        <f t="shared" si="11"/>
        <v>9011.9600000000009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-0.26949876303835385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-43098</v>
      </c>
      <c r="AD9" s="2">
        <f t="shared" si="5"/>
        <v>0</v>
      </c>
      <c r="AE9">
        <f t="shared" si="6"/>
        <v>0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199</v>
      </c>
      <c r="AJ9">
        <f t="shared" si="11"/>
        <v>9011.9600000000009</v>
      </c>
    </row>
    <row r="10" spans="1:41" x14ac:dyDescent="0.25">
      <c r="B10" s="72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H10" s="70"/>
      <c r="O10" s="11" t="s">
        <v>207</v>
      </c>
      <c r="P10" s="33"/>
      <c r="Q10" s="2">
        <f>M72</f>
        <v>0</v>
      </c>
      <c r="T10" s="1">
        <v>43160</v>
      </c>
      <c r="U10" t="s">
        <v>974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199</v>
      </c>
      <c r="AJ10">
        <f t="shared" si="11"/>
        <v>9011.9600000000009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H11" s="70"/>
      <c r="O11" s="11" t="s">
        <v>176</v>
      </c>
      <c r="P11" s="33"/>
      <c r="Q11" s="134">
        <f>R11*4/Q4</f>
        <v>4.6160879542297126E-2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199</v>
      </c>
      <c r="AJ11">
        <f t="shared" si="11"/>
        <v>9011.9600000000009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H12" s="70"/>
      <c r="O12" s="11" t="s">
        <v>946</v>
      </c>
      <c r="Q12" s="1" t="s">
        <v>1214</v>
      </c>
      <c r="T12" s="1">
        <v>43223</v>
      </c>
      <c r="U12" t="s">
        <v>1059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199</v>
      </c>
      <c r="AJ12">
        <f t="shared" si="11"/>
        <v>9011.9600000000009</v>
      </c>
    </row>
    <row r="13" spans="1:41" x14ac:dyDescent="0.25">
      <c r="B13" s="72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H13" s="70"/>
      <c r="O13" s="11" t="s">
        <v>973</v>
      </c>
      <c r="Q13">
        <f>Q4/(1.65+1.75)*2</f>
        <v>13.252882352941178</v>
      </c>
      <c r="U13" t="s">
        <v>1060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199</v>
      </c>
      <c r="AJ13">
        <f t="shared" si="11"/>
        <v>9011.9600000000009</v>
      </c>
    </row>
    <row r="14" spans="1:41" x14ac:dyDescent="0.25">
      <c r="B14" s="72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1111</v>
      </c>
      <c r="Q14" s="821">
        <v>-1.08</v>
      </c>
      <c r="U14" t="s">
        <v>1061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199</v>
      </c>
      <c r="AJ14">
        <f t="shared" si="11"/>
        <v>9011.9600000000009</v>
      </c>
    </row>
    <row r="15" spans="1:41" x14ac:dyDescent="0.25">
      <c r="B15" s="47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O15" s="11" t="s">
        <v>1062</v>
      </c>
      <c r="Q15" s="29">
        <v>43226</v>
      </c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199</v>
      </c>
      <c r="AJ15">
        <f t="shared" si="11"/>
        <v>9011.9600000000009</v>
      </c>
    </row>
    <row r="16" spans="1:41" x14ac:dyDescent="0.25">
      <c r="C16" s="4"/>
      <c r="D16" s="3"/>
      <c r="E16" s="3"/>
      <c r="F16" s="3"/>
      <c r="H16" s="70"/>
      <c r="T16" s="1">
        <v>43228</v>
      </c>
      <c r="U16" t="s">
        <v>1073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199</v>
      </c>
      <c r="AJ16">
        <f t="shared" si="11"/>
        <v>9011.9600000000009</v>
      </c>
    </row>
    <row r="17" spans="1:39" x14ac:dyDescent="0.25"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199</v>
      </c>
      <c r="AJ17">
        <f t="shared" si="11"/>
        <v>9011.9600000000009</v>
      </c>
      <c r="AM17" s="2"/>
    </row>
    <row r="18" spans="1:39" ht="20.25" thickBot="1" x14ac:dyDescent="0.35">
      <c r="C18" s="4"/>
      <c r="D18" s="3"/>
      <c r="E18" s="3"/>
      <c r="F18" s="3"/>
      <c r="H18" s="70"/>
      <c r="O18" s="851" t="s">
        <v>78</v>
      </c>
      <c r="P18" s="851"/>
      <c r="T18" s="1">
        <v>43236</v>
      </c>
      <c r="U18" t="s">
        <v>1087</v>
      </c>
      <c r="W18" s="134"/>
    </row>
    <row r="19" spans="1:39" ht="15.75" thickTop="1" x14ac:dyDescent="0.25">
      <c r="O19" s="81">
        <v>1.1000000000000001</v>
      </c>
      <c r="P19" s="81">
        <f>O19*$Q$4</f>
        <v>24.782890000000002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24.557591000000002</v>
      </c>
      <c r="T20" s="1">
        <v>43244</v>
      </c>
      <c r="U20" t="s">
        <v>1101</v>
      </c>
      <c r="W20" s="134"/>
    </row>
    <row r="21" spans="1:39" x14ac:dyDescent="0.25">
      <c r="O21" s="81">
        <v>1.08</v>
      </c>
      <c r="P21" s="81">
        <f t="shared" si="13"/>
        <v>24.332292000000002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24.106993000000003</v>
      </c>
      <c r="T22" s="156">
        <v>43288</v>
      </c>
      <c r="U22" t="s">
        <v>1190</v>
      </c>
      <c r="W22" s="134"/>
    </row>
    <row r="23" spans="1:39" x14ac:dyDescent="0.25">
      <c r="O23" s="81">
        <v>1.06</v>
      </c>
      <c r="P23" s="81">
        <f t="shared" si="13"/>
        <v>23.881694000000003</v>
      </c>
      <c r="W23" s="134"/>
    </row>
    <row r="24" spans="1:39" x14ac:dyDescent="0.25">
      <c r="A24" s="31" t="s">
        <v>81</v>
      </c>
      <c r="B24" s="14"/>
      <c r="C24" s="14">
        <f>SUM(C2:C22)</f>
        <v>1197</v>
      </c>
      <c r="D24" s="18"/>
      <c r="E24" s="18"/>
      <c r="F24" s="18">
        <f>SUM(F2:F22)</f>
        <v>31875.7</v>
      </c>
      <c r="G24" s="14"/>
      <c r="H24" s="71">
        <f>SUM(H2:H8)</f>
        <v>797</v>
      </c>
      <c r="I24" s="18"/>
      <c r="J24" s="18"/>
      <c r="K24" s="18">
        <f>SUM(K2:K8)</f>
        <v>19383.02</v>
      </c>
      <c r="L24" s="14"/>
      <c r="M24" s="18">
        <f>SUM(M2:M10)</f>
        <v>156</v>
      </c>
      <c r="O24" s="81">
        <v>1.05</v>
      </c>
      <c r="P24" s="81">
        <f t="shared" si="13"/>
        <v>23.656395000000003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797</v>
      </c>
      <c r="D25" s="343"/>
      <c r="E25" s="343"/>
      <c r="F25" s="344">
        <f>SumByColor($A$25,F2:F23)</f>
        <v>18233</v>
      </c>
      <c r="G25" s="343"/>
      <c r="H25" s="343">
        <f>SumByColor($A$25,H2:H23)</f>
        <v>797</v>
      </c>
      <c r="I25" s="343"/>
      <c r="J25" s="343"/>
      <c r="K25" s="344">
        <f>SumByColor($A$25,K2:K23)</f>
        <v>19383</v>
      </c>
      <c r="L25" s="343"/>
      <c r="M25" s="344">
        <f>SumByColor($A$25,M2:M23)</f>
        <v>156</v>
      </c>
      <c r="O25" s="81">
        <v>1.04</v>
      </c>
      <c r="P25" s="81">
        <f t="shared" si="13"/>
        <v>23.431096000000004</v>
      </c>
      <c r="T25" s="156">
        <v>43318</v>
      </c>
      <c r="U25" t="s">
        <v>1196</v>
      </c>
      <c r="W25" s="134"/>
    </row>
    <row r="26" spans="1:39" x14ac:dyDescent="0.25">
      <c r="O26" s="81">
        <v>1.03</v>
      </c>
      <c r="P26" s="81">
        <f t="shared" si="13"/>
        <v>23.205797</v>
      </c>
      <c r="W26" s="134"/>
    </row>
    <row r="27" spans="1:39" x14ac:dyDescent="0.25">
      <c r="O27" s="81">
        <v>1.02</v>
      </c>
      <c r="P27" s="81">
        <f t="shared" si="13"/>
        <v>22.980498000000001</v>
      </c>
      <c r="W27" s="134"/>
    </row>
    <row r="28" spans="1:39" x14ac:dyDescent="0.25">
      <c r="O28" s="81">
        <v>1.01</v>
      </c>
      <c r="P28" s="81">
        <f t="shared" si="13"/>
        <v>22.755199000000001</v>
      </c>
      <c r="W28" s="134"/>
    </row>
    <row r="29" spans="1:39" x14ac:dyDescent="0.25">
      <c r="O29" s="81">
        <v>1</v>
      </c>
      <c r="P29" s="81">
        <f t="shared" si="13"/>
        <v>22.529900000000001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497</v>
      </c>
      <c r="K30" s="220"/>
      <c r="L30" s="220" t="s">
        <v>973</v>
      </c>
      <c r="O30" s="81">
        <v>0.99</v>
      </c>
      <c r="P30" s="81">
        <f t="shared" si="13"/>
        <v>22.304601000000002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22.079302000000002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21.854003000000002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21.628703999999999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21.403404999999999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21.178106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20.952807000000004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20.727508000000004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20.502209000000001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20.276910000000001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943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0" si="18">D42*C42</f>
        <v>13285.12</v>
      </c>
      <c r="H42" s="222">
        <f t="shared" ref="H42:H60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0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1138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774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  <c r="W61" s="134"/>
    </row>
    <row r="62" spans="1:23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  <c r="W62" s="134"/>
    </row>
    <row r="63" spans="1:23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  <c r="W63" s="134"/>
    </row>
    <row r="64" spans="1:2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W64" s="134"/>
    </row>
    <row r="65" spans="1:2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W65" s="134"/>
    </row>
    <row r="66" spans="1:2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W66" s="134"/>
    </row>
    <row r="67" spans="1:2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W67" s="134"/>
    </row>
    <row r="68" spans="1:2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W68" s="134"/>
    </row>
    <row r="69" spans="1:23" x14ac:dyDescent="0.25">
      <c r="A69" s="4"/>
      <c r="B69" s="72"/>
      <c r="C69" s="4"/>
      <c r="D69" s="3"/>
      <c r="E69" s="3"/>
      <c r="F69" s="3"/>
      <c r="G69" s="3"/>
      <c r="H69" s="269"/>
      <c r="I69" s="3"/>
      <c r="J69" s="3"/>
      <c r="K69" s="3"/>
      <c r="L69" s="4"/>
      <c r="W69" s="134"/>
    </row>
    <row r="70" spans="1:2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2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23" x14ac:dyDescent="0.25">
      <c r="A72" s="4"/>
      <c r="B72" s="4"/>
      <c r="C72" s="4"/>
      <c r="D72" s="3"/>
      <c r="E72" s="3"/>
      <c r="F72" s="3"/>
      <c r="G72" s="4"/>
      <c r="H72" s="4"/>
      <c r="I72" s="3"/>
      <c r="J72" s="3"/>
      <c r="K72" s="3"/>
      <c r="L72" s="4" t="s">
        <v>65</v>
      </c>
      <c r="M72" s="2">
        <f>M90+K90-F90</f>
        <v>0</v>
      </c>
    </row>
    <row r="73" spans="1:23" x14ac:dyDescent="0.25">
      <c r="A73" s="510" t="s">
        <v>1</v>
      </c>
      <c r="B73" s="510" t="s">
        <v>2</v>
      </c>
      <c r="C73" s="510" t="s">
        <v>4</v>
      </c>
      <c r="D73" s="511" t="s">
        <v>5</v>
      </c>
      <c r="E73" s="511" t="s">
        <v>94</v>
      </c>
      <c r="F73" s="511" t="s">
        <v>60</v>
      </c>
      <c r="G73" s="510" t="s">
        <v>3</v>
      </c>
      <c r="H73" s="510" t="s">
        <v>6</v>
      </c>
      <c r="I73" s="511" t="s">
        <v>7</v>
      </c>
      <c r="J73" s="511" t="s">
        <v>95</v>
      </c>
      <c r="K73" s="511" t="s">
        <v>61</v>
      </c>
      <c r="L73" s="510" t="s">
        <v>37</v>
      </c>
      <c r="M73" s="510" t="s">
        <v>38</v>
      </c>
    </row>
    <row r="74" spans="1:23" x14ac:dyDescent="0.25">
      <c r="A74" s="512" t="s">
        <v>824</v>
      </c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6"/>
      <c r="M74" s="499"/>
    </row>
    <row r="75" spans="1:23" x14ac:dyDescent="0.25">
      <c r="A75" s="514" t="s">
        <v>71</v>
      </c>
      <c r="B75" s="496"/>
      <c r="C75" s="497"/>
      <c r="D75" s="499"/>
      <c r="E75" s="499"/>
      <c r="F75" s="499"/>
      <c r="G75" s="496"/>
      <c r="H75" s="513"/>
      <c r="I75" s="499"/>
      <c r="J75" s="499"/>
      <c r="K75" s="499"/>
      <c r="L75" s="497"/>
      <c r="M75" s="497"/>
    </row>
    <row r="76" spans="1:23" x14ac:dyDescent="0.25">
      <c r="A76" s="497"/>
      <c r="B76" s="496"/>
      <c r="C76" s="497"/>
      <c r="D76" s="499"/>
      <c r="E76" s="499"/>
      <c r="F76" s="499"/>
      <c r="G76" s="496"/>
      <c r="H76" s="513"/>
      <c r="I76" s="499"/>
      <c r="J76" s="499"/>
      <c r="K76" s="499"/>
      <c r="L76" s="497"/>
      <c r="M76" s="497"/>
    </row>
    <row r="77" spans="1:23" x14ac:dyDescent="0.25">
      <c r="A77" s="497"/>
      <c r="B77" s="496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6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7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497"/>
      <c r="I89" s="499"/>
      <c r="J89" s="499"/>
      <c r="K89" s="499"/>
      <c r="L89" s="497"/>
      <c r="M89" s="497"/>
    </row>
    <row r="90" spans="1:13" x14ac:dyDescent="0.25">
      <c r="A90" s="515" t="s">
        <v>81</v>
      </c>
      <c r="B90" s="516"/>
      <c r="C90" s="516">
        <f>SUM(C74:C78)</f>
        <v>0</v>
      </c>
      <c r="D90" s="517"/>
      <c r="E90" s="517"/>
      <c r="F90" s="517">
        <f>SUM(F74:F78)</f>
        <v>0</v>
      </c>
      <c r="G90" s="516"/>
      <c r="H90" s="538">
        <f>SUM(H74:H77)</f>
        <v>0</v>
      </c>
      <c r="I90" s="517"/>
      <c r="J90" s="517"/>
      <c r="K90" s="517">
        <f>SUM(K74:K77)</f>
        <v>0</v>
      </c>
      <c r="L90" s="516"/>
      <c r="M90" s="517">
        <f>SUM(M74:M82)</f>
        <v>0</v>
      </c>
    </row>
    <row r="91" spans="1:13" ht="15.75" thickBot="1" x14ac:dyDescent="0.3">
      <c r="A91" s="518" t="s">
        <v>193</v>
      </c>
      <c r="B91" s="519"/>
      <c r="C91" s="520">
        <f>SumByColor($A$25,C74:C89)</f>
        <v>0</v>
      </c>
      <c r="D91" s="520"/>
      <c r="E91" s="520"/>
      <c r="F91" s="521">
        <f>SumByColor($A$25,F74:F89)</f>
        <v>0</v>
      </c>
      <c r="G91" s="520"/>
      <c r="H91" s="520">
        <f>SumByColor($A$25,H74:H89)</f>
        <v>0</v>
      </c>
      <c r="I91" s="520"/>
      <c r="J91" s="520"/>
      <c r="K91" s="521">
        <f>SumByColor($A$25,K75:K89)</f>
        <v>0</v>
      </c>
      <c r="L91" s="520"/>
      <c r="M91" s="521">
        <f>SumByColor($A$25,M74:M89)</f>
        <v>0</v>
      </c>
    </row>
    <row r="94" spans="1:13" x14ac:dyDescent="0.25">
      <c r="B94" s="182" t="s">
        <v>113</v>
      </c>
      <c r="C94" s="182" t="s">
        <v>146</v>
      </c>
      <c r="D94" s="183" t="s">
        <v>145</v>
      </c>
      <c r="E94" s="185" t="s">
        <v>147</v>
      </c>
      <c r="F94" s="185" t="s">
        <v>65</v>
      </c>
      <c r="G94" s="220" t="s">
        <v>151</v>
      </c>
      <c r="H94" s="220" t="s">
        <v>88</v>
      </c>
      <c r="I94" s="220" t="s">
        <v>154</v>
      </c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2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2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31:F69 H31:H69">
    <cfRule type="expression" dxfId="886" priority="21">
      <formula>F31&gt;0</formula>
    </cfRule>
    <cfRule type="expression" dxfId="885" priority="22">
      <formula>F31&lt;0</formula>
    </cfRule>
  </conditionalFormatting>
  <conditionalFormatting sqref="Q7">
    <cfRule type="expression" dxfId="884" priority="19">
      <formula>Q7&gt;0</formula>
    </cfRule>
    <cfRule type="expression" dxfId="883" priority="20">
      <formula>Q7&lt;0</formula>
    </cfRule>
  </conditionalFormatting>
  <conditionalFormatting sqref="Q8">
    <cfRule type="expression" dxfId="882" priority="17">
      <formula>Q8&gt;0</formula>
    </cfRule>
    <cfRule type="expression" dxfId="881" priority="18">
      <formula>Q8&lt;0</formula>
    </cfRule>
  </conditionalFormatting>
  <conditionalFormatting sqref="F95:F116">
    <cfRule type="expression" dxfId="880" priority="11">
      <formula>F95&gt;0</formula>
    </cfRule>
    <cfRule type="expression" dxfId="879" priority="12">
      <formula>F95&lt;0</formula>
    </cfRule>
  </conditionalFormatting>
  <conditionalFormatting sqref="H95:H116">
    <cfRule type="expression" dxfId="878" priority="9">
      <formula>H95&gt;0</formula>
    </cfRule>
    <cfRule type="expression" dxfId="877" priority="10">
      <formula>H95&lt;0</formula>
    </cfRule>
  </conditionalFormatting>
  <conditionalFormatting sqref="Q10">
    <cfRule type="expression" dxfId="876" priority="7">
      <formula>Q10&gt;0</formula>
    </cfRule>
    <cfRule type="expression" dxfId="875" priority="8">
      <formula>Q10&lt;0</formula>
    </cfRule>
  </conditionalFormatting>
  <conditionalFormatting sqref="J31:J44">
    <cfRule type="expression" dxfId="874" priority="5">
      <formula>J31&gt;0</formula>
    </cfRule>
    <cfRule type="expression" dxfId="873" priority="6">
      <formula>J31&lt;0</formula>
    </cfRule>
  </conditionalFormatting>
  <conditionalFormatting sqref="K31:K44">
    <cfRule type="expression" dxfId="872" priority="3">
      <formula>K31&gt;0</formula>
    </cfRule>
    <cfRule type="expression" dxfId="871" priority="4">
      <formula>K31&lt;0</formula>
    </cfRule>
  </conditionalFormatting>
  <conditionalFormatting sqref="L31:L44">
    <cfRule type="expression" dxfId="870" priority="1">
      <formula>L31&gt;0</formula>
    </cfRule>
    <cfRule type="expression" dxfId="869" priority="2">
      <formula>L31&lt;0</formula>
    </cfRule>
  </conditionalFormatting>
  <hyperlinks>
    <hyperlink ref="A3" location="ACTIVE!A1" display="Back"/>
    <hyperlink ref="A75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240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55.74</v>
      </c>
      <c r="T3" s="1">
        <v>42621</v>
      </c>
      <c r="U3" s="33" t="s">
        <v>256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55.74</v>
      </c>
      <c r="R4" s="475">
        <v>2.63E-2</v>
      </c>
      <c r="T4" s="1">
        <v>42627</v>
      </c>
      <c r="U4" s="33" t="s">
        <v>256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323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463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517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208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207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6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6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61.314000000000007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60.756600000000006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60.199200000000005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59.641800000000003</v>
      </c>
      <c r="Q28" s="2"/>
    </row>
    <row r="29" spans="1:32" x14ac:dyDescent="0.25">
      <c r="A29" s="10" t="s">
        <v>709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497</v>
      </c>
      <c r="K29" s="220" t="s">
        <v>465</v>
      </c>
      <c r="L29" s="220" t="s">
        <v>669</v>
      </c>
      <c r="M29" s="4"/>
      <c r="N29" s="4"/>
      <c r="O29" s="81">
        <v>1.06</v>
      </c>
      <c r="P29" s="81">
        <f t="shared" si="0"/>
        <v>59.084400000000002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58.527000000000001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57.969600000000007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57.412200000000006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56.854800000000004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56.297400000000003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55.74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55.182600000000001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54.6252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54.067799999999998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53.510399999999997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52.953000000000003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52.395600000000002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51.838200000000008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51.280800000000006</v>
      </c>
    </row>
    <row r="44" spans="1:32" x14ac:dyDescent="0.25">
      <c r="N44" s="4"/>
      <c r="O44" s="81">
        <v>0.91</v>
      </c>
      <c r="P44" s="81">
        <f t="shared" si="0"/>
        <v>50.723400000000005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50.166000000000004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288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228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261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289</v>
      </c>
      <c r="J168" s="578" t="s">
        <v>287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299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299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299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299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497</v>
      </c>
      <c r="K200" s="220" t="s">
        <v>465</v>
      </c>
      <c r="L200" s="220" t="s">
        <v>669</v>
      </c>
      <c r="M200" s="4"/>
    </row>
    <row r="201" spans="1:17" x14ac:dyDescent="0.25">
      <c r="A201" s="362" t="s">
        <v>343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350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351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352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373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388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413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418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431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431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449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322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254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310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68" priority="137">
      <formula>F30&gt;0</formula>
    </cfRule>
    <cfRule type="expression" dxfId="867" priority="138">
      <formula>F30&lt;0</formula>
    </cfRule>
  </conditionalFormatting>
  <conditionalFormatting sqref="H47:H58">
    <cfRule type="expression" dxfId="866" priority="129">
      <formula>H47&gt;0</formula>
    </cfRule>
    <cfRule type="expression" dxfId="865" priority="130">
      <formula>H47&lt;0</formula>
    </cfRule>
  </conditionalFormatting>
  <conditionalFormatting sqref="H59">
    <cfRule type="expression" dxfId="864" priority="119">
      <formula>H59&gt;0</formula>
    </cfRule>
    <cfRule type="expression" dxfId="863" priority="120">
      <formula>H59&lt;0</formula>
    </cfRule>
  </conditionalFormatting>
  <conditionalFormatting sqref="H60">
    <cfRule type="expression" dxfId="862" priority="115">
      <formula>H60&gt;0</formula>
    </cfRule>
    <cfRule type="expression" dxfId="861" priority="116">
      <formula>H60&lt;0</formula>
    </cfRule>
  </conditionalFormatting>
  <conditionalFormatting sqref="H61:H66">
    <cfRule type="expression" dxfId="860" priority="111">
      <formula>H61&gt;0</formula>
    </cfRule>
    <cfRule type="expression" dxfId="859" priority="112">
      <formula>H61&lt;0</formula>
    </cfRule>
  </conditionalFormatting>
  <conditionalFormatting sqref="Q8">
    <cfRule type="expression" dxfId="858" priority="95">
      <formula>Q8&gt;0</formula>
    </cfRule>
    <cfRule type="expression" dxfId="857" priority="96">
      <formula>Q8&lt;0</formula>
    </cfRule>
  </conditionalFormatting>
  <conditionalFormatting sqref="Q7">
    <cfRule type="expression" dxfId="856" priority="97">
      <formula>Q7&gt;0</formula>
    </cfRule>
    <cfRule type="expression" dxfId="855" priority="98">
      <formula>Q7&lt;0</formula>
    </cfRule>
  </conditionalFormatting>
  <conditionalFormatting sqref="F178 H178">
    <cfRule type="expression" dxfId="854" priority="93">
      <formula>F178&gt;0</formula>
    </cfRule>
    <cfRule type="expression" dxfId="853" priority="94">
      <formula>F178&lt;0</formula>
    </cfRule>
  </conditionalFormatting>
  <conditionalFormatting sqref="Q10">
    <cfRule type="expression" dxfId="852" priority="87">
      <formula>Q10&gt;0</formula>
    </cfRule>
    <cfRule type="expression" dxfId="851" priority="88">
      <formula>Q10&lt;0</formula>
    </cfRule>
  </conditionalFormatting>
  <conditionalFormatting sqref="Q9">
    <cfRule type="expression" dxfId="850" priority="81">
      <formula>Q9&gt;0</formula>
    </cfRule>
    <cfRule type="expression" dxfId="849" priority="82">
      <formula>Q9&lt;0</formula>
    </cfRule>
  </conditionalFormatting>
  <conditionalFormatting sqref="F201:F248">
    <cfRule type="expression" dxfId="848" priority="41">
      <formula>F201&gt;0</formula>
    </cfRule>
    <cfRule type="expression" dxfId="847" priority="42">
      <formula>F201&lt;0</formula>
    </cfRule>
  </conditionalFormatting>
  <conditionalFormatting sqref="H201:H248">
    <cfRule type="expression" dxfId="846" priority="39">
      <formula>H201&gt;0</formula>
    </cfRule>
    <cfRule type="expression" dxfId="845" priority="40">
      <formula>H201&lt;0</formula>
    </cfRule>
  </conditionalFormatting>
  <conditionalFormatting sqref="J208">
    <cfRule type="expression" dxfId="844" priority="37">
      <formula>J208&gt;0</formula>
    </cfRule>
    <cfRule type="expression" dxfId="843" priority="38">
      <formula>J208&lt;0</formula>
    </cfRule>
  </conditionalFormatting>
  <conditionalFormatting sqref="J214:J215">
    <cfRule type="expression" dxfId="842" priority="35">
      <formula>J214&gt;0</formula>
    </cfRule>
    <cfRule type="expression" dxfId="841" priority="36">
      <formula>J214&lt;0</formula>
    </cfRule>
  </conditionalFormatting>
  <conditionalFormatting sqref="J216">
    <cfRule type="expression" dxfId="840" priority="33">
      <formula>J216&gt;0</formula>
    </cfRule>
    <cfRule type="expression" dxfId="839" priority="34">
      <formula>J216&lt;0</formula>
    </cfRule>
  </conditionalFormatting>
  <conditionalFormatting sqref="J217:J219 J221:J224">
    <cfRule type="expression" dxfId="838" priority="31">
      <formula>J217&gt;0</formula>
    </cfRule>
    <cfRule type="expression" dxfId="837" priority="32">
      <formula>J217&lt;0</formula>
    </cfRule>
  </conditionalFormatting>
  <conditionalFormatting sqref="K208">
    <cfRule type="expression" dxfId="836" priority="29">
      <formula>K208&gt;0</formula>
    </cfRule>
    <cfRule type="expression" dxfId="835" priority="30">
      <formula>K208&lt;0</formula>
    </cfRule>
  </conditionalFormatting>
  <conditionalFormatting sqref="K214:K215">
    <cfRule type="expression" dxfId="834" priority="27">
      <formula>K214&gt;0</formula>
    </cfRule>
    <cfRule type="expression" dxfId="833" priority="28">
      <formula>K214&lt;0</formula>
    </cfRule>
  </conditionalFormatting>
  <conditionalFormatting sqref="K216">
    <cfRule type="expression" dxfId="832" priority="25">
      <formula>K216&gt;0</formula>
    </cfRule>
    <cfRule type="expression" dxfId="831" priority="26">
      <formula>K216&lt;0</formula>
    </cfRule>
  </conditionalFormatting>
  <conditionalFormatting sqref="K217:K224">
    <cfRule type="expression" dxfId="830" priority="23">
      <formula>K217&gt;0</formula>
    </cfRule>
    <cfRule type="expression" dxfId="829" priority="24">
      <formula>K217&lt;0</formula>
    </cfRule>
  </conditionalFormatting>
  <conditionalFormatting sqref="L208">
    <cfRule type="expression" dxfId="828" priority="21">
      <formula>L208&gt;0</formula>
    </cfRule>
    <cfRule type="expression" dxfId="827" priority="22">
      <formula>L208&lt;0</formula>
    </cfRule>
  </conditionalFormatting>
  <conditionalFormatting sqref="L214:L215">
    <cfRule type="expression" dxfId="826" priority="19">
      <formula>L214&gt;0</formula>
    </cfRule>
    <cfRule type="expression" dxfId="825" priority="20">
      <formula>L214&lt;0</formula>
    </cfRule>
  </conditionalFormatting>
  <conditionalFormatting sqref="L216">
    <cfRule type="expression" dxfId="824" priority="17">
      <formula>L216&gt;0</formula>
    </cfRule>
    <cfRule type="expression" dxfId="823" priority="18">
      <formula>L216&lt;0</formula>
    </cfRule>
  </conditionalFormatting>
  <conditionalFormatting sqref="L217:L224">
    <cfRule type="expression" dxfId="822" priority="15">
      <formula>L217&gt;0</formula>
    </cfRule>
    <cfRule type="expression" dxfId="821" priority="16">
      <formula>L217&lt;0</formula>
    </cfRule>
  </conditionalFormatting>
  <conditionalFormatting sqref="K225">
    <cfRule type="expression" dxfId="820" priority="13">
      <formula>K225&gt;0</formula>
    </cfRule>
    <cfRule type="expression" dxfId="819" priority="14">
      <formula>K225&lt;0</formula>
    </cfRule>
  </conditionalFormatting>
  <conditionalFormatting sqref="L225:L232">
    <cfRule type="expression" dxfId="818" priority="11">
      <formula>L225&gt;0</formula>
    </cfRule>
    <cfRule type="expression" dxfId="817" priority="12">
      <formula>L225&lt;0</formula>
    </cfRule>
  </conditionalFormatting>
  <conditionalFormatting sqref="K226">
    <cfRule type="expression" dxfId="816" priority="9">
      <formula>K226&gt;0</formula>
    </cfRule>
    <cfRule type="expression" dxfId="815" priority="10">
      <formula>K226&lt;0</formula>
    </cfRule>
  </conditionalFormatting>
  <conditionalFormatting sqref="K227">
    <cfRule type="expression" dxfId="814" priority="7">
      <formula>K227&gt;0</formula>
    </cfRule>
    <cfRule type="expression" dxfId="813" priority="8">
      <formula>K227&lt;0</formula>
    </cfRule>
  </conditionalFormatting>
  <conditionalFormatting sqref="K228:K248">
    <cfRule type="expression" dxfId="812" priority="5">
      <formula>K228&gt;0</formula>
    </cfRule>
    <cfRule type="expression" dxfId="811" priority="6">
      <formula>K228&lt;0</formula>
    </cfRule>
  </conditionalFormatting>
  <conditionalFormatting sqref="L233:L237">
    <cfRule type="expression" dxfId="810" priority="3">
      <formula>L233&gt;0</formula>
    </cfRule>
    <cfRule type="expression" dxfId="809" priority="4">
      <formula>L233&lt;0</formula>
    </cfRule>
  </conditionalFormatting>
  <conditionalFormatting sqref="L238:L243">
    <cfRule type="expression" dxfId="808" priority="1">
      <formula>L238&gt;0</formula>
    </cfRule>
    <cfRule type="expression" dxfId="80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53.47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53.47</v>
      </c>
      <c r="R4" s="490">
        <v>7.9000000000000008E-3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208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207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207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51" t="s">
        <v>78</v>
      </c>
      <c r="P40" s="851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58.817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58.282300000000006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57.747600000000006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57.212900000000005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56.678200000000004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56.143500000000003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55.608800000000002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55.074100000000001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54.539400000000001</v>
      </c>
      <c r="Q49" s="2"/>
      <c r="T49" s="85" t="s">
        <v>103</v>
      </c>
      <c r="U49" s="87" t="s">
        <v>391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54.0047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53.47</v>
      </c>
      <c r="Q51" s="2"/>
      <c r="T51" s="85" t="s">
        <v>104</v>
      </c>
      <c r="U51" s="86" t="s">
        <v>601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52.935299999999998</v>
      </c>
      <c r="Q52" s="2"/>
      <c r="T52" s="85" t="s">
        <v>105</v>
      </c>
      <c r="U52" s="86" t="s">
        <v>499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52.400599999999997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51.865899999999996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51.331199999999995</v>
      </c>
      <c r="T55" s="85" t="s">
        <v>107</v>
      </c>
      <c r="U55" s="86" t="s">
        <v>602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50.796499999999995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50.261799999999994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49.7271</v>
      </c>
      <c r="T58" s="85" t="s">
        <v>108</v>
      </c>
      <c r="U58" s="86" t="s">
        <v>540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49.192399999999999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48.657699999999998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48.122999999999998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06" priority="11">
      <formula>F27&gt;0</formula>
    </cfRule>
    <cfRule type="expression" dxfId="805" priority="12">
      <formula>F27&lt;0</formula>
    </cfRule>
  </conditionalFormatting>
  <conditionalFormatting sqref="H27:H29">
    <cfRule type="expression" dxfId="804" priority="9">
      <formula>H27&gt;0</formula>
    </cfRule>
    <cfRule type="expression" dxfId="803" priority="10">
      <formula>H27&lt;0</formula>
    </cfRule>
  </conditionalFormatting>
  <conditionalFormatting sqref="F23:F26">
    <cfRule type="expression" dxfId="802" priority="7">
      <formula>F23&gt;0</formula>
    </cfRule>
    <cfRule type="expression" dxfId="801" priority="8">
      <formula>F23&lt;0</formula>
    </cfRule>
  </conditionalFormatting>
  <conditionalFormatting sqref="H23:H26">
    <cfRule type="expression" dxfId="800" priority="5">
      <formula>H23&gt;0</formula>
    </cfRule>
    <cfRule type="expression" dxfId="799" priority="6">
      <formula>H23&lt;0</formula>
    </cfRule>
  </conditionalFormatting>
  <conditionalFormatting sqref="Q8">
    <cfRule type="expression" dxfId="798" priority="1">
      <formula>Q8&gt;0</formula>
    </cfRule>
    <cfRule type="expression" dxfId="797" priority="2">
      <formula>Q8&lt;0</formula>
    </cfRule>
  </conditionalFormatting>
  <conditionalFormatting sqref="Q7">
    <cfRule type="expression" dxfId="796" priority="3">
      <formula>Q7&gt;0</formula>
    </cfRule>
    <cfRule type="expression" dxfId="79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52.16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52.16</v>
      </c>
      <c r="R4" s="490">
        <v>5.7999999999999996E-3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208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207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207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51" t="s">
        <v>78</v>
      </c>
      <c r="P40" s="851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57.375999999999998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56.854399999999998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56.332799999999999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55.811199999999999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55.2896</v>
      </c>
      <c r="Q45" s="2"/>
      <c r="T45" s="85" t="s">
        <v>99</v>
      </c>
      <c r="U45" s="86" t="s">
        <v>603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54.768000000000001</v>
      </c>
      <c r="Q46" s="2"/>
      <c r="T46" s="85" t="s">
        <v>100</v>
      </c>
      <c r="U46" s="86" t="s">
        <v>604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54.246400000000001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53.724799999999995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53.203199999999995</v>
      </c>
      <c r="Q49" s="2"/>
      <c r="T49" s="85" t="s">
        <v>103</v>
      </c>
      <c r="U49" s="87" t="s">
        <v>423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52.681599999999996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52.16</v>
      </c>
      <c r="Q51" s="2"/>
      <c r="T51" s="85" t="s">
        <v>104</v>
      </c>
      <c r="U51" s="86" t="s">
        <v>605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51.638399999999997</v>
      </c>
      <c r="Q52" s="2"/>
      <c r="T52" s="85" t="s">
        <v>105</v>
      </c>
      <c r="U52" s="86" t="s">
        <v>507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51.116799999999998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50.595199999999998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50.073599999999992</v>
      </c>
      <c r="T55" s="85" t="s">
        <v>107</v>
      </c>
      <c r="U55" s="86" t="s">
        <v>606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49.551999999999992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49.030399999999993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48.508800000000001</v>
      </c>
      <c r="T58" s="85" t="s">
        <v>108</v>
      </c>
      <c r="U58" s="86" t="s">
        <v>541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47.987200000000001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47.465600000000002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46.943999999999996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94" priority="7">
      <formula>F21&gt;0</formula>
    </cfRule>
    <cfRule type="expression" dxfId="793" priority="8">
      <formula>F21&lt;0</formula>
    </cfRule>
  </conditionalFormatting>
  <conditionalFormatting sqref="F22">
    <cfRule type="expression" dxfId="792" priority="5">
      <formula>F22&gt;0</formula>
    </cfRule>
    <cfRule type="expression" dxfId="791" priority="6">
      <formula>F22&lt;0</formula>
    </cfRule>
  </conditionalFormatting>
  <conditionalFormatting sqref="Q8">
    <cfRule type="expression" dxfId="790" priority="1">
      <formula>Q8&gt;0</formula>
    </cfRule>
    <cfRule type="expression" dxfId="789" priority="2">
      <formula>Q8&lt;0</formula>
    </cfRule>
  </conditionalFormatting>
  <conditionalFormatting sqref="Q7">
    <cfRule type="expression" dxfId="788" priority="3">
      <formula>Q7&gt;0</formula>
    </cfRule>
    <cfRule type="expression" dxfId="78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69.599999999999994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69.599999999999994</v>
      </c>
      <c r="R4" s="475">
        <v>5.5999999999999999E-3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208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207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51" t="s">
        <v>78</v>
      </c>
      <c r="P44" s="851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76.56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75.864000000000004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75.167999999999992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74.471999999999994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73.775999999999996</v>
      </c>
      <c r="Q49" s="2"/>
      <c r="R49" s="33"/>
      <c r="T49" s="106" t="s">
        <v>121</v>
      </c>
      <c r="U49" s="104" t="s">
        <v>371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73.08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72.384</v>
      </c>
      <c r="Q51" s="2"/>
      <c r="R51" s="33"/>
      <c r="T51" s="106" t="s">
        <v>104</v>
      </c>
      <c r="U51" s="104" t="s">
        <v>607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71.688000000000002</v>
      </c>
      <c r="Q52" s="2"/>
      <c r="R52" s="33"/>
      <c r="T52" s="106" t="s">
        <v>105</v>
      </c>
      <c r="U52" s="104" t="s">
        <v>523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70.99199999999999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70.295999999999992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69.599999999999994</v>
      </c>
      <c r="Q55" s="2"/>
      <c r="R55" s="33"/>
      <c r="T55" s="106" t="s">
        <v>107</v>
      </c>
      <c r="U55" s="104" t="s">
        <v>608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68.903999999999996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68.207999999999998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67.511999999999986</v>
      </c>
      <c r="Q58" s="2"/>
      <c r="R58" s="33"/>
      <c r="T58" s="106" t="s">
        <v>108</v>
      </c>
      <c r="U58" s="104" t="s">
        <v>542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66.815999999999988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66.11999999999999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65.423999999999992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64.727999999999994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64.031999999999996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63.335999999999999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62.639999999999993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207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86" priority="17">
      <formula>F38&gt;0</formula>
    </cfRule>
    <cfRule type="expression" dxfId="785" priority="18">
      <formula>F38&lt;0</formula>
    </cfRule>
  </conditionalFormatting>
  <conditionalFormatting sqref="H38:H72">
    <cfRule type="expression" dxfId="784" priority="9">
      <formula>H38&gt;0</formula>
    </cfRule>
    <cfRule type="expression" dxfId="783" priority="10">
      <formula>H38&lt;0</formula>
    </cfRule>
  </conditionalFormatting>
  <conditionalFormatting sqref="F21:F37">
    <cfRule type="expression" dxfId="782" priority="7">
      <formula>F21&gt;0</formula>
    </cfRule>
    <cfRule type="expression" dxfId="781" priority="8">
      <formula>F21&lt;0</formula>
    </cfRule>
  </conditionalFormatting>
  <conditionalFormatting sqref="H21:H37">
    <cfRule type="expression" dxfId="780" priority="5">
      <formula>H21&gt;0</formula>
    </cfRule>
    <cfRule type="expression" dxfId="779" priority="6">
      <formula>H21&lt;0</formula>
    </cfRule>
  </conditionalFormatting>
  <conditionalFormatting sqref="Q8">
    <cfRule type="expression" dxfId="778" priority="1">
      <formula>Q8&gt;0</formula>
    </cfRule>
    <cfRule type="expression" dxfId="777" priority="2">
      <formula>Q8&lt;0</formula>
    </cfRule>
  </conditionalFormatting>
  <conditionalFormatting sqref="Q7">
    <cfRule type="expression" dxfId="776" priority="3">
      <formula>Q7&gt;0</formula>
    </cfRule>
    <cfRule type="expression" dxfId="77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144.11000000000001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144.11000000000001</v>
      </c>
      <c r="R4" s="490">
        <v>-6.4999999999999997E-3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208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207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207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51" t="s">
        <v>78</v>
      </c>
      <c r="P46" s="851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158.52100000000002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157.07990000000004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155.63880000000003</v>
      </c>
      <c r="Q49" s="33"/>
      <c r="R49"/>
      <c r="T49" s="85" t="s">
        <v>103</v>
      </c>
      <c r="U49" s="92" t="s">
        <v>609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154.19770000000003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152.75660000000002</v>
      </c>
      <c r="Q51" s="81"/>
      <c r="R51"/>
      <c r="T51" s="85" t="s">
        <v>104</v>
      </c>
      <c r="U51" s="127" t="s">
        <v>610</v>
      </c>
    </row>
    <row r="52" spans="1:21" x14ac:dyDescent="0.25">
      <c r="O52" s="81">
        <v>1.05</v>
      </c>
      <c r="P52" s="81">
        <f t="shared" si="1"/>
        <v>151.31550000000001</v>
      </c>
      <c r="Q52" s="81"/>
      <c r="R52"/>
      <c r="T52" s="85" t="s">
        <v>105</v>
      </c>
      <c r="U52" s="127" t="s">
        <v>501</v>
      </c>
    </row>
    <row r="53" spans="1:21" x14ac:dyDescent="0.25">
      <c r="O53" s="81">
        <v>1.04</v>
      </c>
      <c r="P53" s="81">
        <f t="shared" si="1"/>
        <v>149.87440000000001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148.43330000000003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146.99220000000003</v>
      </c>
      <c r="Q55" s="81"/>
      <c r="R55"/>
      <c r="T55" s="85" t="s">
        <v>107</v>
      </c>
      <c r="U55" s="127" t="s">
        <v>611</v>
      </c>
    </row>
    <row r="56" spans="1:21" x14ac:dyDescent="0.25">
      <c r="O56" s="81">
        <v>1.01</v>
      </c>
      <c r="P56" s="81">
        <f t="shared" si="1"/>
        <v>145.55110000000002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144.11000000000001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142.66890000000001</v>
      </c>
      <c r="Q58" s="81"/>
      <c r="R58"/>
      <c r="T58" s="85" t="s">
        <v>108</v>
      </c>
      <c r="U58" s="127" t="s">
        <v>543</v>
      </c>
    </row>
    <row r="59" spans="1:21" x14ac:dyDescent="0.25">
      <c r="O59" s="81">
        <v>0.98</v>
      </c>
      <c r="P59" s="81">
        <f t="shared" si="1"/>
        <v>141.2278</v>
      </c>
      <c r="Q59" s="81"/>
      <c r="R59"/>
    </row>
    <row r="60" spans="1:21" x14ac:dyDescent="0.25">
      <c r="O60" s="81">
        <v>0.97</v>
      </c>
      <c r="P60" s="81">
        <f t="shared" si="1"/>
        <v>139.7867</v>
      </c>
      <c r="Q60" s="81"/>
      <c r="R60"/>
    </row>
    <row r="61" spans="1:21" x14ac:dyDescent="0.25">
      <c r="O61" s="81">
        <v>0.96</v>
      </c>
      <c r="P61" s="81">
        <f t="shared" si="1"/>
        <v>138.34560000000002</v>
      </c>
      <c r="Q61" s="81"/>
      <c r="R61"/>
    </row>
    <row r="62" spans="1:21" x14ac:dyDescent="0.25">
      <c r="O62" s="81">
        <v>0.95</v>
      </c>
      <c r="P62" s="81">
        <f t="shared" si="1"/>
        <v>136.90450000000001</v>
      </c>
      <c r="Q62" s="81"/>
      <c r="R62"/>
    </row>
    <row r="63" spans="1:21" x14ac:dyDescent="0.25">
      <c r="O63" s="81">
        <v>0.94</v>
      </c>
      <c r="P63" s="81">
        <f t="shared" si="1"/>
        <v>135.46340000000001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134.02230000000003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132.58120000000002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131.14010000000002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129.69900000000001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74" priority="11">
      <formula>F24&gt;0</formula>
    </cfRule>
    <cfRule type="expression" dxfId="773" priority="12">
      <formula>F24&lt;0</formula>
    </cfRule>
  </conditionalFormatting>
  <conditionalFormatting sqref="H27:H30">
    <cfRule type="expression" dxfId="772" priority="9">
      <formula>H27&gt;0</formula>
    </cfRule>
    <cfRule type="expression" dxfId="771" priority="10">
      <formula>H27&lt;0</formula>
    </cfRule>
  </conditionalFormatting>
  <conditionalFormatting sqref="F25">
    <cfRule type="expression" dxfId="770" priority="7">
      <formula>F25&gt;0</formula>
    </cfRule>
    <cfRule type="expression" dxfId="769" priority="8">
      <formula>F25&lt;0</formula>
    </cfRule>
  </conditionalFormatting>
  <conditionalFormatting sqref="H24:H26">
    <cfRule type="expression" dxfId="768" priority="5">
      <formula>H24&gt;0</formula>
    </cfRule>
    <cfRule type="expression" dxfId="767" priority="6">
      <formula>H24&lt;0</formula>
    </cfRule>
  </conditionalFormatting>
  <conditionalFormatting sqref="Q7">
    <cfRule type="expression" dxfId="766" priority="3">
      <formula>Q7&gt;0</formula>
    </cfRule>
    <cfRule type="expression" dxfId="765" priority="4">
      <formula>Q7&lt;0</formula>
    </cfRule>
  </conditionalFormatting>
  <conditionalFormatting sqref="Q8">
    <cfRule type="expression" dxfId="764" priority="1">
      <formula>Q8&gt;0</formula>
    </cfRule>
    <cfRule type="expression" dxfId="76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47.6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47.6</v>
      </c>
      <c r="R4" s="491">
        <v>-3.5999999999999999E-3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208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207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207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267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51" t="s">
        <v>78</v>
      </c>
      <c r="Q39" s="851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52.360000000000007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51.884000000000007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51.408000000000008</v>
      </c>
      <c r="R42" s="33"/>
      <c r="T42" s="85" t="s">
        <v>99</v>
      </c>
      <c r="U42" s="127" t="s">
        <v>612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50.932000000000002</v>
      </c>
      <c r="R43" s="81"/>
      <c r="T43" s="85" t="s">
        <v>100</v>
      </c>
      <c r="U43" s="127" t="s">
        <v>613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50.456000000000003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49.980000000000004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49.504000000000005</v>
      </c>
      <c r="R46" s="81"/>
      <c r="T46" s="85" t="s">
        <v>121</v>
      </c>
      <c r="U46" s="223" t="s">
        <v>420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49.028000000000006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48.552</v>
      </c>
      <c r="R48" s="81"/>
      <c r="T48" s="85" t="s">
        <v>104</v>
      </c>
      <c r="U48" s="127" t="s">
        <v>614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48.076000000000001</v>
      </c>
      <c r="R49" s="81"/>
      <c r="T49" s="85" t="s">
        <v>105</v>
      </c>
      <c r="U49" s="127" t="s">
        <v>544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47.6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47.124000000000002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46.648000000000003</v>
      </c>
      <c r="R52" s="81"/>
      <c r="T52" s="85" t="s">
        <v>107</v>
      </c>
      <c r="U52" s="127" t="s">
        <v>615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46.171999999999997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45.695999999999998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45.22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44.744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44.268000000000001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43.792000000000002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43.316000000000003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42.84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62" priority="17">
      <formula>F28&gt;0</formula>
    </cfRule>
    <cfRule type="expression" dxfId="761" priority="18">
      <formula>F28&lt;0</formula>
    </cfRule>
  </conditionalFormatting>
  <conditionalFormatting sqref="F28 F33:F35">
    <cfRule type="expression" dxfId="760" priority="19">
      <formula>F28&gt;0</formula>
    </cfRule>
    <cfRule type="expression" dxfId="759" priority="20">
      <formula>F28&lt;0</formula>
    </cfRule>
  </conditionalFormatting>
  <conditionalFormatting sqref="H28 H33:H35">
    <cfRule type="expression" dxfId="758" priority="15">
      <formula>H28&gt;0</formula>
    </cfRule>
    <cfRule type="expression" dxfId="757" priority="16">
      <formula>H28&lt;0</formula>
    </cfRule>
  </conditionalFormatting>
  <conditionalFormatting sqref="F21:F27">
    <cfRule type="expression" dxfId="756" priority="13">
      <formula>F21&gt;0</formula>
    </cfRule>
    <cfRule type="expression" dxfId="755" priority="14">
      <formula>F21&lt;0</formula>
    </cfRule>
  </conditionalFormatting>
  <conditionalFormatting sqref="H21:H27">
    <cfRule type="expression" dxfId="754" priority="11">
      <formula>H21&gt;0</formula>
    </cfRule>
    <cfRule type="expression" dxfId="753" priority="12">
      <formula>H21&lt;0</formula>
    </cfRule>
  </conditionalFormatting>
  <conditionalFormatting sqref="Q8">
    <cfRule type="expression" dxfId="752" priority="7">
      <formula>Q8&gt;0</formula>
    </cfRule>
    <cfRule type="expression" dxfId="751" priority="8">
      <formula>Q8&lt;0</formula>
    </cfRule>
  </conditionalFormatting>
  <conditionalFormatting sqref="Q7">
    <cfRule type="expression" dxfId="750" priority="9">
      <formula>Q7&gt;0</formula>
    </cfRule>
    <cfRule type="expression" dxfId="749" priority="10">
      <formula>Q7&lt;0</formula>
    </cfRule>
  </conditionalFormatting>
  <conditionalFormatting sqref="F29:F32">
    <cfRule type="expression" dxfId="748" priority="5">
      <formula>F29&gt;0</formula>
    </cfRule>
    <cfRule type="expression" dxfId="747" priority="6">
      <formula>F29&lt;0</formula>
    </cfRule>
  </conditionalFormatting>
  <conditionalFormatting sqref="H29:H32">
    <cfRule type="expression" dxfId="746" priority="3">
      <formula>H29&gt;0</formula>
    </cfRule>
    <cfRule type="expression" dxfId="745" priority="4">
      <formula>H29&lt;0</formula>
    </cfRule>
  </conditionalFormatting>
  <conditionalFormatting sqref="M37">
    <cfRule type="expression" dxfId="744" priority="1">
      <formula>M37&gt;0</formula>
    </cfRule>
    <cfRule type="expression" dxfId="74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O3" s="11" t="s">
        <v>58</v>
      </c>
      <c r="Q3" s="78">
        <f>IF(Q2=0, Q4, (F18-K18-M18)/Q2)</f>
        <v>278.89999999999998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278.89999999999998</v>
      </c>
      <c r="R4" s="475">
        <v>3.5999999999999999E-3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1034.5399999999991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873.70999999999913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208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207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973</v>
      </c>
      <c r="Q13" s="2">
        <f>Q4/13</f>
        <v>21.45384615384615</v>
      </c>
      <c r="R13" s="22" t="s">
        <v>978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51" t="s">
        <v>78</v>
      </c>
      <c r="Q17" s="851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54.84</v>
      </c>
      <c r="P18" s="81">
        <v>1.1000000000000001</v>
      </c>
      <c r="Q18" s="81">
        <f>P18*$Q$4</f>
        <v>306.79000000000002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55</v>
      </c>
      <c r="P19" s="81">
        <v>1.0900000000000001</v>
      </c>
      <c r="Q19" s="81">
        <f t="shared" ref="Q19:Q38" si="3">P19*$Q$4</f>
        <v>304.00099999999998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301.21199999999999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298.423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295.63400000000001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292.84499999999997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290.05599999999998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287.267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284.47800000000001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281.68899999999996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278.89999999999998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276.11099999999999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273.32199999999995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270.53299999999996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267.74399999999997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264.95499999999998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262.16599999999994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259.37700000000001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256.58799999999997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253.79899999999998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251.01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207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42" priority="47">
      <formula>F26&gt;0</formula>
    </cfRule>
    <cfRule type="expression" dxfId="741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40" priority="35">
      <formula>F22&gt;0</formula>
    </cfRule>
    <cfRule type="expression" dxfId="739" priority="36">
      <formula>F22&lt;0</formula>
    </cfRule>
  </conditionalFormatting>
  <conditionalFormatting sqref="H22:H25">
    <cfRule type="expression" dxfId="738" priority="33">
      <formula>H22&gt;0</formula>
    </cfRule>
    <cfRule type="expression" dxfId="737" priority="34">
      <formula>H22&lt;0</formula>
    </cfRule>
  </conditionalFormatting>
  <conditionalFormatting sqref="Q8">
    <cfRule type="expression" dxfId="736" priority="29">
      <formula>Q8&gt;0</formula>
    </cfRule>
    <cfRule type="expression" dxfId="735" priority="30">
      <formula>Q8&lt;0</formula>
    </cfRule>
  </conditionalFormatting>
  <conditionalFormatting sqref="Q7">
    <cfRule type="expression" dxfId="734" priority="31">
      <formula>Q7&gt;0</formula>
    </cfRule>
    <cfRule type="expression" dxfId="733" priority="32">
      <formula>Q7&lt;0</formula>
    </cfRule>
  </conditionalFormatting>
  <conditionalFormatting sqref="F72:F74">
    <cfRule type="expression" dxfId="732" priority="27">
      <formula>F72&gt;0</formula>
    </cfRule>
    <cfRule type="expression" dxfId="731" priority="28">
      <formula>F72&lt;0</formula>
    </cfRule>
  </conditionalFormatting>
  <conditionalFormatting sqref="F75:F82">
    <cfRule type="expression" dxfId="730" priority="23">
      <formula>F75&gt;0</formula>
    </cfRule>
    <cfRule type="expression" dxfId="729" priority="24">
      <formula>F75&lt;0</formula>
    </cfRule>
  </conditionalFormatting>
  <conditionalFormatting sqref="F75:F82">
    <cfRule type="expression" dxfId="728" priority="25">
      <formula>F75&gt;0</formula>
    </cfRule>
    <cfRule type="expression" dxfId="727" priority="26">
      <formula>F75&lt;0</formula>
    </cfRule>
  </conditionalFormatting>
  <conditionalFormatting sqref="H72:H82">
    <cfRule type="expression" dxfId="726" priority="21">
      <formula>H72&gt;0</formula>
    </cfRule>
    <cfRule type="expression" dxfId="725" priority="22">
      <formula>H72&lt;0</formula>
    </cfRule>
  </conditionalFormatting>
  <conditionalFormatting sqref="F68:F71">
    <cfRule type="expression" dxfId="724" priority="19">
      <formula>F68&gt;0</formula>
    </cfRule>
    <cfRule type="expression" dxfId="723" priority="20">
      <formula>F68&lt;0</formula>
    </cfRule>
  </conditionalFormatting>
  <conditionalFormatting sqref="H68:H71">
    <cfRule type="expression" dxfId="722" priority="17">
      <formula>H68&gt;0</formula>
    </cfRule>
    <cfRule type="expression" dxfId="721" priority="18">
      <formula>H68&lt;0</formula>
    </cfRule>
  </conditionalFormatting>
  <conditionalFormatting sqref="Q10">
    <cfRule type="expression" dxfId="720" priority="15">
      <formula>Q10&gt;0</formula>
    </cfRule>
    <cfRule type="expression" dxfId="719" priority="16">
      <formula>Q10&lt;0</formula>
    </cfRule>
  </conditionalFormatting>
  <conditionalFormatting sqref="H43 F43">
    <cfRule type="expression" dxfId="718" priority="11">
      <formula>F43&gt;0</formula>
    </cfRule>
    <cfRule type="expression" dxfId="717" priority="12">
      <formula>F43&lt;0</formula>
    </cfRule>
  </conditionalFormatting>
  <conditionalFormatting sqref="H37:H39 F37:F39">
    <cfRule type="expression" dxfId="716" priority="9">
      <formula>F37&gt;0</formula>
    </cfRule>
    <cfRule type="expression" dxfId="715" priority="10">
      <formula>F37&lt;0</formula>
    </cfRule>
  </conditionalFormatting>
  <conditionalFormatting sqref="H35:H36 F35:F36">
    <cfRule type="expression" dxfId="714" priority="7">
      <formula>F35&gt;0</formula>
    </cfRule>
    <cfRule type="expression" dxfId="713" priority="8">
      <formula>F35&lt;0</formula>
    </cfRule>
  </conditionalFormatting>
  <conditionalFormatting sqref="H41:H42 F41:F42 J40:J41">
    <cfRule type="expression" dxfId="712" priority="5">
      <formula>F40&gt;0</formula>
    </cfRule>
    <cfRule type="expression" dxfId="711" priority="6">
      <formula>F40&lt;0</formula>
    </cfRule>
  </conditionalFormatting>
  <conditionalFormatting sqref="H40 F40">
    <cfRule type="expression" dxfId="710" priority="3">
      <formula>F40&gt;0</formula>
    </cfRule>
    <cfRule type="expression" dxfId="709" priority="4">
      <formula>F40&lt;0</formula>
    </cfRule>
  </conditionalFormatting>
  <conditionalFormatting sqref="J42:J45">
    <cfRule type="expression" dxfId="708" priority="1">
      <formula>J42&gt;0</formula>
    </cfRule>
    <cfRule type="expression" dxfId="707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101.64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101.64</v>
      </c>
      <c r="R4" s="475">
        <v>1.2E-2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208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207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245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111.80400000000002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250</v>
      </c>
      <c r="O38" s="2"/>
      <c r="P38" s="81">
        <v>1.0900000000000001</v>
      </c>
      <c r="Q38" s="81">
        <f t="shared" ref="Q38:Q57" si="5">P38*$Q$4</f>
        <v>110.78760000000001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109.77120000000001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108.7548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107.73840000000001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106.72200000000001</v>
      </c>
      <c r="R42" s="81"/>
      <c r="T42" s="85" t="s">
        <v>99</v>
      </c>
      <c r="U42" s="127" t="s">
        <v>616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105.7056</v>
      </c>
      <c r="R43" s="81"/>
      <c r="T43" s="85" t="s">
        <v>100</v>
      </c>
      <c r="U43" s="127" t="s">
        <v>617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104.6892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103.67280000000001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102.6564</v>
      </c>
      <c r="R46" s="81"/>
      <c r="T46" s="85" t="s">
        <v>121</v>
      </c>
      <c r="U46" s="92" t="s">
        <v>369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101.64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100.6236</v>
      </c>
      <c r="R48" s="81"/>
      <c r="T48" s="85" t="s">
        <v>104</v>
      </c>
      <c r="U48" s="127" t="s">
        <v>618</v>
      </c>
      <c r="W48" s="92">
        <v>42766</v>
      </c>
      <c r="X48" s="10" t="s">
        <v>311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99.607199999999992</v>
      </c>
      <c r="R49" s="81"/>
      <c r="T49" s="85" t="s">
        <v>105</v>
      </c>
      <c r="U49" s="127" t="s">
        <v>619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98.590800000000002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97.574399999999997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96.557999999999993</v>
      </c>
      <c r="R52" s="81"/>
      <c r="T52" s="85" t="s">
        <v>107</v>
      </c>
      <c r="U52" s="127" t="s">
        <v>620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95.541599999999988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94.525200000000012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93.508800000000008</v>
      </c>
      <c r="R55" s="81"/>
      <c r="T55" s="85" t="s">
        <v>108</v>
      </c>
      <c r="U55" s="127" t="s">
        <v>532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92.492400000000004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91.475999999999999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06" priority="29">
      <formula>F40&gt;0</formula>
    </cfRule>
    <cfRule type="expression" dxfId="705" priority="30">
      <formula>F40&lt;0</formula>
    </cfRule>
  </conditionalFormatting>
  <conditionalFormatting sqref="F40:F45">
    <cfRule type="expression" dxfId="704" priority="31">
      <formula>F40&gt;0</formula>
    </cfRule>
    <cfRule type="expression" dxfId="703" priority="32">
      <formula>F40&lt;0</formula>
    </cfRule>
  </conditionalFormatting>
  <conditionalFormatting sqref="H40:H45">
    <cfRule type="expression" dxfId="702" priority="27">
      <formula>H40&gt;0</formula>
    </cfRule>
    <cfRule type="expression" dxfId="701" priority="28">
      <formula>H40&lt;0</formula>
    </cfRule>
  </conditionalFormatting>
  <conditionalFormatting sqref="F23:F39">
    <cfRule type="expression" dxfId="700" priority="13">
      <formula>F23&gt;0</formula>
    </cfRule>
    <cfRule type="expression" dxfId="699" priority="14">
      <formula>F23&lt;0</formula>
    </cfRule>
  </conditionalFormatting>
  <conditionalFormatting sqref="H23:H39">
    <cfRule type="expression" dxfId="698" priority="11">
      <formula>H23&gt;0</formula>
    </cfRule>
    <cfRule type="expression" dxfId="697" priority="12">
      <formula>H23&lt;0</formula>
    </cfRule>
  </conditionalFormatting>
  <conditionalFormatting sqref="Q7">
    <cfRule type="expression" dxfId="696" priority="9">
      <formula>Q7&gt;0</formula>
    </cfRule>
    <cfRule type="expression" dxfId="695" priority="10">
      <formula>Q7&lt;0</formula>
    </cfRule>
  </conditionalFormatting>
  <conditionalFormatting sqref="Q8">
    <cfRule type="expression" dxfId="694" priority="7">
      <formula>Q8&gt;0</formula>
    </cfRule>
    <cfRule type="expression" dxfId="693" priority="8">
      <formula>Q8&lt;0</formula>
    </cfRule>
  </conditionalFormatting>
  <conditionalFormatting sqref="Q10">
    <cfRule type="expression" dxfId="692" priority="1">
      <formula>Q10&gt;0</formula>
    </cfRule>
    <cfRule type="expression" dxfId="69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0</v>
      </c>
      <c r="R4" s="475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208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207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207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0</v>
      </c>
      <c r="Q51" s="2"/>
      <c r="T51" s="106" t="s">
        <v>104</v>
      </c>
      <c r="U51" s="104" t="s">
        <v>621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0</v>
      </c>
      <c r="Q52" s="2"/>
      <c r="T52" s="106" t="s">
        <v>105</v>
      </c>
      <c r="U52" s="104" t="s">
        <v>622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623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518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90" priority="39">
      <formula>Q12&gt;0</formula>
    </cfRule>
    <cfRule type="expression" dxfId="68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88" priority="33">
      <formula>F25&gt;0</formula>
    </cfRule>
    <cfRule type="expression" dxfId="687" priority="34">
      <formula>F25&lt;0</formula>
    </cfRule>
  </conditionalFormatting>
  <conditionalFormatting sqref="F30">
    <cfRule type="expression" dxfId="686" priority="31">
      <formula>F30&gt;0</formula>
    </cfRule>
    <cfRule type="expression" dxfId="685" priority="32">
      <formula>F30&lt;0</formula>
    </cfRule>
  </conditionalFormatting>
  <conditionalFormatting sqref="F31">
    <cfRule type="expression" dxfId="684" priority="29">
      <formula>F31&gt;0</formula>
    </cfRule>
    <cfRule type="expression" dxfId="683" priority="30">
      <formula>F31&lt;0</formula>
    </cfRule>
  </conditionalFormatting>
  <conditionalFormatting sqref="F32:F34">
    <cfRule type="expression" dxfId="682" priority="27">
      <formula>F32&gt;0</formula>
    </cfRule>
    <cfRule type="expression" dxfId="681" priority="28">
      <formula>F32&lt;0</formula>
    </cfRule>
  </conditionalFormatting>
  <conditionalFormatting sqref="H25:H29">
    <cfRule type="expression" dxfId="680" priority="25">
      <formula>H25&gt;0</formula>
    </cfRule>
    <cfRule type="expression" dxfId="679" priority="26">
      <formula>H25&lt;0</formula>
    </cfRule>
  </conditionalFormatting>
  <conditionalFormatting sqref="H30">
    <cfRule type="expression" dxfId="678" priority="23">
      <formula>H30&gt;0</formula>
    </cfRule>
    <cfRule type="expression" dxfId="677" priority="24">
      <formula>H30&lt;0</formula>
    </cfRule>
  </conditionalFormatting>
  <conditionalFormatting sqref="H31">
    <cfRule type="expression" dxfId="676" priority="21">
      <formula>H31&gt;0</formula>
    </cfRule>
    <cfRule type="expression" dxfId="675" priority="22">
      <formula>H31&lt;0</formula>
    </cfRule>
  </conditionalFormatting>
  <conditionalFormatting sqref="H32:H34">
    <cfRule type="expression" dxfId="674" priority="19">
      <formula>H32&gt;0</formula>
    </cfRule>
    <cfRule type="expression" dxfId="673" priority="20">
      <formula>H32&lt;0</formula>
    </cfRule>
  </conditionalFormatting>
  <conditionalFormatting sqref="F35">
    <cfRule type="expression" dxfId="672" priority="17">
      <formula>F35&gt;0</formula>
    </cfRule>
    <cfRule type="expression" dxfId="671" priority="18">
      <formula>F35&lt;0</formula>
    </cfRule>
  </conditionalFormatting>
  <conditionalFormatting sqref="H35">
    <cfRule type="expression" dxfId="670" priority="15">
      <formula>H35&gt;0</formula>
    </cfRule>
    <cfRule type="expression" dxfId="669" priority="16">
      <formula>H35&lt;0</formula>
    </cfRule>
  </conditionalFormatting>
  <conditionalFormatting sqref="F36">
    <cfRule type="expression" dxfId="668" priority="13">
      <formula>F36&gt;0</formula>
    </cfRule>
    <cfRule type="expression" dxfId="667" priority="14">
      <formula>F36&lt;0</formula>
    </cfRule>
  </conditionalFormatting>
  <conditionalFormatting sqref="H36">
    <cfRule type="expression" dxfId="666" priority="11">
      <formula>H36&gt;0</formula>
    </cfRule>
    <cfRule type="expression" dxfId="665" priority="12">
      <formula>H36&lt;0</formula>
    </cfRule>
  </conditionalFormatting>
  <conditionalFormatting sqref="H23:H24">
    <cfRule type="expression" dxfId="664" priority="5">
      <formula>H23&gt;0</formula>
    </cfRule>
    <cfRule type="expression" dxfId="663" priority="6">
      <formula>H23&lt;0</formula>
    </cfRule>
  </conditionalFormatting>
  <conditionalFormatting sqref="F23:F24">
    <cfRule type="expression" dxfId="662" priority="7">
      <formula>F23&gt;0</formula>
    </cfRule>
    <cfRule type="expression" dxfId="661" priority="8">
      <formula>F23&lt;0</formula>
    </cfRule>
  </conditionalFormatting>
  <conditionalFormatting sqref="Q7">
    <cfRule type="expression" dxfId="660" priority="3">
      <formula>Q7&gt;0</formula>
    </cfRule>
    <cfRule type="expression" dxfId="659" priority="4">
      <formula>Q7&lt;0</formula>
    </cfRule>
  </conditionalFormatting>
  <conditionalFormatting sqref="Q8">
    <cfRule type="expression" dxfId="658" priority="1">
      <formula>Q8&gt;0</formula>
    </cfRule>
    <cfRule type="expression" dxfId="65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7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233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47.821833333333387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56.989899999999999</v>
      </c>
      <c r="R4" s="475">
        <v>2.9399999999999999E-2</v>
      </c>
      <c r="T4" s="816">
        <v>43203</v>
      </c>
      <c r="U4" t="s">
        <v>1000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6838.7879999999996</v>
      </c>
      <c r="U5" t="s">
        <v>1002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5738.6200000000063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2704.747999999995</v>
      </c>
      <c r="R7" s="29">
        <v>43325</v>
      </c>
      <c r="T7" s="83">
        <v>43237</v>
      </c>
      <c r="U7" t="s">
        <v>1085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1100.1679999999933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208</v>
      </c>
      <c r="P9"/>
      <c r="Q9" s="134">
        <f>IF(Q2=0, 0, Q8/Q6)</f>
        <v>0.19171299023109947</v>
      </c>
      <c r="W9" s="2"/>
      <c r="X9" s="134"/>
      <c r="AD9" s="225"/>
      <c r="AG9" s="225"/>
    </row>
    <row r="10" spans="1:33" x14ac:dyDescent="0.25">
      <c r="B10" s="474">
        <v>43294</v>
      </c>
      <c r="C10" s="4">
        <v>80</v>
      </c>
      <c r="D10" s="3">
        <v>54.4</v>
      </c>
      <c r="E10" s="3">
        <v>0</v>
      </c>
      <c r="F10" s="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207</v>
      </c>
      <c r="Q10" s="2">
        <f>M57</f>
        <v>1604.5800000000017</v>
      </c>
      <c r="W10" s="2"/>
      <c r="X10" s="134"/>
    </row>
    <row r="11" spans="1:33" x14ac:dyDescent="0.25">
      <c r="B11" s="474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3.0180786420049868E-2</v>
      </c>
      <c r="R11">
        <v>0.43</v>
      </c>
      <c r="T11" s="83">
        <v>43294</v>
      </c>
      <c r="U11" t="s">
        <v>1205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946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973</v>
      </c>
      <c r="Q13" s="2">
        <f>Q4/4.52</f>
        <v>12.608384955752213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62.688890000000001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450</v>
      </c>
      <c r="I18" s="18"/>
      <c r="J18" s="18"/>
      <c r="K18" s="18">
        <f>SUM(K2:K17)</f>
        <v>24889.779999999995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62.118991000000001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24280</v>
      </c>
      <c r="G19" s="343"/>
      <c r="H19" s="343">
        <f>SumByColor($A$19,H2:H17)</f>
        <v>450</v>
      </c>
      <c r="I19" s="343"/>
      <c r="J19" s="343"/>
      <c r="K19" s="344">
        <f>SumByColor($A$19,K2:K17)</f>
        <v>24890</v>
      </c>
      <c r="L19" s="343"/>
      <c r="M19" s="344">
        <f>SumByColor($A$19,M2:M17)</f>
        <v>156</v>
      </c>
      <c r="P19" s="81">
        <v>1.08</v>
      </c>
      <c r="Q19" s="81">
        <f t="shared" si="2"/>
        <v>61.549092000000002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60.979193000000002</v>
      </c>
      <c r="W20" s="2"/>
      <c r="X20" s="134"/>
    </row>
    <row r="21" spans="1:33" x14ac:dyDescent="0.25">
      <c r="P21" s="81">
        <v>1.06</v>
      </c>
      <c r="Q21" s="81">
        <f t="shared" si="2"/>
        <v>60.409294000000003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59.839395000000003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497</v>
      </c>
      <c r="L23" s="220" t="s">
        <v>973</v>
      </c>
      <c r="M23" s="10"/>
      <c r="P23" s="81">
        <v>1.04</v>
      </c>
      <c r="Q23" s="81">
        <f t="shared" si="2"/>
        <v>59.269496000000004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58.699596999999997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58.129697999999998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57.559798999999998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56.989899999999999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770</v>
      </c>
      <c r="J28" s="39">
        <v>2047</v>
      </c>
      <c r="K28" s="39"/>
      <c r="L28" s="10"/>
      <c r="M28" s="10"/>
      <c r="P28" s="81">
        <v>0.99</v>
      </c>
      <c r="Q28" s="81">
        <f t="shared" si="2"/>
        <v>56.420000999999999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855</v>
      </c>
      <c r="J29" s="39">
        <v>2514</v>
      </c>
      <c r="K29" s="39"/>
      <c r="L29" s="10"/>
      <c r="M29" s="10"/>
      <c r="P29" s="81">
        <v>0.98</v>
      </c>
      <c r="Q29" s="81">
        <f t="shared" si="2"/>
        <v>55.850102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55.280203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54.710303999999994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962</v>
      </c>
      <c r="J32" s="39">
        <v>1927</v>
      </c>
      <c r="K32" s="39"/>
      <c r="L32" s="10"/>
      <c r="M32" s="10"/>
      <c r="P32" s="81">
        <v>0.95</v>
      </c>
      <c r="Q32" s="81">
        <f t="shared" si="2"/>
        <v>54.140404999999994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53.570505999999995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53.000607000000002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52.430708000000003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51.860809000000003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51.290909999999997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1083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1096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1100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1148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1150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" si="6">C50*(E50-D50)</f>
        <v>904.5599999999996</v>
      </c>
      <c r="G50" s="39">
        <f t="shared" ref="G50" si="7">D50*C50</f>
        <v>5738.64</v>
      </c>
      <c r="H50" s="222">
        <f t="shared" ref="H50" si="8">(E50-D50)/D50</f>
        <v>0.15762619714775619</v>
      </c>
      <c r="I50" s="39"/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9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9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10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9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10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9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10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9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10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9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10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9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10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9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10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9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11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11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11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11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11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11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3">
      <iconSet iconSet="3Arrows">
        <cfvo type="percent" val="0"/>
        <cfvo type="num" val="0"/>
        <cfvo type="num" val="0"/>
      </iconSet>
    </cfRule>
  </conditionalFormatting>
  <conditionalFormatting sqref="Q8">
    <cfRule type="expression" dxfId="656" priority="67">
      <formula>Q8&gt;0</formula>
    </cfRule>
    <cfRule type="expression" dxfId="655" priority="68">
      <formula>Q8&lt;0</formula>
    </cfRule>
  </conditionalFormatting>
  <conditionalFormatting sqref="Q7">
    <cfRule type="expression" dxfId="654" priority="69">
      <formula>Q7&gt;0</formula>
    </cfRule>
    <cfRule type="expression" dxfId="653" priority="70">
      <formula>Q7&lt;0</formula>
    </cfRule>
  </conditionalFormatting>
  <conditionalFormatting sqref="M57">
    <cfRule type="expression" dxfId="652" priority="57">
      <formula>M57&gt;0</formula>
    </cfRule>
    <cfRule type="expression" dxfId="651" priority="58">
      <formula>M57&lt;0</formula>
    </cfRule>
  </conditionalFormatting>
  <conditionalFormatting sqref="M57">
    <cfRule type="expression" dxfId="650" priority="59">
      <formula>M57&gt;0</formula>
    </cfRule>
    <cfRule type="expression" dxfId="649" priority="60">
      <formula>M57&lt;0</formula>
    </cfRule>
  </conditionalFormatting>
  <conditionalFormatting sqref="F24:F50">
    <cfRule type="expression" dxfId="648" priority="45">
      <formula>F24&gt;0</formula>
    </cfRule>
    <cfRule type="expression" dxfId="647" priority="46">
      <formula>F24&lt;0</formula>
    </cfRule>
  </conditionalFormatting>
  <conditionalFormatting sqref="F24:F50">
    <cfRule type="expression" dxfId="646" priority="47">
      <formula>F24&gt;0</formula>
    </cfRule>
    <cfRule type="expression" dxfId="645" priority="48">
      <formula>F24&lt;0</formula>
    </cfRule>
  </conditionalFormatting>
  <conditionalFormatting sqref="H24:H50">
    <cfRule type="expression" dxfId="644" priority="43">
      <formula>H24&gt;0</formula>
    </cfRule>
    <cfRule type="expression" dxfId="643" priority="44">
      <formula>H24&lt;0</formula>
    </cfRule>
  </conditionalFormatting>
  <conditionalFormatting sqref="J27:J38">
    <cfRule type="expression" dxfId="642" priority="13">
      <formula>J27&gt;0</formula>
    </cfRule>
    <cfRule type="expression" dxfId="641" priority="14">
      <formula>J27&lt;0</formula>
    </cfRule>
  </conditionalFormatting>
  <conditionalFormatting sqref="J27:J38">
    <cfRule type="expression" dxfId="640" priority="15">
      <formula>J27&gt;0</formula>
    </cfRule>
    <cfRule type="expression" dxfId="639" priority="16">
      <formula>J27&lt;0</formula>
    </cfRule>
  </conditionalFormatting>
  <conditionalFormatting sqref="W1:W46">
    <cfRule type="dataBar" priority="8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38" priority="9">
      <formula>J39&gt;0</formula>
    </cfRule>
    <cfRule type="expression" dxfId="637" priority="10">
      <formula>J39&lt;0</formula>
    </cfRule>
  </conditionalFormatting>
  <conditionalFormatting sqref="J39">
    <cfRule type="expression" dxfId="636" priority="11">
      <formula>J39&gt;0</formula>
    </cfRule>
    <cfRule type="expression" dxfId="635" priority="12">
      <formula>J39&lt;0</formula>
    </cfRule>
  </conditionalFormatting>
  <conditionalFormatting sqref="J40:J54">
    <cfRule type="expression" dxfId="634" priority="5">
      <formula>J40&gt;0</formula>
    </cfRule>
    <cfRule type="expression" dxfId="633" priority="6">
      <formula>J40&lt;0</formula>
    </cfRule>
  </conditionalFormatting>
  <conditionalFormatting sqref="J40:J54">
    <cfRule type="expression" dxfId="632" priority="7">
      <formula>J40&gt;0</formula>
    </cfRule>
    <cfRule type="expression" dxfId="631" priority="8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231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47.89</v>
      </c>
      <c r="T3" s="118">
        <v>42568</v>
      </c>
      <c r="U3" t="s">
        <v>236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47.89</v>
      </c>
      <c r="R4" s="475">
        <v>-8.3000000000000001E-3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208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207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51" t="s">
        <v>78</v>
      </c>
      <c r="Q39" s="851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52.679000000000002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52.200100000000006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51.721200000000003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51.2423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50.763400000000004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50.284500000000001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49.805600000000005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49.326700000000002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48.847799999999999</v>
      </c>
      <c r="R48" s="81"/>
      <c r="T48" s="85" t="s">
        <v>104</v>
      </c>
      <c r="U48" s="86" t="s">
        <v>624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48.368900000000004</v>
      </c>
      <c r="R49" s="81"/>
      <c r="T49" s="85" t="s">
        <v>105</v>
      </c>
      <c r="U49" s="86" t="s">
        <v>424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47.89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47.411099999999998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46.932200000000002</v>
      </c>
      <c r="R52" s="81"/>
      <c r="T52" s="85" t="s">
        <v>107</v>
      </c>
      <c r="U52" s="86" t="s">
        <v>625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46.453299999999999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45.974399999999996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45.4955</v>
      </c>
      <c r="R55" s="81"/>
      <c r="T55" s="85" t="s">
        <v>108</v>
      </c>
      <c r="U55" s="86" t="s">
        <v>508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45.016599999999997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44.537700000000001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44.058800000000005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43.579900000000002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43.100999999999999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230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30" priority="66">
      <formula>F22&gt;0</formula>
    </cfRule>
    <cfRule type="expression" dxfId="62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8" priority="53">
      <formula>F41&gt;0</formula>
    </cfRule>
    <cfRule type="expression" dxfId="627" priority="54">
      <formula>F41&lt;0</formula>
    </cfRule>
  </conditionalFormatting>
  <conditionalFormatting sqref="F41">
    <cfRule type="expression" dxfId="626" priority="57">
      <formula>F41&gt;0</formula>
    </cfRule>
    <cfRule type="expression" dxfId="625" priority="58">
      <formula>F41&lt;0</formula>
    </cfRule>
  </conditionalFormatting>
  <conditionalFormatting sqref="H41">
    <cfRule type="expression" dxfId="624" priority="35">
      <formula>H41&gt;0</formula>
    </cfRule>
    <cfRule type="expression" dxfId="623" priority="36">
      <formula>H41&lt;0</formula>
    </cfRule>
  </conditionalFormatting>
  <conditionalFormatting sqref="F89:F95">
    <cfRule type="expression" dxfId="622" priority="29">
      <formula>F89&gt;0</formula>
    </cfRule>
    <cfRule type="expression" dxfId="621" priority="30">
      <formula>F89&lt;0</formula>
    </cfRule>
  </conditionalFormatting>
  <conditionalFormatting sqref="F96:F110">
    <cfRule type="expression" dxfId="620" priority="25">
      <formula>F96&gt;0</formula>
    </cfRule>
    <cfRule type="expression" dxfId="619" priority="26">
      <formula>F96&lt;0</formula>
    </cfRule>
  </conditionalFormatting>
  <conditionalFormatting sqref="F96:F110">
    <cfRule type="expression" dxfId="618" priority="27">
      <formula>F96&gt;0</formula>
    </cfRule>
    <cfRule type="expression" dxfId="617" priority="28">
      <formula>F96&lt;0</formula>
    </cfRule>
  </conditionalFormatting>
  <conditionalFormatting sqref="H89:H100">
    <cfRule type="expression" dxfId="616" priority="23">
      <formula>H89&gt;0</formula>
    </cfRule>
    <cfRule type="expression" dxfId="615" priority="24">
      <formula>H89&lt;0</formula>
    </cfRule>
  </conditionalFormatting>
  <conditionalFormatting sqref="H101">
    <cfRule type="expression" dxfId="614" priority="21">
      <formula>H101&gt;0</formula>
    </cfRule>
    <cfRule type="expression" dxfId="613" priority="22">
      <formula>H101&lt;0</formula>
    </cfRule>
  </conditionalFormatting>
  <conditionalFormatting sqref="F111:F116">
    <cfRule type="expression" dxfId="612" priority="19">
      <formula>F111&gt;0</formula>
    </cfRule>
    <cfRule type="expression" dxfId="611" priority="20">
      <formula>F111&lt;0</formula>
    </cfRule>
  </conditionalFormatting>
  <conditionalFormatting sqref="H103:H116">
    <cfRule type="expression" dxfId="610" priority="17">
      <formula>H103&gt;0</formula>
    </cfRule>
    <cfRule type="expression" dxfId="609" priority="18">
      <formula>H103&lt;0</formula>
    </cfRule>
  </conditionalFormatting>
  <conditionalFormatting sqref="H102">
    <cfRule type="expression" dxfId="608" priority="15">
      <formula>H102&gt;0</formula>
    </cfRule>
    <cfRule type="expression" dxfId="607" priority="16">
      <formula>H102&lt;0</formula>
    </cfRule>
  </conditionalFormatting>
  <conditionalFormatting sqref="M42">
    <cfRule type="expression" dxfId="606" priority="13">
      <formula>M42&gt;0</formula>
    </cfRule>
    <cfRule type="expression" dxfId="605" priority="14">
      <formula>M42&lt;0</formula>
    </cfRule>
  </conditionalFormatting>
  <conditionalFormatting sqref="Q7">
    <cfRule type="expression" dxfId="604" priority="9">
      <formula>Q7&gt;0</formula>
    </cfRule>
    <cfRule type="expression" dxfId="603" priority="10">
      <formula>Q7&lt;0</formula>
    </cfRule>
  </conditionalFormatting>
  <conditionalFormatting sqref="Q8">
    <cfRule type="expression" dxfId="602" priority="7">
      <formula>Q8&gt;0</formula>
    </cfRule>
    <cfRule type="expression" dxfId="601" priority="8">
      <formula>Q8&lt;0</formula>
    </cfRule>
  </conditionalFormatting>
  <conditionalFormatting sqref="F117:F130 H117:H130">
    <cfRule type="expression" dxfId="600" priority="1">
      <formula>F117&gt;0</formula>
    </cfRule>
    <cfRule type="expression" dxfId="59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222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237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43.64</v>
      </c>
      <c r="T3" s="1" t="s">
        <v>238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43.64</v>
      </c>
      <c r="R4" s="493">
        <v>8.9999999999999998E-4</v>
      </c>
      <c r="T4" s="156">
        <v>42633</v>
      </c>
      <c r="U4" s="1" t="s">
        <v>270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324</v>
      </c>
      <c r="U6" t="s">
        <v>454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453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455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207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995</v>
      </c>
      <c r="Q12" s="1" t="s">
        <v>1209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48.004000000000005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47.567600000000006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47.131200000000007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46.694800000000001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46.258400000000002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45.822000000000003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45.385600000000004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44.949200000000005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44.512799999999999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44.0764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43.64</v>
      </c>
      <c r="W39" s="134"/>
    </row>
    <row r="40" spans="1:23" x14ac:dyDescent="0.25">
      <c r="O40" s="81">
        <v>0.99</v>
      </c>
      <c r="P40" s="81">
        <f t="shared" si="0"/>
        <v>43.203600000000002</v>
      </c>
      <c r="W40" s="134"/>
    </row>
    <row r="41" spans="1:23" x14ac:dyDescent="0.25">
      <c r="O41" s="81">
        <v>0.98</v>
      </c>
      <c r="P41" s="81">
        <f t="shared" si="0"/>
        <v>42.767200000000003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42.330799999999996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41.894399999999997</v>
      </c>
      <c r="W43" s="134"/>
    </row>
    <row r="44" spans="1:23" x14ac:dyDescent="0.25">
      <c r="A44" s="687" t="s">
        <v>222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41.457999999999998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41.021599999999999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40.5852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40.148800000000001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39.712400000000002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39.276000000000003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421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626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471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627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545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225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503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282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283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283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308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503</v>
      </c>
    </row>
    <row r="167" spans="1:10" x14ac:dyDescent="0.25">
      <c r="A167" t="s">
        <v>338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338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426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440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445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358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466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673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674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678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707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8" priority="84">
      <formula>F7&gt;0</formula>
    </cfRule>
    <cfRule type="expression" dxfId="597" priority="85">
      <formula>F7&lt;0</formula>
    </cfRule>
  </conditionalFormatting>
  <conditionalFormatting sqref="Q8">
    <cfRule type="expression" dxfId="596" priority="82">
      <formula>Q8&gt;0</formula>
    </cfRule>
    <cfRule type="expression" dxfId="595" priority="83">
      <formula>Q8&lt;0</formula>
    </cfRule>
  </conditionalFormatting>
  <conditionalFormatting sqref="F29:F36">
    <cfRule type="expression" dxfId="594" priority="62">
      <formula>F29&gt;0</formula>
    </cfRule>
    <cfRule type="expression" dxfId="593" priority="63">
      <formula>F29&lt;0</formula>
    </cfRule>
  </conditionalFormatting>
  <conditionalFormatting sqref="J32:J38">
    <cfRule type="expression" dxfId="592" priority="57">
      <formula>J32&gt;0</formula>
    </cfRule>
    <cfRule type="expression" dxfId="591" priority="58">
      <formula>J32&lt;0</formula>
    </cfRule>
  </conditionalFormatting>
  <conditionalFormatting sqref="M42">
    <cfRule type="expression" dxfId="590" priority="55">
      <formula>M42&gt;0</formula>
    </cfRule>
    <cfRule type="expression" dxfId="589" priority="56">
      <formula>M42&lt;0</formula>
    </cfRule>
  </conditionalFormatting>
  <conditionalFormatting sqref="F98:F134 H98:H134 H137:H142 F137:F142 F144:F153 H144:H153">
    <cfRule type="expression" dxfId="588" priority="53">
      <formula>F98&gt;0</formula>
    </cfRule>
    <cfRule type="expression" dxfId="587" priority="54">
      <formula>F98&lt;0</formula>
    </cfRule>
  </conditionalFormatting>
  <conditionalFormatting sqref="F90:F97">
    <cfRule type="expression" dxfId="586" priority="51">
      <formula>F90&gt;0</formula>
    </cfRule>
    <cfRule type="expression" dxfId="585" priority="52">
      <formula>F90&lt;0</formula>
    </cfRule>
  </conditionalFormatting>
  <conditionalFormatting sqref="H90:H97">
    <cfRule type="expression" dxfId="584" priority="49">
      <formula>H90&gt;0</formula>
    </cfRule>
    <cfRule type="expression" dxfId="583" priority="50">
      <formula>H90&lt;0</formula>
    </cfRule>
  </conditionalFormatting>
  <conditionalFormatting sqref="F135:F136 H135:H136">
    <cfRule type="expression" dxfId="582" priority="47">
      <formula>F135&gt;0</formula>
    </cfRule>
    <cfRule type="expression" dxfId="581" priority="48">
      <formula>F135&lt;0</formula>
    </cfRule>
  </conditionalFormatting>
  <conditionalFormatting sqref="H143 F143">
    <cfRule type="expression" dxfId="580" priority="45">
      <formula>F143&gt;0</formula>
    </cfRule>
    <cfRule type="expression" dxfId="579" priority="46">
      <formula>F143&lt;0</formula>
    </cfRule>
  </conditionalFormatting>
  <conditionalFormatting sqref="F154:F161">
    <cfRule type="expression" dxfId="578" priority="31">
      <formula>F154&gt;0</formula>
    </cfRule>
    <cfRule type="expression" dxfId="577" priority="32">
      <formula>F154&lt;0</formula>
    </cfRule>
  </conditionalFormatting>
  <conditionalFormatting sqref="H154:H161">
    <cfRule type="expression" dxfId="576" priority="29">
      <formula>H154&gt;0</formula>
    </cfRule>
    <cfRule type="expression" dxfId="575" priority="30">
      <formula>H154&lt;0</formula>
    </cfRule>
  </conditionalFormatting>
  <conditionalFormatting sqref="Q10">
    <cfRule type="expression" dxfId="574" priority="27">
      <formula>Q10&gt;0</formula>
    </cfRule>
    <cfRule type="expression" dxfId="573" priority="28">
      <formula>Q10&lt;0</formula>
    </cfRule>
  </conditionalFormatting>
  <conditionalFormatting sqref="F37:F38">
    <cfRule type="expression" dxfId="572" priority="25">
      <formula>F37&gt;0</formula>
    </cfRule>
    <cfRule type="expression" dxfId="571" priority="26">
      <formula>F37&lt;0</formula>
    </cfRule>
  </conditionalFormatting>
  <conditionalFormatting sqref="H37:H38">
    <cfRule type="expression" dxfId="570" priority="23">
      <formula>H37&gt;0</formula>
    </cfRule>
    <cfRule type="expression" dxfId="569" priority="24">
      <formula>H37&lt;0</formula>
    </cfRule>
  </conditionalFormatting>
  <conditionalFormatting sqref="F167">
    <cfRule type="expression" dxfId="568" priority="21">
      <formula>F167&gt;0</formula>
    </cfRule>
    <cfRule type="expression" dxfId="567" priority="22">
      <formula>F167&lt;0</formula>
    </cfRule>
  </conditionalFormatting>
  <conditionalFormatting sqref="F168:F179">
    <cfRule type="expression" dxfId="566" priority="19">
      <formula>F168&gt;0</formula>
    </cfRule>
    <cfRule type="expression" dxfId="565" priority="20">
      <formula>F168&lt;0</formula>
    </cfRule>
  </conditionalFormatting>
  <conditionalFormatting sqref="H167:H179">
    <cfRule type="expression" dxfId="564" priority="17">
      <formula>H167&gt;0</formula>
    </cfRule>
    <cfRule type="expression" dxfId="563" priority="18">
      <formula>H167&lt;0</formula>
    </cfRule>
  </conditionalFormatting>
  <conditionalFormatting sqref="J175:J197 J201">
    <cfRule type="expression" dxfId="562" priority="15">
      <formula>J175&gt;0</formula>
    </cfRule>
    <cfRule type="expression" dxfId="561" priority="16">
      <formula>J175&lt;0</formula>
    </cfRule>
  </conditionalFormatting>
  <conditionalFormatting sqref="F180:F197 F201">
    <cfRule type="expression" dxfId="560" priority="13">
      <formula>F180&gt;0</formula>
    </cfRule>
    <cfRule type="expression" dxfId="559" priority="14">
      <formula>F180&lt;0</formula>
    </cfRule>
  </conditionalFormatting>
  <conditionalFormatting sqref="H180:H197 H201">
    <cfRule type="expression" dxfId="558" priority="11">
      <formula>H180&gt;0</formula>
    </cfRule>
    <cfRule type="expression" dxfId="557" priority="12">
      <formula>H180&lt;0</formula>
    </cfRule>
  </conditionalFormatting>
  <conditionalFormatting sqref="I32:J35">
    <cfRule type="expression" dxfId="556" priority="9">
      <formula>I32&gt;0</formula>
    </cfRule>
    <cfRule type="expression" dxfId="555" priority="10">
      <formula>I32&lt;0</formula>
    </cfRule>
  </conditionalFormatting>
  <conditionalFormatting sqref="F198:F200">
    <cfRule type="expression" dxfId="554" priority="7">
      <formula>F198&gt;0</formula>
    </cfRule>
    <cfRule type="expression" dxfId="553" priority="8">
      <formula>F198&lt;0</formula>
    </cfRule>
  </conditionalFormatting>
  <conditionalFormatting sqref="H198:H200">
    <cfRule type="expression" dxfId="552" priority="5">
      <formula>H198&gt;0</formula>
    </cfRule>
    <cfRule type="expression" dxfId="551" priority="6">
      <formula>H198&lt;0</formula>
    </cfRule>
  </conditionalFormatting>
  <conditionalFormatting sqref="J198:J200">
    <cfRule type="expression" dxfId="550" priority="3">
      <formula>J198&gt;0</formula>
    </cfRule>
    <cfRule type="expression" dxfId="549" priority="4">
      <formula>J198&lt;0</formula>
    </cfRule>
  </conditionalFormatting>
  <conditionalFormatting sqref="F202:F211 H202:H211 J202:J211">
    <cfRule type="expression" dxfId="548" priority="1">
      <formula>F202&gt;0</formula>
    </cfRule>
    <cfRule type="expression" dxfId="54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340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78.3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78.3</v>
      </c>
      <c r="R4" s="493">
        <v>6.8999999999999999E-3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208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207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946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973</v>
      </c>
      <c r="Q13">
        <f>Q4/5.25</f>
        <v>14.914285714285715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688</v>
      </c>
      <c r="Q15" s="679" t="s">
        <v>689</v>
      </c>
      <c r="R15" s="677" t="s">
        <v>682</v>
      </c>
      <c r="S15" s="677" t="s">
        <v>683</v>
      </c>
      <c r="T15" s="679" t="s">
        <v>685</v>
      </c>
      <c r="U15" s="679" t="s">
        <v>686</v>
      </c>
      <c r="V15" s="677" t="s">
        <v>684</v>
      </c>
      <c r="W15" s="678" t="s">
        <v>687</v>
      </c>
    </row>
    <row r="16" spans="1:23" x14ac:dyDescent="0.25">
      <c r="G16" s="29"/>
      <c r="H16" s="70"/>
      <c r="O16" s="680">
        <v>42963</v>
      </c>
      <c r="P16" s="676" t="s">
        <v>690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692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51" t="s">
        <v>78</v>
      </c>
      <c r="P40" s="851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86.13000000000001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85.347000000000008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84.564000000000007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83.781000000000006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82.998000000000005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82.215000000000003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81.432000000000002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80.649000000000001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79.866</v>
      </c>
      <c r="Q49" s="2"/>
      <c r="T49" s="91" t="s">
        <v>103</v>
      </c>
      <c r="U49" s="127" t="s">
        <v>479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79.082999999999998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78.3</v>
      </c>
      <c r="Q51" s="2"/>
      <c r="T51" s="91" t="s">
        <v>104</v>
      </c>
      <c r="U51" s="127" t="s">
        <v>628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77.516999999999996</v>
      </c>
      <c r="Q52" s="2"/>
      <c r="T52" s="91" t="s">
        <v>105</v>
      </c>
      <c r="U52" s="127" t="s">
        <v>629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76.733999999999995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75.950999999999993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75.167999999999992</v>
      </c>
      <c r="T55" s="91" t="s">
        <v>107</v>
      </c>
      <c r="U55" s="127" t="s">
        <v>630</v>
      </c>
    </row>
    <row r="56" spans="1:21" x14ac:dyDescent="0.25">
      <c r="O56" s="81">
        <v>0.95</v>
      </c>
      <c r="P56" s="81">
        <f t="shared" si="0"/>
        <v>74.384999999999991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73.60199999999999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72.819000000000003</v>
      </c>
      <c r="T58" s="91" t="s">
        <v>108</v>
      </c>
      <c r="U58" s="127" t="s">
        <v>546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72.036000000000001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71.253</v>
      </c>
    </row>
    <row r="61" spans="1:21" x14ac:dyDescent="0.25">
      <c r="A61" s="371" t="s">
        <v>340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70.47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448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448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473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6" priority="80">
      <formula>Q7&gt;0</formula>
    </cfRule>
    <cfRule type="expression" dxfId="545" priority="81">
      <formula>Q7&lt;0</formula>
    </cfRule>
  </conditionalFormatting>
  <conditionalFormatting sqref="Q8">
    <cfRule type="expression" dxfId="544" priority="78">
      <formula>Q8&gt;0</formula>
    </cfRule>
    <cfRule type="expression" dxfId="543" priority="79">
      <formula>Q8&lt;0</formula>
    </cfRule>
  </conditionalFormatting>
  <conditionalFormatting sqref="F29:F43">
    <cfRule type="expression" dxfId="542" priority="62">
      <formula>F29&gt;0</formula>
    </cfRule>
    <cfRule type="expression" dxfId="541" priority="63">
      <formula>F29&lt;0</formula>
    </cfRule>
  </conditionalFormatting>
  <conditionalFormatting sqref="H45 H47:H48 H50:H51 H53 H29:H43">
    <cfRule type="expression" dxfId="540" priority="60">
      <formula>H29&gt;0</formula>
    </cfRule>
    <cfRule type="expression" dxfId="539" priority="61">
      <formula>H29&lt;0</formula>
    </cfRule>
  </conditionalFormatting>
  <conditionalFormatting sqref="J35">
    <cfRule type="expression" dxfId="538" priority="56">
      <formula>J35&gt;0</formula>
    </cfRule>
    <cfRule type="expression" dxfId="537" priority="57">
      <formula>J35&lt;0</formula>
    </cfRule>
  </conditionalFormatting>
  <conditionalFormatting sqref="J36:J37">
    <cfRule type="expression" dxfId="536" priority="54">
      <formula>J36&gt;0</formula>
    </cfRule>
    <cfRule type="expression" dxfId="535" priority="55">
      <formula>J36&lt;0</formula>
    </cfRule>
  </conditionalFormatting>
  <conditionalFormatting sqref="J38:J45 J48 J51">
    <cfRule type="expression" dxfId="534" priority="52">
      <formula>J38&gt;0</formula>
    </cfRule>
    <cfRule type="expression" dxfId="533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32" priority="49">
      <formula>M59&gt;0</formula>
    </cfRule>
    <cfRule type="expression" dxfId="531" priority="50">
      <formula>M59&lt;0</formula>
    </cfRule>
  </conditionalFormatting>
  <conditionalFormatting sqref="Q10">
    <cfRule type="expression" dxfId="530" priority="47">
      <formula>Q10&gt;0</formula>
    </cfRule>
    <cfRule type="expression" dxfId="529" priority="48">
      <formula>Q10&lt;0</formula>
    </cfRule>
  </conditionalFormatting>
  <conditionalFormatting sqref="F84:F103">
    <cfRule type="expression" dxfId="528" priority="45">
      <formula>F84&gt;0</formula>
    </cfRule>
    <cfRule type="expression" dxfId="527" priority="46">
      <formula>F84&lt;0</formula>
    </cfRule>
  </conditionalFormatting>
  <conditionalFormatting sqref="H107 H84:H103">
    <cfRule type="expression" dxfId="526" priority="43">
      <formula>H84&gt;0</formula>
    </cfRule>
    <cfRule type="expression" dxfId="525" priority="44">
      <formula>H84&lt;0</formula>
    </cfRule>
  </conditionalFormatting>
  <conditionalFormatting sqref="J89">
    <cfRule type="expression" dxfId="524" priority="41">
      <formula>J89&gt;0</formula>
    </cfRule>
    <cfRule type="expression" dxfId="523" priority="42">
      <formula>J89&lt;0</formula>
    </cfRule>
  </conditionalFormatting>
  <conditionalFormatting sqref="J90:J95">
    <cfRule type="expression" dxfId="522" priority="39">
      <formula>J90&gt;0</formula>
    </cfRule>
    <cfRule type="expression" dxfId="521" priority="40">
      <formula>J90&lt;0</formula>
    </cfRule>
  </conditionalFormatting>
  <conditionalFormatting sqref="J96:J97">
    <cfRule type="expression" dxfId="520" priority="37">
      <formula>J96&gt;0</formula>
    </cfRule>
    <cfRule type="expression" dxfId="519" priority="38">
      <formula>J96&lt;0</formula>
    </cfRule>
  </conditionalFormatting>
  <conditionalFormatting sqref="J98:J104">
    <cfRule type="expression" dxfId="518" priority="35">
      <formula>J98&gt;0</formula>
    </cfRule>
    <cfRule type="expression" dxfId="517" priority="36">
      <formula>J98&lt;0</formula>
    </cfRule>
  </conditionalFormatting>
  <conditionalFormatting sqref="J25">
    <cfRule type="expression" dxfId="516" priority="31">
      <formula>J25&gt;0</formula>
    </cfRule>
    <cfRule type="expression" dxfId="515" priority="32">
      <formula>J25&lt;0</formula>
    </cfRule>
  </conditionalFormatting>
  <conditionalFormatting sqref="F105:F106">
    <cfRule type="expression" dxfId="514" priority="29">
      <formula>F105&gt;0</formula>
    </cfRule>
    <cfRule type="expression" dxfId="513" priority="30">
      <formula>F105&lt;0</formula>
    </cfRule>
  </conditionalFormatting>
  <conditionalFormatting sqref="H105:H106">
    <cfRule type="expression" dxfId="512" priority="27">
      <formula>H105&gt;0</formula>
    </cfRule>
    <cfRule type="expression" dxfId="511" priority="28">
      <formula>H105&lt;0</formula>
    </cfRule>
  </conditionalFormatting>
  <conditionalFormatting sqref="J105">
    <cfRule type="expression" dxfId="510" priority="25">
      <formula>J105&gt;0</formula>
    </cfRule>
    <cfRule type="expression" dxfId="509" priority="26">
      <formula>J105&lt;0</formula>
    </cfRule>
  </conditionalFormatting>
  <conditionalFormatting sqref="J106">
    <cfRule type="expression" dxfId="508" priority="23">
      <formula>J106&gt;0</formula>
    </cfRule>
    <cfRule type="expression" dxfId="507" priority="24">
      <formula>J106&lt;0</formula>
    </cfRule>
  </conditionalFormatting>
  <conditionalFormatting sqref="F24 F27:F28">
    <cfRule type="expression" dxfId="506" priority="21">
      <formula>F24&gt;0</formula>
    </cfRule>
    <cfRule type="expression" dxfId="505" priority="22">
      <formula>F24&lt;0</formula>
    </cfRule>
  </conditionalFormatting>
  <conditionalFormatting sqref="H24:H28">
    <cfRule type="expression" dxfId="504" priority="19">
      <formula>H24&gt;0</formula>
    </cfRule>
    <cfRule type="expression" dxfId="503" priority="20">
      <formula>H24&lt;0</formula>
    </cfRule>
  </conditionalFormatting>
  <conditionalFormatting sqref="J26:J34">
    <cfRule type="expression" dxfId="502" priority="17">
      <formula>J26&gt;0</formula>
    </cfRule>
    <cfRule type="expression" dxfId="501" priority="18">
      <formula>J26&lt;0</formula>
    </cfRule>
  </conditionalFormatting>
  <conditionalFormatting sqref="F113">
    <cfRule type="expression" dxfId="500" priority="15">
      <formula>F113&gt;0</formula>
    </cfRule>
    <cfRule type="expression" dxfId="499" priority="16">
      <formula>F113&lt;0</formula>
    </cfRule>
  </conditionalFormatting>
  <conditionalFormatting sqref="H113">
    <cfRule type="expression" dxfId="498" priority="13">
      <formula>H113&gt;0</formula>
    </cfRule>
    <cfRule type="expression" dxfId="497" priority="14">
      <formula>H113&lt;0</formula>
    </cfRule>
  </conditionalFormatting>
  <conditionalFormatting sqref="J109">
    <cfRule type="expression" dxfId="496" priority="11">
      <formula>J109&gt;0</formula>
    </cfRule>
    <cfRule type="expression" dxfId="495" priority="12">
      <formula>J109&lt;0</formula>
    </cfRule>
  </conditionalFormatting>
  <conditionalFormatting sqref="F108:F112">
    <cfRule type="expression" dxfId="494" priority="9">
      <formula>F108&gt;0</formula>
    </cfRule>
    <cfRule type="expression" dxfId="493" priority="10">
      <formula>F108&lt;0</formula>
    </cfRule>
  </conditionalFormatting>
  <conditionalFormatting sqref="H108:H112">
    <cfRule type="expression" dxfId="492" priority="7">
      <formula>H108&gt;0</formula>
    </cfRule>
    <cfRule type="expression" dxfId="491" priority="8">
      <formula>H108&lt;0</formula>
    </cfRule>
  </conditionalFormatting>
  <conditionalFormatting sqref="J110:J113">
    <cfRule type="expression" dxfId="490" priority="5">
      <formula>J110&gt;0</formula>
    </cfRule>
    <cfRule type="expression" dxfId="489" priority="6">
      <formula>J110&lt;0</formula>
    </cfRule>
  </conditionalFormatting>
  <conditionalFormatting sqref="F25:F26">
    <cfRule type="expression" dxfId="488" priority="3">
      <formula>F25&gt;0</formula>
    </cfRule>
    <cfRule type="expression" dxfId="487" priority="4">
      <formula>F25&lt;0</formula>
    </cfRule>
  </conditionalFormatting>
  <conditionalFormatting sqref="Q9">
    <cfRule type="expression" dxfId="486" priority="1">
      <formula>Q9&gt;0</formula>
    </cfRule>
    <cfRule type="expression" dxfId="485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3" si="0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35.466428571428544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27.77</v>
      </c>
      <c r="R4" s="223">
        <v>-1.1000000000000001E-3</v>
      </c>
      <c r="T4" s="1">
        <v>43096</v>
      </c>
      <c r="U4" t="s">
        <v>785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7775.5999999999995</v>
      </c>
      <c r="U5" t="s">
        <v>786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9930.5999999999931</v>
      </c>
      <c r="U6" t="s">
        <v>787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-2079.9799999999918</v>
      </c>
      <c r="R7">
        <v>280</v>
      </c>
      <c r="U7" t="s">
        <v>788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K23+M23-F23+Q2*Q4</f>
        <v>-2154.9999999999918</v>
      </c>
      <c r="U8" t="s">
        <v>789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208</v>
      </c>
      <c r="Q9" s="134">
        <f>IF(Q2=0, 0, Q8/Q6)</f>
        <v>-0.21700602179123046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207</v>
      </c>
      <c r="P10" s="33"/>
      <c r="Q10" s="2">
        <f>M75</f>
        <v>75.019999999999982</v>
      </c>
      <c r="T10" s="1">
        <v>43103</v>
      </c>
      <c r="U10" t="s">
        <v>836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3.3129276197335258E-2</v>
      </c>
      <c r="R11">
        <f>0.23</f>
        <v>0.23</v>
      </c>
      <c r="U11" t="s">
        <v>837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946</v>
      </c>
      <c r="Q12" s="1" t="s">
        <v>1216</v>
      </c>
      <c r="T12" s="1">
        <v>43110</v>
      </c>
      <c r="U12" t="s">
        <v>865</v>
      </c>
    </row>
    <row r="13" spans="1:29" x14ac:dyDescent="0.25">
      <c r="B13" s="72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973</v>
      </c>
      <c r="Q13">
        <f>Q4/2.67</f>
        <v>10.400749063670412</v>
      </c>
      <c r="T13" s="1">
        <v>43112</v>
      </c>
      <c r="U13" t="s">
        <v>861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U14" t="s">
        <v>862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U15" s="475" t="s">
        <v>864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T17" s="1">
        <v>43120</v>
      </c>
      <c r="U17" t="s">
        <v>900</v>
      </c>
    </row>
    <row r="18" spans="1:21" ht="20.25" thickBot="1" x14ac:dyDescent="0.35">
      <c r="B18" s="72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72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30.547000000000001</v>
      </c>
      <c r="T19" s="1">
        <v>43125</v>
      </c>
      <c r="U19" t="s">
        <v>914</v>
      </c>
    </row>
    <row r="20" spans="1:21" x14ac:dyDescent="0.25">
      <c r="C20" s="4"/>
      <c r="D20" s="3"/>
      <c r="E20" s="3"/>
      <c r="F20" s="3"/>
      <c r="O20" s="81">
        <v>1.0900000000000001</v>
      </c>
      <c r="P20" s="81">
        <f t="shared" ref="P20:P39" si="3">O20*$Q$4</f>
        <v>30.269300000000001</v>
      </c>
      <c r="T20" s="1">
        <v>43126</v>
      </c>
      <c r="U20" t="s">
        <v>912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3"/>
        <v>29.991600000000002</v>
      </c>
      <c r="U21" t="s">
        <v>913</v>
      </c>
    </row>
    <row r="22" spans="1:21" x14ac:dyDescent="0.25">
      <c r="O22" s="81">
        <v>1.07</v>
      </c>
      <c r="P22" s="81">
        <f t="shared" si="3"/>
        <v>29.713900000000002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1220</v>
      </c>
      <c r="I23" s="37"/>
      <c r="J23" s="37"/>
      <c r="K23" s="37">
        <f>SUM(K2:K22)</f>
        <v>34133.699999999997</v>
      </c>
      <c r="L23" s="37"/>
      <c r="M23" s="37">
        <f>SUM(M2:M22)</f>
        <v>294.39999999999998</v>
      </c>
      <c r="O23" s="81">
        <v>1.06</v>
      </c>
      <c r="P23" s="81">
        <f t="shared" si="3"/>
        <v>29.436199999999999</v>
      </c>
      <c r="T23" s="1">
        <v>43128</v>
      </c>
      <c r="U23" t="s">
        <v>915</v>
      </c>
    </row>
    <row r="24" spans="1:21" ht="15.75" thickBot="1" x14ac:dyDescent="0.3">
      <c r="A24" s="341" t="s">
        <v>193</v>
      </c>
      <c r="B24" s="342"/>
      <c r="C24" s="343">
        <f>SumByColor($A$24,C2:C22)</f>
        <v>1220</v>
      </c>
      <c r="D24" s="343"/>
      <c r="E24" s="343"/>
      <c r="F24" s="344">
        <f>SumByColor($A$24,F2:F23)</f>
        <v>33557</v>
      </c>
      <c r="G24" s="343"/>
      <c r="H24" s="343">
        <f>SumByColor($A$24,H2:H22)</f>
        <v>1220</v>
      </c>
      <c r="I24" s="343"/>
      <c r="J24" s="343"/>
      <c r="K24" s="344">
        <f>SumByColor($A$24,K2:K22)</f>
        <v>34135</v>
      </c>
      <c r="L24" s="343"/>
      <c r="M24" s="344">
        <f>SumByColor($A$24,M2:M22)</f>
        <v>294</v>
      </c>
      <c r="O24" s="81">
        <v>1.05</v>
      </c>
      <c r="P24" s="81">
        <f t="shared" si="3"/>
        <v>29.1585</v>
      </c>
    </row>
    <row r="25" spans="1:21" x14ac:dyDescent="0.25">
      <c r="O25" s="81">
        <v>1.04</v>
      </c>
      <c r="P25" s="81">
        <f t="shared" si="3"/>
        <v>28.880800000000001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497</v>
      </c>
      <c r="K26" s="186" t="s">
        <v>150</v>
      </c>
      <c r="L26" s="186" t="s">
        <v>973</v>
      </c>
      <c r="O26" s="81">
        <v>1.03</v>
      </c>
      <c r="P26" s="81">
        <f t="shared" si="3"/>
        <v>28.603100000000001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4">C27*(E27-D27)</f>
        <v>-10.999999999999943</v>
      </c>
      <c r="G27" s="39">
        <f t="shared" ref="G27:G41" si="5">D27*C27</f>
        <v>2249</v>
      </c>
      <c r="H27" s="222">
        <f t="shared" ref="H27:H41" si="6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3"/>
        <v>28.325399999999998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4"/>
        <v>-65.603999999999516</v>
      </c>
      <c r="G28" s="39">
        <f t="shared" si="5"/>
        <v>4817.6040000000003</v>
      </c>
      <c r="H28" s="222">
        <f t="shared" si="6"/>
        <v>-1.3617557607474486E-2</v>
      </c>
      <c r="I28" s="222"/>
      <c r="J28" s="222"/>
      <c r="K28" s="222"/>
      <c r="L28" s="222"/>
      <c r="O28" s="81">
        <v>1.01</v>
      </c>
      <c r="P28" s="81">
        <f t="shared" si="3"/>
        <v>28.047699999999999</v>
      </c>
      <c r="T28" s="770">
        <v>43136</v>
      </c>
      <c r="U28" t="s">
        <v>863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4"/>
        <v>-254.80400000000017</v>
      </c>
      <c r="G29" s="39">
        <f t="shared" si="5"/>
        <v>4817.6040000000003</v>
      </c>
      <c r="H29" s="222">
        <f t="shared" si="6"/>
        <v>-5.2890191887917763E-2</v>
      </c>
      <c r="I29" s="222"/>
      <c r="J29" s="222"/>
      <c r="K29" s="222"/>
      <c r="L29" s="222"/>
      <c r="O29" s="81">
        <v>1</v>
      </c>
      <c r="P29" s="81">
        <f t="shared" si="3"/>
        <v>27.77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4"/>
        <v>-382.5</v>
      </c>
      <c r="G30" s="39">
        <f t="shared" si="5"/>
        <v>7649.0999999999995</v>
      </c>
      <c r="H30" s="222">
        <f t="shared" si="6"/>
        <v>-5.0005883045064127E-2</v>
      </c>
      <c r="I30" s="222"/>
      <c r="J30" s="222"/>
      <c r="K30" s="222"/>
      <c r="L30" s="222"/>
      <c r="O30" s="81">
        <v>0.99</v>
      </c>
      <c r="P30" s="81">
        <f t="shared" si="3"/>
        <v>27.4923</v>
      </c>
      <c r="T30" s="1">
        <v>43175</v>
      </c>
      <c r="U30" t="s">
        <v>1118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4"/>
        <v>-2391.5080000000012</v>
      </c>
      <c r="G31" s="39">
        <f t="shared" si="5"/>
        <v>11007.108</v>
      </c>
      <c r="H31" s="223">
        <f t="shared" si="6"/>
        <v>-0.21726942263126708</v>
      </c>
      <c r="I31" s="223"/>
      <c r="J31" s="223"/>
      <c r="K31" s="223"/>
      <c r="L31" s="223"/>
      <c r="O31" s="81">
        <v>0.98</v>
      </c>
      <c r="P31" s="81">
        <f t="shared" si="3"/>
        <v>27.214600000000001</v>
      </c>
      <c r="T31" s="1">
        <v>43178</v>
      </c>
      <c r="U31" t="s">
        <v>961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4"/>
        <v>-2211.7000000000003</v>
      </c>
      <c r="G32" s="39">
        <f t="shared" si="5"/>
        <v>17621.7</v>
      </c>
      <c r="H32" s="223">
        <f t="shared" si="6"/>
        <v>-0.12551002457197663</v>
      </c>
      <c r="I32" s="223"/>
      <c r="J32" s="223"/>
      <c r="K32" s="223"/>
      <c r="L32" s="223"/>
      <c r="O32" s="81">
        <v>0.97</v>
      </c>
      <c r="P32" s="81">
        <f t="shared" si="3"/>
        <v>26.936899999999998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4"/>
        <v>-1966.8039999999996</v>
      </c>
      <c r="G33" s="39">
        <f t="shared" si="5"/>
        <v>13864.603999999999</v>
      </c>
      <c r="H33" s="223">
        <f t="shared" si="6"/>
        <v>-0.14185792828991003</v>
      </c>
      <c r="I33" s="223"/>
      <c r="J33" s="223"/>
      <c r="K33" s="223"/>
      <c r="L33" s="223"/>
      <c r="O33" s="81">
        <v>0.96</v>
      </c>
      <c r="P33" s="81">
        <f t="shared" si="3"/>
        <v>26.659199999999998</v>
      </c>
      <c r="T33" s="1">
        <v>43217</v>
      </c>
      <c r="U33" t="s">
        <v>1035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4"/>
        <v>-2460.2000000000003</v>
      </c>
      <c r="G34" s="39">
        <f t="shared" si="5"/>
        <v>17510.2</v>
      </c>
      <c r="H34" s="223">
        <f t="shared" si="6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3"/>
        <v>26.381499999999999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4"/>
        <v>-3278.22</v>
      </c>
      <c r="G35" s="39">
        <f t="shared" si="5"/>
        <v>20348.219999999998</v>
      </c>
      <c r="H35" s="223">
        <f t="shared" si="6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3"/>
        <v>26.1038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4"/>
        <v>-2495.2500000000023</v>
      </c>
      <c r="G36" s="39">
        <f t="shared" si="5"/>
        <v>17390.25</v>
      </c>
      <c r="H36" s="223">
        <f t="shared" si="6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3"/>
        <v>25.8261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4"/>
        <v>-1553.0679999999993</v>
      </c>
      <c r="G37" s="39">
        <f t="shared" si="5"/>
        <v>15536.268</v>
      </c>
      <c r="H37" s="223">
        <f t="shared" si="6"/>
        <v>-9.9964032546297432E-2</v>
      </c>
      <c r="I37" s="39"/>
      <c r="J37" s="39"/>
      <c r="K37" s="39"/>
      <c r="L37" s="39"/>
      <c r="O37" s="81">
        <v>0.92</v>
      </c>
      <c r="P37" s="81">
        <f t="shared" si="3"/>
        <v>25.548400000000001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4"/>
        <v>-1913.9999999999991</v>
      </c>
      <c r="G38" s="39">
        <f t="shared" si="5"/>
        <v>15421.999999999998</v>
      </c>
      <c r="H38" s="223">
        <f t="shared" si="6"/>
        <v>-0.12410841654778883</v>
      </c>
      <c r="I38" s="39"/>
      <c r="J38" s="39"/>
      <c r="K38" s="39"/>
      <c r="L38" s="39"/>
      <c r="O38" s="81">
        <v>0.91</v>
      </c>
      <c r="P38" s="81">
        <f t="shared" si="3"/>
        <v>25.270700000000001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4"/>
        <v>-2126.9999999999991</v>
      </c>
      <c r="G39" s="39">
        <f t="shared" si="5"/>
        <v>17232</v>
      </c>
      <c r="H39" s="223">
        <f t="shared" si="6"/>
        <v>-0.12343314763231192</v>
      </c>
      <c r="I39" s="39" t="s">
        <v>779</v>
      </c>
      <c r="J39" s="39"/>
      <c r="K39" s="39"/>
      <c r="L39" s="39"/>
      <c r="O39" s="81">
        <v>0.9</v>
      </c>
      <c r="P39" s="81">
        <f t="shared" si="3"/>
        <v>24.992999999999999</v>
      </c>
      <c r="T39" s="156">
        <v>43314</v>
      </c>
      <c r="U39" t="s">
        <v>82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4"/>
        <v>-1892.0199999999998</v>
      </c>
      <c r="G40" s="39">
        <f t="shared" si="5"/>
        <v>13550.42</v>
      </c>
      <c r="H40" s="223">
        <f t="shared" si="6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4"/>
        <v>-1808.6400000000003</v>
      </c>
      <c r="G41" s="39">
        <f t="shared" si="5"/>
        <v>11696.64</v>
      </c>
      <c r="H41" s="223">
        <f t="shared" si="6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:F65" si="7">C42*(E42-D42)</f>
        <v>-1511.0400000000004</v>
      </c>
      <c r="G42" s="39">
        <f t="shared" ref="G42:G65" si="8">D42*C42</f>
        <v>11696.64</v>
      </c>
      <c r="H42" s="223">
        <f t="shared" ref="H42:H65" si="9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si="7"/>
        <v>-1728.6400000000003</v>
      </c>
      <c r="G43" s="39">
        <f t="shared" si="8"/>
        <v>11696.64</v>
      </c>
      <c r="H43" s="223">
        <f t="shared" si="9"/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7"/>
        <v>-3791.6000000000008</v>
      </c>
      <c r="G44" s="39">
        <f t="shared" si="8"/>
        <v>16196.6</v>
      </c>
      <c r="H44" s="223">
        <f t="shared" si="9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7"/>
        <v>-3507.2000000000016</v>
      </c>
      <c r="G45" s="39">
        <f t="shared" si="8"/>
        <v>11628.800000000001</v>
      </c>
      <c r="H45" s="223">
        <f t="shared" si="9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7"/>
        <v>-3195.3600000000006</v>
      </c>
      <c r="G46" s="39">
        <f t="shared" si="8"/>
        <v>10575.6</v>
      </c>
      <c r="H46" s="223">
        <f t="shared" si="9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si="7"/>
        <v>-2844.8000000000011</v>
      </c>
      <c r="G47" s="39">
        <f t="shared" si="8"/>
        <v>10575.6</v>
      </c>
      <c r="H47" s="223">
        <f t="shared" si="9"/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si="7"/>
        <v>-3026.8000000000006</v>
      </c>
      <c r="G48" s="39">
        <f t="shared" si="8"/>
        <v>10575.6</v>
      </c>
      <c r="H48" s="223">
        <f t="shared" si="9"/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si="7"/>
        <v>-2567.6000000000004</v>
      </c>
      <c r="G49" s="39">
        <f t="shared" si="8"/>
        <v>10575.6</v>
      </c>
      <c r="H49" s="223">
        <f t="shared" si="9"/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7"/>
        <v>-3017.1999999999989</v>
      </c>
      <c r="G50" s="39">
        <f t="shared" si="8"/>
        <v>13197.4</v>
      </c>
      <c r="H50" s="223">
        <f t="shared" si="9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7"/>
        <v>-3294.5999999999995</v>
      </c>
      <c r="G51" s="39">
        <f t="shared" si="8"/>
        <v>13197.4</v>
      </c>
      <c r="H51" s="223">
        <f t="shared" si="9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7"/>
        <v>-3564.9999999999995</v>
      </c>
      <c r="G52" s="39">
        <f t="shared" si="8"/>
        <v>16160</v>
      </c>
      <c r="H52" s="223">
        <f t="shared" si="9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si="7"/>
        <v>-3325</v>
      </c>
      <c r="G53" s="39">
        <f t="shared" si="8"/>
        <v>13079.6</v>
      </c>
      <c r="H53" s="223">
        <f t="shared" si="9"/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si="7"/>
        <v>-2834.8</v>
      </c>
      <c r="G54" s="39">
        <f t="shared" si="8"/>
        <v>13079.6</v>
      </c>
      <c r="H54" s="223">
        <f t="shared" si="9"/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7"/>
        <v>-2598.4000000000005</v>
      </c>
      <c r="G55" s="39">
        <f t="shared" si="8"/>
        <v>10320.799999999999</v>
      </c>
      <c r="H55" s="223">
        <f t="shared" si="9"/>
        <v>-0.25176342919153555</v>
      </c>
      <c r="I55" s="193" t="s">
        <v>1046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7"/>
        <v>-2701.0779999999986</v>
      </c>
      <c r="G56" s="39">
        <f t="shared" si="8"/>
        <v>12980.078</v>
      </c>
      <c r="H56" s="223">
        <f t="shared" si="9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7"/>
        <v>-2694.16</v>
      </c>
      <c r="G57" s="39">
        <f t="shared" si="8"/>
        <v>10212.16</v>
      </c>
      <c r="H57" s="223">
        <f t="shared" si="9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7"/>
        <v>-2744.8539999999994</v>
      </c>
      <c r="G58" s="39">
        <f t="shared" si="8"/>
        <v>12887.054</v>
      </c>
      <c r="H58" s="223">
        <f t="shared" si="9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si="7"/>
        <v>-2858.8539999999998</v>
      </c>
      <c r="G59" s="39">
        <f t="shared" si="8"/>
        <v>12887.054</v>
      </c>
      <c r="H59" s="223">
        <f t="shared" si="9"/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7"/>
        <v>-3430.1000000000013</v>
      </c>
      <c r="G60" s="39">
        <f t="shared" si="8"/>
        <v>15845.1</v>
      </c>
      <c r="H60" s="223">
        <f t="shared" si="9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A61">
        <v>380</v>
      </c>
      <c r="B61" s="184">
        <v>43254</v>
      </c>
      <c r="C61" s="10">
        <v>500</v>
      </c>
      <c r="D61" s="39">
        <v>31.690200000000001</v>
      </c>
      <c r="E61" s="39">
        <v>23.12</v>
      </c>
      <c r="F61" s="39">
        <f t="shared" si="7"/>
        <v>-4285.1000000000004</v>
      </c>
      <c r="G61" s="39">
        <f t="shared" si="8"/>
        <v>15845.1</v>
      </c>
      <c r="H61" s="223">
        <f t="shared" si="9"/>
        <v>-0.27043691740664305</v>
      </c>
      <c r="I61" s="39"/>
      <c r="J61" s="39"/>
      <c r="K61" s="39">
        <v>-4210</v>
      </c>
      <c r="L61" s="193">
        <v>8.66</v>
      </c>
      <c r="Q61" s="81"/>
    </row>
    <row r="62" spans="1:18" x14ac:dyDescent="0.25">
      <c r="A62">
        <v>260</v>
      </c>
      <c r="B62" s="184">
        <v>43262</v>
      </c>
      <c r="C62" s="425">
        <v>380</v>
      </c>
      <c r="D62" s="426">
        <v>33.588299999999997</v>
      </c>
      <c r="E62" s="39">
        <v>25.59</v>
      </c>
      <c r="F62" s="39">
        <f t="shared" si="7"/>
        <v>-3039.3539999999989</v>
      </c>
      <c r="G62" s="39">
        <f t="shared" si="8"/>
        <v>12763.553999999998</v>
      </c>
      <c r="H62" s="223">
        <f t="shared" si="9"/>
        <v>-0.23812756227614967</v>
      </c>
      <c r="I62" s="39"/>
      <c r="J62" s="39"/>
      <c r="K62" s="39">
        <v>-2964</v>
      </c>
      <c r="L62" s="193">
        <v>9.58</v>
      </c>
      <c r="Q62" s="81"/>
    </row>
    <row r="63" spans="1:18" x14ac:dyDescent="0.25">
      <c r="A63">
        <v>260</v>
      </c>
      <c r="B63" s="184">
        <v>43266</v>
      </c>
      <c r="C63" s="425">
        <v>380</v>
      </c>
      <c r="D63" s="426">
        <v>33.285699999999999</v>
      </c>
      <c r="E63" s="39">
        <v>26.05</v>
      </c>
      <c r="F63" s="39">
        <f t="shared" si="7"/>
        <v>-2749.5659999999993</v>
      </c>
      <c r="G63" s="39">
        <f t="shared" si="8"/>
        <v>12648.565999999999</v>
      </c>
      <c r="H63" s="223">
        <f t="shared" si="9"/>
        <v>-0.21738163836121813</v>
      </c>
      <c r="I63" s="39"/>
      <c r="J63" s="39"/>
      <c r="K63" s="39">
        <v>-2675</v>
      </c>
      <c r="L63" s="193"/>
      <c r="Q63" s="81"/>
    </row>
    <row r="64" spans="1:18" x14ac:dyDescent="0.25">
      <c r="A64">
        <v>280</v>
      </c>
      <c r="B64" s="184">
        <v>43286</v>
      </c>
      <c r="C64" s="7">
        <v>280</v>
      </c>
      <c r="D64" s="43">
        <v>35.47</v>
      </c>
      <c r="E64" s="39">
        <v>27.15</v>
      </c>
      <c r="F64" s="39">
        <f t="shared" si="7"/>
        <v>-2329.6</v>
      </c>
      <c r="G64" s="39">
        <f t="shared" si="8"/>
        <v>9931.6</v>
      </c>
      <c r="H64" s="223">
        <f t="shared" si="9"/>
        <v>-0.23456442063715818</v>
      </c>
      <c r="I64" s="39" t="s">
        <v>1175</v>
      </c>
      <c r="J64" s="39"/>
      <c r="K64" s="39">
        <v>-2254</v>
      </c>
      <c r="L64" s="193">
        <v>10.17</v>
      </c>
      <c r="O64" s="33"/>
    </row>
    <row r="65" spans="1:15" x14ac:dyDescent="0.25">
      <c r="A65">
        <v>280</v>
      </c>
      <c r="B65" s="184">
        <v>43288</v>
      </c>
      <c r="C65" s="10">
        <v>280</v>
      </c>
      <c r="D65" s="39">
        <v>35.47</v>
      </c>
      <c r="E65" s="39">
        <v>27.42</v>
      </c>
      <c r="F65" s="39">
        <f t="shared" si="7"/>
        <v>-2253.9999999999991</v>
      </c>
      <c r="G65" s="39">
        <f t="shared" si="8"/>
        <v>9931.6</v>
      </c>
      <c r="H65" s="223">
        <f t="shared" si="9"/>
        <v>-0.226952354102058</v>
      </c>
      <c r="I65" s="39"/>
      <c r="J65" s="39"/>
      <c r="K65" s="39">
        <v>-2254</v>
      </c>
      <c r="L65" s="193">
        <v>10.27</v>
      </c>
    </row>
    <row r="66" spans="1:15" x14ac:dyDescent="0.25">
      <c r="B66" s="184"/>
      <c r="C66" s="10"/>
      <c r="D66" s="39"/>
      <c r="E66" s="39"/>
      <c r="F66" s="39"/>
      <c r="G66" s="39"/>
      <c r="H66" s="223"/>
      <c r="I66" s="39"/>
      <c r="J66" s="39"/>
      <c r="K66" s="39"/>
      <c r="L66" s="193"/>
    </row>
    <row r="67" spans="1:15" x14ac:dyDescent="0.25">
      <c r="B67" s="184"/>
      <c r="C67" s="10"/>
      <c r="D67" s="39"/>
      <c r="E67" s="39"/>
      <c r="F67" s="39"/>
      <c r="G67" s="39"/>
      <c r="H67" s="223"/>
      <c r="I67" s="39"/>
      <c r="J67" s="39"/>
      <c r="K67" s="39"/>
      <c r="L67" s="193"/>
    </row>
    <row r="68" spans="1:15" x14ac:dyDescent="0.25">
      <c r="B68" s="184"/>
      <c r="C68" s="10"/>
      <c r="D68" s="39"/>
      <c r="E68" s="39"/>
      <c r="F68" s="39"/>
      <c r="G68" s="39"/>
      <c r="H68" s="223"/>
      <c r="I68" s="39"/>
      <c r="J68" s="39"/>
      <c r="K68" s="39"/>
      <c r="L68" s="193"/>
    </row>
    <row r="69" spans="1:15" x14ac:dyDescent="0.25">
      <c r="B69" s="184"/>
      <c r="C69" s="10"/>
      <c r="D69" s="39"/>
      <c r="E69" s="39"/>
      <c r="F69" s="39"/>
      <c r="G69" s="39"/>
      <c r="H69" s="223"/>
      <c r="I69" s="39"/>
      <c r="J69" s="39"/>
      <c r="K69" s="39"/>
      <c r="L69" s="193"/>
      <c r="O69" s="33"/>
    </row>
    <row r="70" spans="1:15" x14ac:dyDescent="0.25">
      <c r="B70" s="184"/>
      <c r="C70" s="10"/>
      <c r="D70" s="39"/>
      <c r="E70" s="39"/>
      <c r="F70" s="39"/>
      <c r="G70" s="39"/>
      <c r="H70" s="223"/>
      <c r="I70" s="39"/>
      <c r="J70" s="39"/>
      <c r="K70" s="39"/>
      <c r="L70" s="193"/>
    </row>
    <row r="71" spans="1:15" x14ac:dyDescent="0.25">
      <c r="B71" s="184"/>
      <c r="C71" s="10"/>
      <c r="D71" s="39"/>
      <c r="E71" s="39"/>
      <c r="F71" s="39"/>
      <c r="G71" s="39"/>
      <c r="H71" s="223"/>
      <c r="I71" s="39"/>
      <c r="J71" s="39"/>
      <c r="K71" s="39"/>
      <c r="L71" s="193"/>
    </row>
    <row r="72" spans="1:15" x14ac:dyDescent="0.25">
      <c r="B72" s="184"/>
      <c r="C72" s="10"/>
      <c r="D72" s="39"/>
      <c r="E72" s="39"/>
      <c r="F72" s="39"/>
      <c r="G72" s="39"/>
      <c r="H72" s="223"/>
      <c r="I72" s="39"/>
      <c r="J72" s="39"/>
      <c r="K72" s="39"/>
      <c r="L72" s="193"/>
    </row>
    <row r="73" spans="1:15" x14ac:dyDescent="0.25">
      <c r="B73" s="184"/>
      <c r="C73" s="10"/>
      <c r="D73" s="39"/>
      <c r="E73" s="39"/>
      <c r="F73" s="39"/>
      <c r="G73" s="39"/>
      <c r="H73" s="223"/>
      <c r="I73" s="39"/>
      <c r="J73" s="39"/>
      <c r="K73" s="39"/>
      <c r="L73" s="193"/>
    </row>
    <row r="74" spans="1:15" x14ac:dyDescent="0.25">
      <c r="B74" s="4"/>
      <c r="C74" s="4"/>
      <c r="D74" s="3"/>
      <c r="E74" s="3"/>
      <c r="F74" s="3"/>
      <c r="G74" s="3"/>
      <c r="H74" s="224"/>
      <c r="I74" s="3"/>
      <c r="J74" s="3"/>
      <c r="K74" s="3"/>
    </row>
    <row r="75" spans="1:15" x14ac:dyDescent="0.25">
      <c r="L75" t="s">
        <v>209</v>
      </c>
      <c r="M75" s="2">
        <f>M89+K89-F89</f>
        <v>75.019999999999982</v>
      </c>
    </row>
    <row r="76" spans="1:15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77</v>
      </c>
      <c r="M76" s="368" t="s">
        <v>38</v>
      </c>
    </row>
    <row r="77" spans="1:15" x14ac:dyDescent="0.25">
      <c r="A77" s="371" t="s">
        <v>174</v>
      </c>
      <c r="B77" s="361">
        <v>42376</v>
      </c>
      <c r="C77" s="362">
        <v>60</v>
      </c>
      <c r="D77" s="363">
        <v>41.01</v>
      </c>
      <c r="E77" s="363">
        <v>0</v>
      </c>
      <c r="F77" s="363">
        <f>C77*D77</f>
        <v>2460.6</v>
      </c>
      <c r="G77" s="361">
        <v>42426</v>
      </c>
      <c r="H77" s="366">
        <v>20</v>
      </c>
      <c r="I77" s="363">
        <v>38.450000000000003</v>
      </c>
      <c r="J77" s="363">
        <v>0.02</v>
      </c>
      <c r="K77" s="363">
        <f>H77*I77-J77</f>
        <v>768.98</v>
      </c>
      <c r="L77" s="361">
        <v>42444</v>
      </c>
      <c r="M77" s="363">
        <v>15.2</v>
      </c>
    </row>
    <row r="78" spans="1:15" x14ac:dyDescent="0.25">
      <c r="A78" s="372" t="s">
        <v>71</v>
      </c>
      <c r="B78" s="361">
        <v>42403</v>
      </c>
      <c r="C78" s="362">
        <v>20</v>
      </c>
      <c r="D78" s="363">
        <v>35.5</v>
      </c>
      <c r="E78" s="363">
        <v>0</v>
      </c>
      <c r="F78" s="363">
        <f>C78*D78</f>
        <v>710</v>
      </c>
      <c r="G78" s="361">
        <v>42426</v>
      </c>
      <c r="H78" s="366">
        <v>30</v>
      </c>
      <c r="I78" s="363">
        <v>38.75</v>
      </c>
      <c r="J78" s="363">
        <v>0.03</v>
      </c>
      <c r="K78" s="363">
        <f>H78*I78-J78</f>
        <v>1162.47</v>
      </c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1">
        <v>42447</v>
      </c>
      <c r="H79" s="366">
        <v>30</v>
      </c>
      <c r="I79" s="363">
        <v>43.3</v>
      </c>
      <c r="J79" s="363">
        <v>0.03</v>
      </c>
      <c r="K79" s="363">
        <f>H79*I79-J79</f>
        <v>1298.97</v>
      </c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2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5" t="s">
        <v>81</v>
      </c>
      <c r="B89" s="36"/>
      <c r="C89" s="36">
        <f>SUM(C77:C88)</f>
        <v>80</v>
      </c>
      <c r="D89" s="37"/>
      <c r="E89" s="37"/>
      <c r="F89" s="37">
        <f>SUM(F77:F88)</f>
        <v>3170.6</v>
      </c>
      <c r="G89" s="36"/>
      <c r="H89" s="175">
        <f>SUM(H77:H88)</f>
        <v>80</v>
      </c>
      <c r="I89" s="37"/>
      <c r="J89" s="37"/>
      <c r="K89" s="37">
        <f>SUM(K77:K88)</f>
        <v>3230.42</v>
      </c>
      <c r="L89" s="37"/>
      <c r="M89" s="37">
        <f>SUM(M77:M78)</f>
        <v>15.2</v>
      </c>
    </row>
    <row r="90" spans="1:13" x14ac:dyDescent="0.25">
      <c r="G90" s="2"/>
    </row>
    <row r="92" spans="1:13" x14ac:dyDescent="0.25">
      <c r="B92" s="258" t="s">
        <v>113</v>
      </c>
      <c r="C92" s="258" t="s">
        <v>146</v>
      </c>
      <c r="D92" s="259" t="s">
        <v>145</v>
      </c>
      <c r="E92" s="260" t="s">
        <v>147</v>
      </c>
      <c r="F92" s="261" t="s">
        <v>65</v>
      </c>
      <c r="G92" s="262" t="s">
        <v>151</v>
      </c>
      <c r="H92" s="261" t="s">
        <v>88</v>
      </c>
      <c r="I92" s="261" t="s">
        <v>154</v>
      </c>
    </row>
    <row r="93" spans="1:13" x14ac:dyDescent="0.25">
      <c r="B93" s="255">
        <v>42376</v>
      </c>
      <c r="C93" s="250">
        <v>60</v>
      </c>
      <c r="D93" s="251">
        <v>41.01</v>
      </c>
      <c r="E93" s="251">
        <v>40.33</v>
      </c>
      <c r="F93" s="251">
        <f>C93*(E93-D93)</f>
        <v>-40.799999999999983</v>
      </c>
      <c r="G93" s="251">
        <f>D93*C93</f>
        <v>2460.6</v>
      </c>
      <c r="H93" s="265">
        <f>(E93-D93)/D93</f>
        <v>-1.6581321628871E-2</v>
      </c>
      <c r="I93" s="265"/>
    </row>
    <row r="94" spans="1:13" x14ac:dyDescent="0.25">
      <c r="B94" s="255">
        <v>42403</v>
      </c>
      <c r="C94" s="250">
        <v>80</v>
      </c>
      <c r="D94" s="251">
        <v>39.630000000000003</v>
      </c>
      <c r="E94" s="251">
        <v>36.229999999999997</v>
      </c>
      <c r="F94" s="251">
        <f>C94*(E94-D94)</f>
        <v>-272.00000000000045</v>
      </c>
      <c r="G94" s="251">
        <f>D94*C94</f>
        <v>3170.4</v>
      </c>
      <c r="H94" s="265">
        <f>(E94-D94)/D94</f>
        <v>-8.5793590714105611E-2</v>
      </c>
      <c r="I94" s="265"/>
    </row>
    <row r="95" spans="1:13" x14ac:dyDescent="0.25">
      <c r="B95" s="255">
        <v>42421</v>
      </c>
      <c r="C95" s="250">
        <v>80</v>
      </c>
      <c r="D95" s="251">
        <v>39.630000000000003</v>
      </c>
      <c r="E95" s="251">
        <v>37.46</v>
      </c>
      <c r="F95" s="251">
        <f>C95*(E95-D95)</f>
        <v>-173.60000000000014</v>
      </c>
      <c r="G95" s="251">
        <f>D95*C95</f>
        <v>3170.4</v>
      </c>
      <c r="H95" s="265">
        <f>(E95-D95)/D95</f>
        <v>-5.4756497602826179E-2</v>
      </c>
      <c r="I95" s="265"/>
    </row>
    <row r="96" spans="1:13" x14ac:dyDescent="0.25">
      <c r="B96" s="255">
        <v>42426</v>
      </c>
      <c r="C96" s="250">
        <v>60</v>
      </c>
      <c r="D96" s="251">
        <v>40.03</v>
      </c>
      <c r="E96" s="251">
        <v>38.450000000000003</v>
      </c>
      <c r="F96" s="251">
        <f t="shared" ref="F96:F102" si="10">C96*(E96-D96)</f>
        <v>-94.799999999999898</v>
      </c>
      <c r="G96" s="251">
        <f t="shared" ref="G96:G102" si="11">D96*C96</f>
        <v>2401.8000000000002</v>
      </c>
      <c r="H96" s="265">
        <f t="shared" ref="H96:H102" si="12">(E96-D96)/D96</f>
        <v>-3.9470397202098384E-2</v>
      </c>
      <c r="I96" s="265"/>
    </row>
    <row r="97" spans="2:9" x14ac:dyDescent="0.25">
      <c r="B97" s="255">
        <v>42426</v>
      </c>
      <c r="C97" s="250">
        <v>30</v>
      </c>
      <c r="D97" s="251">
        <v>41.31</v>
      </c>
      <c r="E97" s="251">
        <v>38.44</v>
      </c>
      <c r="F97" s="251">
        <f t="shared" si="10"/>
        <v>-86.100000000000136</v>
      </c>
      <c r="G97" s="251">
        <f t="shared" si="11"/>
        <v>1239.3000000000002</v>
      </c>
      <c r="H97" s="263">
        <f t="shared" si="12"/>
        <v>-6.9474703461631676E-2</v>
      </c>
      <c r="I97" s="263"/>
    </row>
    <row r="98" spans="2:9" x14ac:dyDescent="0.25">
      <c r="B98" s="255">
        <v>42430</v>
      </c>
      <c r="C98" s="250">
        <v>30</v>
      </c>
      <c r="D98" s="251">
        <v>41.31</v>
      </c>
      <c r="E98" s="251">
        <v>39.51</v>
      </c>
      <c r="F98" s="251">
        <f t="shared" si="10"/>
        <v>-54.000000000000128</v>
      </c>
      <c r="G98" s="251">
        <f t="shared" si="11"/>
        <v>1239.3000000000002</v>
      </c>
      <c r="H98" s="263">
        <f t="shared" si="12"/>
        <v>-4.3572984749455437E-2</v>
      </c>
      <c r="I98" s="263"/>
    </row>
    <row r="99" spans="2:9" x14ac:dyDescent="0.25">
      <c r="B99" s="255">
        <v>42431</v>
      </c>
      <c r="C99" s="250">
        <v>30</v>
      </c>
      <c r="D99" s="251">
        <v>41.305</v>
      </c>
      <c r="E99" s="251">
        <v>40.31</v>
      </c>
      <c r="F99" s="251">
        <f t="shared" si="10"/>
        <v>-29.849999999999923</v>
      </c>
      <c r="G99" s="251">
        <f t="shared" si="11"/>
        <v>1239.1500000000001</v>
      </c>
      <c r="H99" s="263">
        <f t="shared" si="12"/>
        <v>-2.4089093330105251E-2</v>
      </c>
      <c r="I99" s="263"/>
    </row>
    <row r="100" spans="2:9" x14ac:dyDescent="0.25">
      <c r="B100" s="255">
        <v>42435</v>
      </c>
      <c r="C100" s="250">
        <v>30</v>
      </c>
      <c r="D100" s="251">
        <v>41.305</v>
      </c>
      <c r="E100" s="251">
        <v>40.98</v>
      </c>
      <c r="F100" s="251">
        <f t="shared" si="10"/>
        <v>-9.7500000000000853</v>
      </c>
      <c r="G100" s="251">
        <f t="shared" si="11"/>
        <v>1239.1500000000001</v>
      </c>
      <c r="H100" s="263">
        <f t="shared" si="12"/>
        <v>-7.8682968163661261E-3</v>
      </c>
      <c r="I100" s="263"/>
    </row>
    <row r="101" spans="2:9" x14ac:dyDescent="0.25">
      <c r="B101" s="255">
        <v>42436</v>
      </c>
      <c r="C101" s="250">
        <v>30</v>
      </c>
      <c r="D101" s="251">
        <v>41.305</v>
      </c>
      <c r="E101" s="251">
        <v>39.590000000000003</v>
      </c>
      <c r="F101" s="251">
        <f t="shared" si="10"/>
        <v>-51.449999999999889</v>
      </c>
      <c r="G101" s="251">
        <f t="shared" si="11"/>
        <v>1239.1500000000001</v>
      </c>
      <c r="H101" s="263">
        <f t="shared" si="12"/>
        <v>-4.1520397046362338E-2</v>
      </c>
      <c r="I101" s="263"/>
    </row>
    <row r="102" spans="2:9" x14ac:dyDescent="0.25">
      <c r="B102" s="255">
        <v>42444</v>
      </c>
      <c r="C102" s="250">
        <v>30</v>
      </c>
      <c r="D102" s="251">
        <v>41.305</v>
      </c>
      <c r="E102" s="251">
        <v>41.37</v>
      </c>
      <c r="F102" s="251">
        <f t="shared" si="10"/>
        <v>1.9499999999999318</v>
      </c>
      <c r="G102" s="251">
        <f t="shared" si="11"/>
        <v>1239.1500000000001</v>
      </c>
      <c r="H102" s="263">
        <f t="shared" si="12"/>
        <v>1.5736593632731564E-3</v>
      </c>
      <c r="I102" s="263"/>
    </row>
    <row r="103" spans="2:9" x14ac:dyDescent="0.25">
      <c r="B103" s="255">
        <v>42444</v>
      </c>
      <c r="C103" s="250">
        <v>30</v>
      </c>
      <c r="D103" s="251">
        <v>40.47983</v>
      </c>
      <c r="E103" s="251">
        <v>41.37</v>
      </c>
      <c r="F103" s="251">
        <f>C103*(E103-D103)</f>
        <v>26.705099999999931</v>
      </c>
      <c r="G103" s="251">
        <f>D103*C103</f>
        <v>1214.3949</v>
      </c>
      <c r="H103" s="263">
        <f>(E103-D103)/D103</f>
        <v>2.1990457963879731E-2</v>
      </c>
      <c r="I103" s="263" t="s">
        <v>182</v>
      </c>
    </row>
    <row r="104" spans="2:9" x14ac:dyDescent="0.25">
      <c r="B104" s="255">
        <v>42447</v>
      </c>
      <c r="C104" s="250">
        <v>0</v>
      </c>
      <c r="D104" s="251"/>
      <c r="E104" s="251"/>
      <c r="F104" s="251">
        <v>75.02</v>
      </c>
      <c r="G104" s="251"/>
      <c r="H104" s="263"/>
      <c r="I104" s="263"/>
    </row>
    <row r="105" spans="2:9" x14ac:dyDescent="0.25">
      <c r="B105" s="250"/>
      <c r="C105" s="250"/>
      <c r="D105" s="251"/>
      <c r="E105" s="251"/>
      <c r="F105" s="251"/>
      <c r="G105" s="251"/>
      <c r="H105" s="263"/>
      <c r="I105" s="263"/>
    </row>
    <row r="106" spans="2:9" x14ac:dyDescent="0.25">
      <c r="B106" s="250"/>
      <c r="C106" s="250"/>
      <c r="D106" s="251"/>
      <c r="E106" s="251"/>
      <c r="F106" s="251"/>
      <c r="G106" s="251"/>
      <c r="H106" s="263"/>
      <c r="I106" s="263"/>
    </row>
    <row r="107" spans="2:9" x14ac:dyDescent="0.25">
      <c r="B107" s="250"/>
      <c r="C107" s="250"/>
      <c r="D107" s="251"/>
      <c r="E107" s="251"/>
      <c r="F107" s="251"/>
      <c r="G107" s="251"/>
      <c r="H107" s="263"/>
      <c r="I107" s="263"/>
    </row>
    <row r="108" spans="2:9" x14ac:dyDescent="0.25">
      <c r="B108" s="250"/>
      <c r="C108" s="250"/>
      <c r="D108" s="251"/>
      <c r="E108" s="251"/>
      <c r="F108" s="251"/>
      <c r="G108" s="251"/>
      <c r="H108" s="263"/>
      <c r="I108" s="263"/>
    </row>
    <row r="109" spans="2:9" x14ac:dyDescent="0.25">
      <c r="B109" s="250"/>
      <c r="C109" s="250"/>
      <c r="D109" s="251"/>
      <c r="E109" s="251"/>
      <c r="F109" s="251"/>
      <c r="G109" s="251"/>
      <c r="H109" s="263"/>
      <c r="I109" s="263"/>
    </row>
    <row r="110" spans="2:9" x14ac:dyDescent="0.25">
      <c r="B110" s="250"/>
      <c r="C110" s="250"/>
      <c r="D110" s="251"/>
      <c r="E110" s="251"/>
      <c r="F110" s="251"/>
      <c r="G110" s="251"/>
      <c r="H110" s="263"/>
      <c r="I110" s="263"/>
    </row>
    <row r="111" spans="2:9" x14ac:dyDescent="0.25">
      <c r="B111" s="250"/>
      <c r="C111" s="250"/>
      <c r="D111" s="251"/>
      <c r="E111" s="251"/>
      <c r="F111" s="251"/>
      <c r="G111" s="251"/>
      <c r="H111" s="263"/>
      <c r="I111" s="263"/>
    </row>
  </sheetData>
  <conditionalFormatting sqref="O19:O39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F55:F57 H55:H57 J55:K57 I47:L51 L53:L55 F62:F64 H62:K64 H71:K74 F71:F73 K65">
    <cfRule type="expression" dxfId="473" priority="71">
      <formula>F31&gt;0</formula>
    </cfRule>
    <cfRule type="expression" dxfId="472" priority="72">
      <formula>F31&lt;0</formula>
    </cfRule>
  </conditionalFormatting>
  <conditionalFormatting sqref="H31:H33">
    <cfRule type="expression" dxfId="471" priority="69">
      <formula>H31&gt;0</formula>
    </cfRule>
    <cfRule type="expression" dxfId="470" priority="70">
      <formula>H31&lt;0</formula>
    </cfRule>
  </conditionalFormatting>
  <conditionalFormatting sqref="H34">
    <cfRule type="expression" dxfId="469" priority="67">
      <formula>H34&gt;0</formula>
    </cfRule>
    <cfRule type="expression" dxfId="468" priority="68">
      <formula>H34&lt;0</formula>
    </cfRule>
  </conditionalFormatting>
  <conditionalFormatting sqref="H35">
    <cfRule type="expression" dxfId="467" priority="65">
      <formula>H35&gt;0</formula>
    </cfRule>
    <cfRule type="expression" dxfId="466" priority="66">
      <formula>H35&lt;0</formula>
    </cfRule>
  </conditionalFormatting>
  <conditionalFormatting sqref="F27:F30">
    <cfRule type="expression" dxfId="465" priority="61">
      <formula>F27&gt;0</formula>
    </cfRule>
    <cfRule type="expression" dxfId="464" priority="62">
      <formula>F27&lt;0</formula>
    </cfRule>
  </conditionalFormatting>
  <conditionalFormatting sqref="H27:H30">
    <cfRule type="expression" dxfId="463" priority="59">
      <formula>H27&gt;0</formula>
    </cfRule>
    <cfRule type="expression" dxfId="462" priority="60">
      <formula>H27&lt;0</formula>
    </cfRule>
  </conditionalFormatting>
  <conditionalFormatting sqref="F36:F37">
    <cfRule type="expression" dxfId="461" priority="55">
      <formula>F36&gt;0</formula>
    </cfRule>
    <cfRule type="expression" dxfId="460" priority="56">
      <formula>F36&lt;0</formula>
    </cfRule>
  </conditionalFormatting>
  <conditionalFormatting sqref="I31:L33">
    <cfRule type="expression" dxfId="459" priority="53">
      <formula>I31&gt;0</formula>
    </cfRule>
    <cfRule type="expression" dxfId="458" priority="54">
      <formula>I31&lt;0</formula>
    </cfRule>
  </conditionalFormatting>
  <conditionalFormatting sqref="I40:I45 I37:L38">
    <cfRule type="expression" dxfId="457" priority="47">
      <formula>I37&gt;0</formula>
    </cfRule>
    <cfRule type="expression" dxfId="456" priority="48">
      <formula>I37&lt;0</formula>
    </cfRule>
  </conditionalFormatting>
  <conditionalFormatting sqref="I27:L30">
    <cfRule type="expression" dxfId="455" priority="45">
      <formula>I27&gt;0</formula>
    </cfRule>
    <cfRule type="expression" dxfId="454" priority="46">
      <formula>I27&lt;0</formula>
    </cfRule>
  </conditionalFormatting>
  <conditionalFormatting sqref="F38:F49">
    <cfRule type="expression" dxfId="453" priority="43">
      <formula>F38&gt;0</formula>
    </cfRule>
    <cfRule type="expression" dxfId="452" priority="44">
      <formula>F38&lt;0</formula>
    </cfRule>
  </conditionalFormatting>
  <conditionalFormatting sqref="Q8">
    <cfRule type="expression" dxfId="451" priority="39">
      <formula>Q8&gt;0</formula>
    </cfRule>
    <cfRule type="expression" dxfId="450" priority="40">
      <formula>Q8&lt;0</formula>
    </cfRule>
  </conditionalFormatting>
  <conditionalFormatting sqref="Q7">
    <cfRule type="expression" dxfId="449" priority="41">
      <formula>Q7&gt;0</formula>
    </cfRule>
    <cfRule type="expression" dxfId="448" priority="42">
      <formula>Q7&lt;0</formula>
    </cfRule>
  </conditionalFormatting>
  <conditionalFormatting sqref="F97:F101">
    <cfRule type="expression" dxfId="447" priority="37">
      <formula>F97&gt;0</formula>
    </cfRule>
    <cfRule type="expression" dxfId="446" priority="38">
      <formula>F97&lt;0</formula>
    </cfRule>
  </conditionalFormatting>
  <conditionalFormatting sqref="H97:H99">
    <cfRule type="expression" dxfId="445" priority="35">
      <formula>H97&gt;0</formula>
    </cfRule>
    <cfRule type="expression" dxfId="444" priority="36">
      <formula>H97&lt;0</formula>
    </cfRule>
  </conditionalFormatting>
  <conditionalFormatting sqref="H100">
    <cfRule type="expression" dxfId="443" priority="33">
      <formula>H100&gt;0</formula>
    </cfRule>
    <cfRule type="expression" dxfId="442" priority="34">
      <formula>H100&lt;0</formula>
    </cfRule>
  </conditionalFormatting>
  <conditionalFormatting sqref="H101">
    <cfRule type="expression" dxfId="441" priority="31">
      <formula>H101&gt;0</formula>
    </cfRule>
    <cfRule type="expression" dxfId="440" priority="32">
      <formula>H101&lt;0</formula>
    </cfRule>
  </conditionalFormatting>
  <conditionalFormatting sqref="H102:H111">
    <cfRule type="expression" dxfId="439" priority="29">
      <formula>H102&gt;0</formula>
    </cfRule>
    <cfRule type="expression" dxfId="438" priority="30">
      <formula>H102&lt;0</formula>
    </cfRule>
  </conditionalFormatting>
  <conditionalFormatting sqref="F93:F96">
    <cfRule type="expression" dxfId="437" priority="27">
      <formula>F93&gt;0</formula>
    </cfRule>
    <cfRule type="expression" dxfId="436" priority="28">
      <formula>F93&lt;0</formula>
    </cfRule>
  </conditionalFormatting>
  <conditionalFormatting sqref="H93:H96">
    <cfRule type="expression" dxfId="435" priority="25">
      <formula>H93&gt;0</formula>
    </cfRule>
    <cfRule type="expression" dxfId="434" priority="26">
      <formula>H93&lt;0</formula>
    </cfRule>
  </conditionalFormatting>
  <conditionalFormatting sqref="F102:F103">
    <cfRule type="expression" dxfId="433" priority="23">
      <formula>F102&gt;0</formula>
    </cfRule>
    <cfRule type="expression" dxfId="432" priority="24">
      <formula>F102&lt;0</formula>
    </cfRule>
  </conditionalFormatting>
  <conditionalFormatting sqref="I97:I99">
    <cfRule type="expression" dxfId="431" priority="21">
      <formula>I97&gt;0</formula>
    </cfRule>
    <cfRule type="expression" dxfId="430" priority="22">
      <formula>I97&lt;0</formula>
    </cfRule>
  </conditionalFormatting>
  <conditionalFormatting sqref="I100">
    <cfRule type="expression" dxfId="429" priority="19">
      <formula>I100&gt;0</formula>
    </cfRule>
    <cfRule type="expression" dxfId="428" priority="20">
      <formula>I100&lt;0</formula>
    </cfRule>
  </conditionalFormatting>
  <conditionalFormatting sqref="I101">
    <cfRule type="expression" dxfId="427" priority="17">
      <formula>I101&gt;0</formula>
    </cfRule>
    <cfRule type="expression" dxfId="426" priority="18">
      <formula>I101&lt;0</formula>
    </cfRule>
  </conditionalFormatting>
  <conditionalFormatting sqref="I102:I111">
    <cfRule type="expression" dxfId="425" priority="15">
      <formula>I102&gt;0</formula>
    </cfRule>
    <cfRule type="expression" dxfId="424" priority="16">
      <formula>I102&lt;0</formula>
    </cfRule>
  </conditionalFormatting>
  <conditionalFormatting sqref="I93:I96">
    <cfRule type="expression" dxfId="423" priority="13">
      <formula>I93&gt;0</formula>
    </cfRule>
    <cfRule type="expression" dxfId="422" priority="14">
      <formula>I93&lt;0</formula>
    </cfRule>
  </conditionalFormatting>
  <conditionalFormatting sqref="F104">
    <cfRule type="expression" dxfId="421" priority="11">
      <formula>F104&gt;0</formula>
    </cfRule>
    <cfRule type="expression" dxfId="420" priority="12">
      <formula>F104&lt;0</formula>
    </cfRule>
  </conditionalFormatting>
  <conditionalFormatting sqref="F52:F54 H53:H54 H52:L52">
    <cfRule type="expression" dxfId="419" priority="9">
      <formula>F52&gt;0</formula>
    </cfRule>
    <cfRule type="expression" dxfId="418" priority="10">
      <formula>F52&lt;0</formula>
    </cfRule>
  </conditionalFormatting>
  <conditionalFormatting sqref="R4">
    <cfRule type="expression" dxfId="417" priority="7">
      <formula>R4&gt;0</formula>
    </cfRule>
    <cfRule type="expression" dxfId="416" priority="8">
      <formula>R4&lt;0</formula>
    </cfRule>
  </conditionalFormatting>
  <conditionalFormatting sqref="F58:F61 H58:K61">
    <cfRule type="expression" dxfId="415" priority="5">
      <formula>F58&gt;0</formula>
    </cfRule>
    <cfRule type="expression" dxfId="414" priority="6">
      <formula>F58&lt;0</formula>
    </cfRule>
  </conditionalFormatting>
  <conditionalFormatting sqref="H66:K70 F65:F70 H65:J65">
    <cfRule type="expression" dxfId="413" priority="1">
      <formula>F65&gt;0</formula>
    </cfRule>
    <cfRule type="expression" dxfId="412" priority="2">
      <formula>F65&lt;0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67.31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67.31</v>
      </c>
      <c r="R4" s="475">
        <v>-1.1999999999999999E-3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207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207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74.041000000000011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73.367900000000006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72.694800000000001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72.02170000000001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71.348600000000005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70.6755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70.002400000000009</v>
      </c>
      <c r="Q49" s="33"/>
      <c r="R49" s="33"/>
      <c r="T49" s="91" t="s">
        <v>121</v>
      </c>
      <c r="U49" s="86" t="s">
        <v>472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69.329300000000003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68.656199999999998</v>
      </c>
      <c r="Q51" s="81"/>
      <c r="R51" s="33"/>
      <c r="T51" s="91" t="s">
        <v>104</v>
      </c>
      <c r="U51" s="86" t="s">
        <v>631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67.983100000000007</v>
      </c>
      <c r="Q52" s="81"/>
      <c r="R52" s="33"/>
      <c r="T52" s="91" t="s">
        <v>105</v>
      </c>
      <c r="U52" s="86" t="s">
        <v>500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67.31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66.636899999999997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65.963800000000006</v>
      </c>
      <c r="Q55" s="81"/>
      <c r="R55" s="33"/>
      <c r="T55" s="91" t="s">
        <v>107</v>
      </c>
      <c r="U55" s="86" t="s">
        <v>632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65.290700000000001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64.617599999999996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63.944499999999998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338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63.2714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62.598300000000009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61.925200000000004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61.252100000000006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60.579000000000001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11" priority="11">
      <formula>Q8&gt;0</formula>
    </cfRule>
    <cfRule type="expression" dxfId="410" priority="12">
      <formula>Q8&lt;0</formula>
    </cfRule>
  </conditionalFormatting>
  <conditionalFormatting sqref="Q7">
    <cfRule type="expression" dxfId="409" priority="13">
      <formula>Q7&gt;0</formula>
    </cfRule>
    <cfRule type="expression" dxfId="408" priority="14">
      <formula>Q7&lt;0</formula>
    </cfRule>
  </conditionalFormatting>
  <conditionalFormatting sqref="F22">
    <cfRule type="expression" dxfId="407" priority="9">
      <formula>F22&gt;0</formula>
    </cfRule>
    <cfRule type="expression" dxfId="406" priority="10">
      <formula>F22&lt;0</formula>
    </cfRule>
  </conditionalFormatting>
  <conditionalFormatting sqref="H22">
    <cfRule type="expression" dxfId="405" priority="7">
      <formula>H22&gt;0</formula>
    </cfRule>
    <cfRule type="expression" dxfId="404" priority="8">
      <formula>H22&lt;0</formula>
    </cfRule>
  </conditionalFormatting>
  <conditionalFormatting sqref="F59">
    <cfRule type="expression" dxfId="403" priority="5">
      <formula>F59&gt;0</formula>
    </cfRule>
    <cfRule type="expression" dxfId="402" priority="6">
      <formula>F59&lt;0</formula>
    </cfRule>
  </conditionalFormatting>
  <conditionalFormatting sqref="H59">
    <cfRule type="expression" dxfId="401" priority="3">
      <formula>H59&gt;0</formula>
    </cfRule>
    <cfRule type="expression" dxfId="400" priority="4">
      <formula>H59&lt;0</formula>
    </cfRule>
  </conditionalFormatting>
  <conditionalFormatting sqref="M30">
    <cfRule type="expression" dxfId="399" priority="1">
      <formula>M30&gt;0</formula>
    </cfRule>
    <cfRule type="expression" dxfId="39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93.36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93.36</v>
      </c>
      <c r="R4" s="475">
        <v>-2.5999999999999999E-3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208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207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450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51" t="s">
        <v>78</v>
      </c>
      <c r="P35" s="851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102.69600000000001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101.76240000000001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100.8288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99.895200000000003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207</v>
      </c>
      <c r="M40" s="2">
        <f>K56+M56-F56</f>
        <v>523.61999999999898</v>
      </c>
      <c r="O40" s="81">
        <v>1.06</v>
      </c>
      <c r="P40" s="81">
        <f t="shared" si="3"/>
        <v>98.961600000000004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98.028000000000006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97.094400000000007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96.160800000000009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95.227199999999996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94.293599999999998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93.36</v>
      </c>
      <c r="Q46" s="2"/>
      <c r="T46" s="111" t="s">
        <v>103</v>
      </c>
      <c r="U46" s="104" t="s">
        <v>392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92.426400000000001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91.492800000000003</v>
      </c>
      <c r="Q48" s="2"/>
      <c r="T48" s="111" t="s">
        <v>104</v>
      </c>
      <c r="U48" s="104" t="s">
        <v>633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90.55919999999999</v>
      </c>
      <c r="T49" s="111" t="s">
        <v>105</v>
      </c>
      <c r="U49" s="104" t="s">
        <v>509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89.625599999999991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88.691999999999993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87.758399999999995</v>
      </c>
      <c r="T52" s="111" t="s">
        <v>107</v>
      </c>
      <c r="U52" s="104" t="s">
        <v>634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86.82480000000001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85.891199999999998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84.957599999999999</v>
      </c>
      <c r="T55" s="111" t="s">
        <v>108</v>
      </c>
      <c r="U55" s="104" t="s">
        <v>547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84.024000000000001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7" priority="19">
      <formula>F27&gt;0</formula>
    </cfRule>
    <cfRule type="expression" dxfId="396" priority="20">
      <formula>F27&lt;0</formula>
    </cfRule>
  </conditionalFormatting>
  <conditionalFormatting sqref="F37:F38">
    <cfRule type="expression" dxfId="395" priority="17">
      <formula>F37&gt;0</formula>
    </cfRule>
    <cfRule type="expression" dxfId="394" priority="18">
      <formula>F37&lt;0</formula>
    </cfRule>
  </conditionalFormatting>
  <conditionalFormatting sqref="H27:H32">
    <cfRule type="expression" dxfId="393" priority="15">
      <formula>H27&gt;0</formula>
    </cfRule>
    <cfRule type="expression" dxfId="392" priority="16">
      <formula>H27&lt;0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conditionalFormatting sqref="Q8">
    <cfRule type="expression" dxfId="389" priority="1">
      <formula>Q8&gt;0</formula>
    </cfRule>
    <cfRule type="expression" dxfId="38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158.71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158.71</v>
      </c>
      <c r="R4" s="475">
        <v>0.01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208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207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174.58100000000002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172.99390000000002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171.40680000000003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169.81970000000001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168.23260000000002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166.64550000000003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165.05840000000001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163.47130000000001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161.88420000000002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160.2971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158.71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157.12290000000002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155.53579999999999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153.9487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152.36160000000001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150.77449999999999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149.1874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147.6003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146.01320000000001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144.42610000000002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142.839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87" priority="25">
      <formula>F24&gt;0</formula>
    </cfRule>
    <cfRule type="expression" dxfId="386" priority="26">
      <formula>F24&lt;0</formula>
    </cfRule>
  </conditionalFormatting>
  <conditionalFormatting sqref="H21:H27">
    <cfRule type="expression" dxfId="385" priority="19">
      <formula>H21&gt;0</formula>
    </cfRule>
    <cfRule type="expression" dxfId="384" priority="20">
      <formula>H21&lt;0</formula>
    </cfRule>
  </conditionalFormatting>
  <conditionalFormatting sqref="F21:F23">
    <cfRule type="expression" dxfId="383" priority="5">
      <formula>F21&gt;0</formula>
    </cfRule>
    <cfRule type="expression" dxfId="382" priority="6">
      <formula>F21&lt;0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250.56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250.56</v>
      </c>
      <c r="R4" s="475">
        <v>1.2699999999999999E-2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207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320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207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7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7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7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8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51" t="s">
        <v>78</v>
      </c>
      <c r="P41" s="851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275.61600000000004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273.11040000000003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270.60480000000001</v>
      </c>
      <c r="Q44" s="2"/>
      <c r="T44" s="132" t="s">
        <v>99</v>
      </c>
      <c r="U44" s="86" t="s">
        <v>635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268.0992</v>
      </c>
      <c r="Q45" s="2"/>
      <c r="T45" s="132" t="s">
        <v>100</v>
      </c>
      <c r="U45" s="86" t="s">
        <v>636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265.59360000000004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263.08800000000002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260.58240000000001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258.07679999999999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255.5712</v>
      </c>
      <c r="Q50" s="2"/>
      <c r="T50" s="132" t="s">
        <v>104</v>
      </c>
      <c r="U50" s="86" t="s">
        <v>637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253.06560000000002</v>
      </c>
      <c r="Q51" s="2"/>
      <c r="T51" s="132" t="s">
        <v>105</v>
      </c>
      <c r="U51" s="86" t="s">
        <v>496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250.56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248.05439999999999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245.5488</v>
      </c>
      <c r="Q54" s="2"/>
      <c r="T54" s="132" t="s">
        <v>107</v>
      </c>
      <c r="U54" s="86" t="s">
        <v>638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243.04319999999998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240.5376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238.03199999999998</v>
      </c>
      <c r="T57" s="132" t="s">
        <v>108</v>
      </c>
      <c r="U57" s="86" t="s">
        <v>548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235.5264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233.02080000000001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230.51520000000002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228.00960000000001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225.50400000000002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7" priority="11">
      <formula>F21&gt;0</formula>
    </cfRule>
    <cfRule type="expression" dxfId="376" priority="12">
      <formula>F21&lt;0</formula>
    </cfRule>
  </conditionalFormatting>
  <conditionalFormatting sqref="H21:H23">
    <cfRule type="expression" dxfId="375" priority="9">
      <formula>H21&gt;0</formula>
    </cfRule>
    <cfRule type="expression" dxfId="374" priority="10">
      <formula>H21&lt;0</formula>
    </cfRule>
  </conditionalFormatting>
  <conditionalFormatting sqref="Q8">
    <cfRule type="expression" dxfId="373" priority="1">
      <formula>Q8&gt;0</formula>
    </cfRule>
    <cfRule type="expression" dxfId="372" priority="2">
      <formula>Q8&lt;0</formula>
    </cfRule>
  </conditionalFormatting>
  <conditionalFormatting sqref="Q7">
    <cfRule type="expression" dxfId="371" priority="3">
      <formula>Q7&gt;0</formula>
    </cfRule>
    <cfRule type="expression" dxfId="37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242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71.3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71.3</v>
      </c>
      <c r="R4" s="475">
        <v>-6.7999999999999996E-3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208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207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51" t="s">
        <v>78</v>
      </c>
      <c r="P40" s="851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78.430000000000007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77.716999999999999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77.004000000000005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76.290999999999997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75.578000000000003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74.864999999999995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74.152000000000001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73.438999999999993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72.725999999999999</v>
      </c>
      <c r="Q49" s="2"/>
      <c r="T49" s="91" t="s">
        <v>121</v>
      </c>
      <c r="U49" s="86" t="s">
        <v>341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72.012999999999991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71.3</v>
      </c>
      <c r="Q51" s="2"/>
      <c r="T51" s="91" t="s">
        <v>104</v>
      </c>
      <c r="U51" s="86" t="s">
        <v>667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70.587000000000003</v>
      </c>
      <c r="Q52" s="2"/>
      <c r="T52" s="91" t="s">
        <v>105</v>
      </c>
      <c r="U52" s="86" t="s">
        <v>321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69.873999999999995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69.161000000000001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68.447999999999993</v>
      </c>
      <c r="T55" s="91" t="s">
        <v>107</v>
      </c>
      <c r="U55" s="86" t="s">
        <v>668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67.734999999999999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67.021999999999991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66.308999999999997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65.596000000000004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64.882999999999996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64.17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9" priority="15">
      <formula>F29&gt;0</formula>
    </cfRule>
    <cfRule type="expression" dxfId="368" priority="16">
      <formula>F29&lt;0</formula>
    </cfRule>
  </conditionalFormatting>
  <conditionalFormatting sqref="F34:F62">
    <cfRule type="expression" dxfId="367" priority="11">
      <formula>F34&gt;0</formula>
    </cfRule>
    <cfRule type="expression" dxfId="366" priority="12">
      <formula>F34&lt;0</formula>
    </cfRule>
  </conditionalFormatting>
  <conditionalFormatting sqref="F34:F62">
    <cfRule type="expression" dxfId="365" priority="13">
      <formula>F34&gt;0</formula>
    </cfRule>
    <cfRule type="expression" dxfId="364" priority="14">
      <formula>F34&lt;0</formula>
    </cfRule>
  </conditionalFormatting>
  <conditionalFormatting sqref="H29:H62">
    <cfRule type="expression" dxfId="363" priority="9">
      <formula>H29&gt;0</formula>
    </cfRule>
    <cfRule type="expression" dxfId="362" priority="10">
      <formula>H29&lt;0</formula>
    </cfRule>
  </conditionalFormatting>
  <conditionalFormatting sqref="F25:F28">
    <cfRule type="expression" dxfId="361" priority="7">
      <formula>F25&gt;0</formula>
    </cfRule>
    <cfRule type="expression" dxfId="360" priority="8">
      <formula>F25&lt;0</formula>
    </cfRule>
  </conditionalFormatting>
  <conditionalFormatting sqref="H25:H28">
    <cfRule type="expression" dxfId="359" priority="5">
      <formula>H25&gt;0</formula>
    </cfRule>
    <cfRule type="expression" dxfId="358" priority="6">
      <formula>H25&lt;0</formula>
    </cfRule>
  </conditionalFormatting>
  <conditionalFormatting sqref="Q7">
    <cfRule type="expression" dxfId="357" priority="3">
      <formula>Q7&gt;0</formula>
    </cfRule>
    <cfRule type="expression" dxfId="356" priority="4">
      <formula>Q7&lt;0</formula>
    </cfRule>
  </conditionalFormatting>
  <conditionalFormatting sqref="Q8">
    <cfRule type="expression" dxfId="355" priority="1">
      <formula>Q8&gt;0</formula>
    </cfRule>
    <cfRule type="expression" dxfId="35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50.17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50.17</v>
      </c>
      <c r="R4" s="492">
        <v>-1.8E-3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226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207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55.187000000000005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54.685300000000005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54.183600000000006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53.681900000000006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53.180200000000006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52.678500000000007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52.1768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51.6751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51.173400000000001</v>
      </c>
      <c r="Q49" s="2"/>
      <c r="T49" s="91" t="s">
        <v>103</v>
      </c>
      <c r="U49" s="86" t="s">
        <v>639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50.671700000000001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50.17</v>
      </c>
      <c r="Q51" s="2"/>
      <c r="T51" s="91" t="s">
        <v>104</v>
      </c>
      <c r="U51" s="86" t="s">
        <v>640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49.668300000000002</v>
      </c>
      <c r="Q52" s="2"/>
      <c r="T52" s="91" t="s">
        <v>105</v>
      </c>
      <c r="U52" s="86" t="s">
        <v>326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49.166600000000003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48.664900000000003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48.163200000000003</v>
      </c>
      <c r="T55" s="91" t="s">
        <v>107</v>
      </c>
      <c r="U55" s="86" t="s">
        <v>641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47.661499999999997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47.159799999999997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46.658100000000005</v>
      </c>
      <c r="T58" s="91" t="s">
        <v>108</v>
      </c>
      <c r="U58" s="86" t="s">
        <v>549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46.156400000000005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45.654700000000005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45.153000000000006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333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363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396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401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436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53" priority="73">
      <formula>F25&gt;0</formula>
    </cfRule>
    <cfRule type="expression" dxfId="352" priority="74">
      <formula>F25&lt;0</formula>
    </cfRule>
  </conditionalFormatting>
  <conditionalFormatting sqref="F57:F64 F66">
    <cfRule type="expression" dxfId="351" priority="69">
      <formula>F57&gt;0</formula>
    </cfRule>
    <cfRule type="expression" dxfId="350" priority="70">
      <formula>F57&lt;0</formula>
    </cfRule>
  </conditionalFormatting>
  <conditionalFormatting sqref="F57:F64 F66">
    <cfRule type="expression" dxfId="349" priority="71">
      <formula>F57&gt;0</formula>
    </cfRule>
    <cfRule type="expression" dxfId="348" priority="72">
      <formula>F57&lt;0</formula>
    </cfRule>
  </conditionalFormatting>
  <conditionalFormatting sqref="H57:H64 H66">
    <cfRule type="expression" dxfId="347" priority="67">
      <formula>H57&gt;0</formula>
    </cfRule>
    <cfRule type="expression" dxfId="346" priority="68">
      <formula>H57&lt;0</formula>
    </cfRule>
  </conditionalFormatting>
  <conditionalFormatting sqref="Q7">
    <cfRule type="expression" dxfId="345" priority="49">
      <formula>Q7&gt;0</formula>
    </cfRule>
    <cfRule type="expression" dxfId="344" priority="50">
      <formula>Q7&lt;0</formula>
    </cfRule>
  </conditionalFormatting>
  <conditionalFormatting sqref="Q8">
    <cfRule type="expression" dxfId="343" priority="47">
      <formula>Q8&gt;0</formula>
    </cfRule>
    <cfRule type="expression" dxfId="342" priority="48">
      <formula>Q8&lt;0</formula>
    </cfRule>
  </conditionalFormatting>
  <conditionalFormatting sqref="F24">
    <cfRule type="expression" dxfId="341" priority="33">
      <formula>F24&gt;0</formula>
    </cfRule>
    <cfRule type="expression" dxfId="340" priority="34">
      <formula>F24&lt;0</formula>
    </cfRule>
  </conditionalFormatting>
  <conditionalFormatting sqref="H24">
    <cfRule type="expression" dxfId="339" priority="31">
      <formula>H24&gt;0</formula>
    </cfRule>
    <cfRule type="expression" dxfId="338" priority="32">
      <formula>H24&lt;0</formula>
    </cfRule>
  </conditionalFormatting>
  <conditionalFormatting sqref="M67">
    <cfRule type="expression" dxfId="337" priority="29">
      <formula>M67&gt;0</formula>
    </cfRule>
    <cfRule type="expression" dxfId="336" priority="30">
      <formula>M67&lt;0</formula>
    </cfRule>
  </conditionalFormatting>
  <conditionalFormatting sqref="F65">
    <cfRule type="expression" dxfId="335" priority="25">
      <formula>F65&gt;0</formula>
    </cfRule>
    <cfRule type="expression" dxfId="334" priority="26">
      <formula>F65&lt;0</formula>
    </cfRule>
  </conditionalFormatting>
  <conditionalFormatting sqref="F65">
    <cfRule type="expression" dxfId="333" priority="27">
      <formula>F65&gt;0</formula>
    </cfRule>
    <cfRule type="expression" dxfId="332" priority="28">
      <formula>F65&lt;0</formula>
    </cfRule>
  </conditionalFormatting>
  <conditionalFormatting sqref="H65">
    <cfRule type="expression" dxfId="331" priority="23">
      <formula>H65&gt;0</formula>
    </cfRule>
    <cfRule type="expression" dxfId="330" priority="24">
      <formula>H65&lt;0</formula>
    </cfRule>
  </conditionalFormatting>
  <conditionalFormatting sqref="F93:F97 H93:H97 H99:H124 F99:F124">
    <cfRule type="expression" dxfId="329" priority="19">
      <formula>F93&gt;0</formula>
    </cfRule>
    <cfRule type="expression" dxfId="328" priority="20">
      <formula>F93&lt;0</formula>
    </cfRule>
  </conditionalFormatting>
  <conditionalFormatting sqref="F125:F132 F134">
    <cfRule type="expression" dxfId="327" priority="15">
      <formula>F125&gt;0</formula>
    </cfRule>
    <cfRule type="expression" dxfId="326" priority="16">
      <formula>F125&lt;0</formula>
    </cfRule>
  </conditionalFormatting>
  <conditionalFormatting sqref="F125:F132 F134">
    <cfRule type="expression" dxfId="325" priority="17">
      <formula>F125&gt;0</formula>
    </cfRule>
    <cfRule type="expression" dxfId="324" priority="18">
      <formula>F125&lt;0</formula>
    </cfRule>
  </conditionalFormatting>
  <conditionalFormatting sqref="H125:H132 H134">
    <cfRule type="expression" dxfId="323" priority="13">
      <formula>H125&gt;0</formula>
    </cfRule>
    <cfRule type="expression" dxfId="322" priority="14">
      <formula>H125&lt;0</formula>
    </cfRule>
  </conditionalFormatting>
  <conditionalFormatting sqref="F92">
    <cfRule type="expression" dxfId="321" priority="11">
      <formula>F92&gt;0</formula>
    </cfRule>
    <cfRule type="expression" dxfId="320" priority="12">
      <formula>F92&lt;0</formula>
    </cfRule>
  </conditionalFormatting>
  <conditionalFormatting sqref="H92">
    <cfRule type="expression" dxfId="319" priority="9">
      <formula>H92&gt;0</formula>
    </cfRule>
    <cfRule type="expression" dxfId="318" priority="10">
      <formula>H92&lt;0</formula>
    </cfRule>
  </conditionalFormatting>
  <conditionalFormatting sqref="F133">
    <cfRule type="expression" dxfId="317" priority="5">
      <formula>F133&gt;0</formula>
    </cfRule>
    <cfRule type="expression" dxfId="316" priority="6">
      <formula>F133&lt;0</formula>
    </cfRule>
  </conditionalFormatting>
  <conditionalFormatting sqref="F133">
    <cfRule type="expression" dxfId="315" priority="7">
      <formula>F133&gt;0</formula>
    </cfRule>
    <cfRule type="expression" dxfId="314" priority="8">
      <formula>F133&lt;0</formula>
    </cfRule>
  </conditionalFormatting>
  <conditionalFormatting sqref="H133">
    <cfRule type="expression" dxfId="313" priority="3">
      <formula>H133&gt;0</formula>
    </cfRule>
    <cfRule type="expression" dxfId="312" priority="4">
      <formula>H133&lt;0</formula>
    </cfRule>
  </conditionalFormatting>
  <conditionalFormatting sqref="F98 H98">
    <cfRule type="expression" dxfId="311" priority="1">
      <formula>F98&gt;0</formula>
    </cfRule>
    <cfRule type="expression" dxfId="31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11" activePane="bottomLeft" state="frozen"/>
      <selection activeCell="A2" sqref="A2"/>
      <selection pane="bottomLeft" activeCell="J15" sqref="J15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200</v>
      </c>
      <c r="T2" s="1" t="s">
        <v>199</v>
      </c>
    </row>
    <row r="3" spans="1:21" x14ac:dyDescent="0.25">
      <c r="A3" s="22" t="s">
        <v>71</v>
      </c>
      <c r="B3" s="434">
        <v>43229</v>
      </c>
      <c r="C3" s="4">
        <v>50</v>
      </c>
      <c r="D3" s="3">
        <v>51.55</v>
      </c>
      <c r="E3" s="3">
        <v>0</v>
      </c>
      <c r="F3" s="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46.710799999999999</v>
      </c>
      <c r="T3" s="29">
        <v>42565</v>
      </c>
      <c r="U3" t="s">
        <v>232</v>
      </c>
    </row>
    <row r="4" spans="1:21" x14ac:dyDescent="0.25">
      <c r="B4" s="72">
        <v>43229</v>
      </c>
      <c r="C4" s="4">
        <v>50</v>
      </c>
      <c r="D4" s="3">
        <v>51.55</v>
      </c>
      <c r="E4" s="3">
        <v>0</v>
      </c>
      <c r="F4" s="3">
        <f t="shared" si="0"/>
        <v>2577.5</v>
      </c>
      <c r="G4" s="72"/>
      <c r="H4" s="176"/>
      <c r="I4" s="3"/>
      <c r="J4" s="3"/>
      <c r="K4" s="3"/>
      <c r="L4" s="4"/>
      <c r="M4" s="4"/>
      <c r="O4" s="11" t="s">
        <v>66</v>
      </c>
      <c r="Q4" s="192">
        <v>50.67</v>
      </c>
      <c r="R4" s="494">
        <v>-2E-3</v>
      </c>
      <c r="T4" s="29">
        <v>42568</v>
      </c>
      <c r="U4" t="s">
        <v>241</v>
      </c>
    </row>
    <row r="5" spans="1:21" x14ac:dyDescent="0.25">
      <c r="B5" s="47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10134</v>
      </c>
      <c r="T5" s="29">
        <v>42592</v>
      </c>
      <c r="U5" t="s">
        <v>259</v>
      </c>
    </row>
    <row r="6" spans="1:21" x14ac:dyDescent="0.25">
      <c r="B6" s="474">
        <v>43279</v>
      </c>
      <c r="C6" s="4">
        <v>50</v>
      </c>
      <c r="D6" s="3">
        <v>49.08</v>
      </c>
      <c r="E6" s="3">
        <v>0</v>
      </c>
      <c r="F6" s="3">
        <f t="shared" si="0"/>
        <v>2454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9342.16</v>
      </c>
      <c r="T6" s="29">
        <v>42647</v>
      </c>
      <c r="U6" t="s">
        <v>263</v>
      </c>
    </row>
    <row r="7" spans="1:21" x14ac:dyDescent="0.25">
      <c r="B7" s="474">
        <v>43292</v>
      </c>
      <c r="C7" s="4">
        <v>50</v>
      </c>
      <c r="D7" s="3">
        <v>49.02</v>
      </c>
      <c r="E7" s="3">
        <v>0</v>
      </c>
      <c r="F7" s="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1990.3099999999972</v>
      </c>
      <c r="R7">
        <v>50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791.84000000000015</v>
      </c>
      <c r="R8" s="411"/>
      <c r="T8" s="29">
        <v>43202</v>
      </c>
      <c r="U8" t="s">
        <v>998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208</v>
      </c>
      <c r="Q9" s="134">
        <f>IF(Q2=0, 0, Q8/Q6)</f>
        <v>8.4759841407126418E-2</v>
      </c>
      <c r="T9" s="29"/>
      <c r="U9" s="475" t="s">
        <v>999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207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2.4077363331359777E-2</v>
      </c>
      <c r="R11">
        <f>0.305</f>
        <v>0.30499999999999999</v>
      </c>
      <c r="T11" s="29">
        <v>43257</v>
      </c>
      <c r="U11" t="s">
        <v>1121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995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973</v>
      </c>
      <c r="Q13" s="2">
        <f>Q4/(5.35+5.7)*2</f>
        <v>9.1710407239818998</v>
      </c>
      <c r="T13" s="29">
        <v>43288</v>
      </c>
      <c r="U13" t="s">
        <v>1176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1178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1177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1179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1180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1182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1203</v>
      </c>
    </row>
    <row r="23" spans="1:21" x14ac:dyDescent="0.25">
      <c r="T23" s="156">
        <v>43298</v>
      </c>
      <c r="U23" t="s">
        <v>1181</v>
      </c>
    </row>
    <row r="24" spans="1:21" x14ac:dyDescent="0.25">
      <c r="T24" s="67"/>
    </row>
    <row r="25" spans="1:21" x14ac:dyDescent="0.25">
      <c r="T25" s="156">
        <v>43307</v>
      </c>
      <c r="U25" t="s">
        <v>1211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150</v>
      </c>
      <c r="I29" s="18"/>
      <c r="J29" s="18"/>
      <c r="K29" s="18">
        <f>SUM(K2:K28)</f>
        <v>8108.84</v>
      </c>
      <c r="L29" s="14"/>
      <c r="M29" s="18">
        <f>SUM(M2:M28)</f>
        <v>61</v>
      </c>
    </row>
    <row r="30" spans="1:21" ht="15.75" thickBot="1" x14ac:dyDescent="0.3">
      <c r="A30" s="341" t="s">
        <v>193</v>
      </c>
      <c r="B30" s="342"/>
      <c r="C30" s="343">
        <f>SumByColor($A$30,C2:C28)</f>
        <v>150</v>
      </c>
      <c r="D30" s="343"/>
      <c r="E30" s="343"/>
      <c r="F30" s="344">
        <f>SumByColor($A$30,F2:F28)</f>
        <v>7452</v>
      </c>
      <c r="G30" s="343"/>
      <c r="H30" s="343">
        <f>SumByColor($A$30,H3:H28)</f>
        <v>50</v>
      </c>
      <c r="I30" s="343"/>
      <c r="J30" s="343"/>
      <c r="K30" s="344">
        <f>SumByColor($A$30,K3:K28)</f>
        <v>2531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49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49" si="2">D42*C42</f>
        <v>4474.1000000000004</v>
      </c>
      <c r="H42" s="222">
        <f t="shared" ref="H42:H49" si="3">(E42-D42)/D42</f>
        <v>0.21633401130953717</v>
      </c>
      <c r="I42" s="39"/>
      <c r="J42" s="39">
        <v>2166</v>
      </c>
      <c r="O42" s="851" t="s">
        <v>78</v>
      </c>
      <c r="P42" s="851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55.737000000000009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55.230300000000007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54.723600000000005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54.216900000000003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53.710200000000007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53.203500000000005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52.696800000000003</v>
      </c>
      <c r="Q49" s="2"/>
    </row>
    <row r="50" spans="1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4"/>
        <v>52.190100000000001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51.683400000000006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4"/>
        <v>51.176700000000004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4"/>
        <v>50.67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50.1633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49.656599999999997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49.149900000000002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48.6432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48.136499999999998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47.629799999999996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47.123100000000001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46.616400000000006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46.109700000000004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45.603000000000002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207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260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09" priority="61">
      <formula>F45&gt;0</formula>
    </cfRule>
    <cfRule type="expression" dxfId="30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07" priority="63">
      <formula>F44&gt;0</formula>
    </cfRule>
    <cfRule type="expression" dxfId="306" priority="64">
      <formula>F44&lt;0</formula>
    </cfRule>
  </conditionalFormatting>
  <conditionalFormatting sqref="F61:F91 F93:F102 F45:F59">
    <cfRule type="expression" dxfId="305" priority="59">
      <formula>F45&gt;0</formula>
    </cfRule>
    <cfRule type="expression" dxfId="304" priority="60">
      <formula>F45&lt;0</formula>
    </cfRule>
  </conditionalFormatting>
  <conditionalFormatting sqref="H43:H59 H61:H91 H93:H102">
    <cfRule type="expression" dxfId="303" priority="57">
      <formula>H43&gt;0</formula>
    </cfRule>
    <cfRule type="expression" dxfId="302" priority="58">
      <formula>H43&lt;0</formula>
    </cfRule>
  </conditionalFormatting>
  <conditionalFormatting sqref="F36:F43">
    <cfRule type="expression" dxfId="301" priority="55">
      <formula>F36&gt;0</formula>
    </cfRule>
    <cfRule type="expression" dxfId="300" priority="56">
      <formula>F36&lt;0</formula>
    </cfRule>
  </conditionalFormatting>
  <conditionalFormatting sqref="H36:H42">
    <cfRule type="expression" dxfId="299" priority="53">
      <formula>H36&gt;0</formula>
    </cfRule>
    <cfRule type="expression" dxfId="298" priority="54">
      <formula>H36&lt;0</formula>
    </cfRule>
  </conditionalFormatting>
  <conditionalFormatting sqref="Q7">
    <cfRule type="expression" dxfId="297" priority="47">
      <formula>Q7&gt;0</formula>
    </cfRule>
    <cfRule type="expression" dxfId="296" priority="48">
      <formula>Q7&lt;0</formula>
    </cfRule>
  </conditionalFormatting>
  <conditionalFormatting sqref="Q8">
    <cfRule type="expression" dxfId="295" priority="45">
      <formula>Q8&gt;0</formula>
    </cfRule>
    <cfRule type="expression" dxfId="294" priority="46">
      <formula>Q8&lt;0</formula>
    </cfRule>
  </conditionalFormatting>
  <conditionalFormatting sqref="Q10">
    <cfRule type="expression" dxfId="293" priority="43">
      <formula>Q10&gt;0</formula>
    </cfRule>
    <cfRule type="expression" dxfId="292" priority="44">
      <formula>Q10&lt;0</formula>
    </cfRule>
  </conditionalFormatting>
  <conditionalFormatting sqref="F60">
    <cfRule type="expression" dxfId="291" priority="41">
      <formula>F60&gt;0</formula>
    </cfRule>
    <cfRule type="expression" dxfId="290" priority="42">
      <formula>F60&lt;0</formula>
    </cfRule>
  </conditionalFormatting>
  <conditionalFormatting sqref="F60">
    <cfRule type="expression" dxfId="289" priority="39">
      <formula>F60&gt;0</formula>
    </cfRule>
    <cfRule type="expression" dxfId="288" priority="40">
      <formula>F60&lt;0</formula>
    </cfRule>
  </conditionalFormatting>
  <conditionalFormatting sqref="H60">
    <cfRule type="expression" dxfId="287" priority="37">
      <formula>H60&gt;0</formula>
    </cfRule>
    <cfRule type="expression" dxfId="286" priority="38">
      <formula>H60&lt;0</formula>
    </cfRule>
  </conditionalFormatting>
  <conditionalFormatting sqref="F92">
    <cfRule type="expression" dxfId="285" priority="35">
      <formula>F92&gt;0</formula>
    </cfRule>
    <cfRule type="expression" dxfId="284" priority="36">
      <formula>F92&lt;0</formula>
    </cfRule>
  </conditionalFormatting>
  <conditionalFormatting sqref="F92">
    <cfRule type="expression" dxfId="283" priority="33">
      <formula>F92&gt;0</formula>
    </cfRule>
    <cfRule type="expression" dxfId="282" priority="34">
      <formula>F92&lt;0</formula>
    </cfRule>
  </conditionalFormatting>
  <conditionalFormatting sqref="H92">
    <cfRule type="expression" dxfId="281" priority="31">
      <formula>H92&gt;0</formula>
    </cfRule>
    <cfRule type="expression" dxfId="280" priority="32">
      <formula>H92&lt;0</formula>
    </cfRule>
  </conditionalFormatting>
  <conditionalFormatting sqref="F169:F183 F185:F215 F217:F226">
    <cfRule type="expression" dxfId="279" priority="27">
      <formula>F169&gt;0</formula>
    </cfRule>
    <cfRule type="expression" dxfId="278" priority="28">
      <formula>F169&lt;0</formula>
    </cfRule>
  </conditionalFormatting>
  <conditionalFormatting sqref="F164:F168">
    <cfRule type="expression" dxfId="277" priority="29">
      <formula>F164&gt;0</formula>
    </cfRule>
    <cfRule type="expression" dxfId="276" priority="30">
      <formula>F164&lt;0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H164:H183 H185:H215 H217:H226">
    <cfRule type="expression" dxfId="273" priority="23">
      <formula>H164&gt;0</formula>
    </cfRule>
    <cfRule type="expression" dxfId="272" priority="24">
      <formula>H164&lt;0</formula>
    </cfRule>
  </conditionalFormatting>
  <conditionalFormatting sqref="F160:F163">
    <cfRule type="expression" dxfId="271" priority="21">
      <formula>F160&gt;0</formula>
    </cfRule>
    <cfRule type="expression" dxfId="270" priority="22">
      <formula>F160&lt;0</formula>
    </cfRule>
  </conditionalFormatting>
  <conditionalFormatting sqref="H160:H163">
    <cfRule type="expression" dxfId="269" priority="19">
      <formula>H160&gt;0</formula>
    </cfRule>
    <cfRule type="expression" dxfId="268" priority="20">
      <formula>H160&lt;0</formula>
    </cfRule>
  </conditionalFormatting>
  <conditionalFormatting sqref="F184">
    <cfRule type="expression" dxfId="267" priority="17">
      <formula>F184&gt;0</formula>
    </cfRule>
    <cfRule type="expression" dxfId="266" priority="18">
      <formula>F184&lt;0</formula>
    </cfRule>
  </conditionalFormatting>
  <conditionalFormatting sqref="F184">
    <cfRule type="expression" dxfId="265" priority="15">
      <formula>F184&gt;0</formula>
    </cfRule>
    <cfRule type="expression" dxfId="264" priority="16">
      <formula>F184&lt;0</formula>
    </cfRule>
  </conditionalFormatting>
  <conditionalFormatting sqref="H184">
    <cfRule type="expression" dxfId="263" priority="13">
      <formula>H184&gt;0</formula>
    </cfRule>
    <cfRule type="expression" dxfId="262" priority="14">
      <formula>H184&lt;0</formula>
    </cfRule>
  </conditionalFormatting>
  <conditionalFormatting sqref="F216">
    <cfRule type="expression" dxfId="261" priority="11">
      <formula>F216&gt;0</formula>
    </cfRule>
    <cfRule type="expression" dxfId="260" priority="12">
      <formula>F216&lt;0</formula>
    </cfRule>
  </conditionalFormatting>
  <conditionalFormatting sqref="F216">
    <cfRule type="expression" dxfId="259" priority="9">
      <formula>F216&gt;0</formula>
    </cfRule>
    <cfRule type="expression" dxfId="258" priority="10">
      <formula>F216&lt;0</formula>
    </cfRule>
  </conditionalFormatting>
  <conditionalFormatting sqref="H216">
    <cfRule type="expression" dxfId="257" priority="7">
      <formula>H216&gt;0</formula>
    </cfRule>
    <cfRule type="expression" dxfId="256" priority="8">
      <formula>H216&lt;0</formula>
    </cfRule>
  </conditionalFormatting>
  <conditionalFormatting sqref="J38:J39">
    <cfRule type="expression" dxfId="255" priority="5">
      <formula>J38&gt;0</formula>
    </cfRule>
    <cfRule type="expression" dxfId="254" priority="6">
      <formula>J38&lt;0</formula>
    </cfRule>
  </conditionalFormatting>
  <conditionalFormatting sqref="J41:J51">
    <cfRule type="expression" dxfId="253" priority="3">
      <formula>J41&gt;0</formula>
    </cfRule>
    <cfRule type="expression" dxfId="25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329</v>
      </c>
      <c r="B2" s="434">
        <v>43116</v>
      </c>
      <c r="C2" s="7">
        <v>100</v>
      </c>
      <c r="D2" s="43">
        <v>21.28</v>
      </c>
      <c r="E2" s="43">
        <v>0</v>
      </c>
      <c r="F2" s="4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0</v>
      </c>
      <c r="T2" s="1">
        <v>43080</v>
      </c>
      <c r="U2" t="s">
        <v>771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24.14</v>
      </c>
      <c r="T3" s="1">
        <v>43088</v>
      </c>
      <c r="U3" t="s">
        <v>776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24.14</v>
      </c>
      <c r="R4" s="475">
        <v>-4.4999999999999997E-3</v>
      </c>
      <c r="U4" t="s">
        <v>777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0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1211.7400000000052</v>
      </c>
      <c r="R7">
        <v>0</v>
      </c>
      <c r="T7" s="1">
        <v>43103</v>
      </c>
      <c r="U7" t="s">
        <v>841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926.77000000000044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U9" t="s">
        <v>930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207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992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946</v>
      </c>
      <c r="T12" s="1">
        <v>43223</v>
      </c>
      <c r="U12" t="s">
        <v>1049</v>
      </c>
    </row>
    <row r="13" spans="1:29" x14ac:dyDescent="0.25">
      <c r="O13" s="11" t="s">
        <v>973</v>
      </c>
      <c r="Q13" s="2">
        <f>Q4/2.45</f>
        <v>9.8530612244897959</v>
      </c>
      <c r="U13" t="s">
        <v>1051</v>
      </c>
    </row>
    <row r="15" spans="1:29" x14ac:dyDescent="0.25">
      <c r="T15" s="1">
        <v>43224</v>
      </c>
      <c r="U15" t="s">
        <v>1055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26.554000000000002</v>
      </c>
      <c r="T17" s="1">
        <v>43235</v>
      </c>
      <c r="U17" t="s">
        <v>1080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26.312600000000003</v>
      </c>
      <c r="U18" t="s">
        <v>1081</v>
      </c>
    </row>
    <row r="19" spans="1:21" x14ac:dyDescent="0.25">
      <c r="O19" s="81">
        <v>1.08</v>
      </c>
      <c r="P19" s="81">
        <f t="shared" si="0"/>
        <v>26.071200000000001</v>
      </c>
    </row>
    <row r="20" spans="1:21" x14ac:dyDescent="0.25">
      <c r="A20" s="182" t="s">
        <v>229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497</v>
      </c>
      <c r="O20" s="81">
        <v>1.07</v>
      </c>
      <c r="P20" s="81">
        <f t="shared" si="0"/>
        <v>25.829800000000002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25.588400000000004</v>
      </c>
      <c r="T21" s="156">
        <v>43314</v>
      </c>
      <c r="U21" t="s">
        <v>82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25.347000000000001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25.105600000000003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24.8642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24.622800000000002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24.381399999999999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24.14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35" si="4">C28*(E28-D28)</f>
        <v>-982.99999999999977</v>
      </c>
      <c r="G28" s="39">
        <f t="shared" ref="G28:G35" si="5">D28*C28</f>
        <v>7731</v>
      </c>
      <c r="H28" s="223">
        <f t="shared" ref="H28:H35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23.898600000000002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4"/>
        <v>-662.99999999999955</v>
      </c>
      <c r="G29" s="39">
        <f t="shared" si="5"/>
        <v>7731</v>
      </c>
      <c r="H29" s="223">
        <f t="shared" si="6"/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23.6572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4"/>
        <v>280.90000000000043</v>
      </c>
      <c r="G30" s="39">
        <f t="shared" si="5"/>
        <v>3725.1</v>
      </c>
      <c r="H30" s="223">
        <f t="shared" si="6"/>
        <v>7.5407371614184981E-2</v>
      </c>
      <c r="I30" s="223" t="s">
        <v>1052</v>
      </c>
      <c r="J30" s="727">
        <v>566</v>
      </c>
      <c r="K30" s="727"/>
      <c r="O30" s="81">
        <v>0.97</v>
      </c>
      <c r="P30" s="81">
        <f t="shared" si="0"/>
        <v>23.415800000000001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4"/>
        <v>-169.99999999999957</v>
      </c>
      <c r="G31" s="39">
        <f t="shared" si="5"/>
        <v>3726</v>
      </c>
      <c r="H31" s="223">
        <f t="shared" si="6"/>
        <v>-4.5625335480407835E-2</v>
      </c>
      <c r="I31" s="223" t="s">
        <v>1053</v>
      </c>
      <c r="J31" s="727">
        <v>116</v>
      </c>
      <c r="K31" s="727"/>
      <c r="O31" s="81">
        <v>0.96</v>
      </c>
      <c r="P31" s="81">
        <f t="shared" si="0"/>
        <v>23.174399999999999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4"/>
        <v>-83.080000000001064</v>
      </c>
      <c r="G32" s="39">
        <f t="shared" si="5"/>
        <v>7215.08</v>
      </c>
      <c r="H32" s="223">
        <f t="shared" si="6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22.933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4"/>
        <v>-83.180000000000121</v>
      </c>
      <c r="G33" s="39">
        <f t="shared" si="5"/>
        <v>3649.18</v>
      </c>
      <c r="H33" s="223">
        <f t="shared" si="6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22.691599999999998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4"/>
        <v>74.000000000000199</v>
      </c>
      <c r="G34" s="39">
        <f t="shared" si="5"/>
        <v>3650</v>
      </c>
      <c r="H34" s="223">
        <f t="shared" si="6"/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22.450200000000002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4"/>
        <v>410.00000000000011</v>
      </c>
      <c r="G35" s="39">
        <f t="shared" si="5"/>
        <v>3650</v>
      </c>
      <c r="H35" s="223">
        <f t="shared" si="6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22.2088</v>
      </c>
    </row>
    <row r="36" spans="1:18" x14ac:dyDescent="0.25">
      <c r="A36" s="10"/>
      <c r="B36" s="184">
        <v>43259</v>
      </c>
      <c r="C36" s="10">
        <v>0</v>
      </c>
      <c r="D36" s="39"/>
      <c r="E36" s="39"/>
      <c r="F36" s="39">
        <v>926.77</v>
      </c>
      <c r="G36" s="39"/>
      <c r="H36" s="223"/>
      <c r="I36" s="39"/>
      <c r="J36" s="727">
        <v>1211.74</v>
      </c>
      <c r="K36" s="727"/>
      <c r="O36" s="81">
        <v>0.91</v>
      </c>
      <c r="P36" s="81">
        <f t="shared" si="0"/>
        <v>21.967400000000001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21.726000000000003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209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329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229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360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9">C87*(E87-D87)</f>
        <v>-53.688000000000216</v>
      </c>
      <c r="G87" s="758">
        <f t="shared" ref="G87:G106" si="10">D87*C87</f>
        <v>2532.8879999999999</v>
      </c>
      <c r="H87" s="759">
        <f t="shared" ref="H87:H106" si="11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9"/>
        <v>-150.49599999999998</v>
      </c>
      <c r="G88" s="758">
        <f t="shared" si="10"/>
        <v>4907.2960000000003</v>
      </c>
      <c r="H88" s="760">
        <f t="shared" si="11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9"/>
        <v>31.056000000000097</v>
      </c>
      <c r="G89" s="758">
        <f t="shared" si="10"/>
        <v>2403.3440000000001</v>
      </c>
      <c r="H89" s="760">
        <f t="shared" si="11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9"/>
        <v>300.49599999999998</v>
      </c>
      <c r="G90" s="758">
        <f t="shared" si="10"/>
        <v>2357.1039999999998</v>
      </c>
      <c r="H90" s="760">
        <f t="shared" si="11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9"/>
        <v>-990.89999999999986</v>
      </c>
      <c r="G91" s="758">
        <f t="shared" si="10"/>
        <v>4085.1</v>
      </c>
      <c r="H91" s="760">
        <f t="shared" si="11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9"/>
        <v>-1311.3</v>
      </c>
      <c r="G92" s="758">
        <f t="shared" si="10"/>
        <v>4085.1</v>
      </c>
      <c r="H92" s="760">
        <f t="shared" si="11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9"/>
        <v>-749.14400000000001</v>
      </c>
      <c r="G93" s="758">
        <f t="shared" si="10"/>
        <v>2229.1440000000002</v>
      </c>
      <c r="H93" s="760">
        <f t="shared" si="11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9"/>
        <v>-925.93800000000033</v>
      </c>
      <c r="G94" s="758">
        <f t="shared" si="10"/>
        <v>3984.1379999999999</v>
      </c>
      <c r="H94" s="760">
        <f t="shared" si="11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9"/>
        <v>-642.77000000000021</v>
      </c>
      <c r="G95" s="758">
        <f t="shared" si="10"/>
        <v>2489.77</v>
      </c>
      <c r="H95" s="760">
        <f t="shared" si="11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9"/>
        <v>-538.16399999999976</v>
      </c>
      <c r="G96" s="758">
        <f t="shared" si="10"/>
        <v>3925.7639999999997</v>
      </c>
      <c r="H96" s="760">
        <f t="shared" si="11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9"/>
        <v>-1031.4000000000001</v>
      </c>
      <c r="G97" s="758">
        <f t="shared" si="10"/>
        <v>3925.7999999999997</v>
      </c>
      <c r="H97" s="760">
        <f t="shared" si="11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9"/>
        <v>-1115.3799999999999</v>
      </c>
      <c r="G98" s="758">
        <f t="shared" si="10"/>
        <v>5505.78</v>
      </c>
      <c r="H98" s="760">
        <f t="shared" si="11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9"/>
        <v>-1434.58</v>
      </c>
      <c r="G99" s="758">
        <f t="shared" si="10"/>
        <v>5505.78</v>
      </c>
      <c r="H99" s="760">
        <f t="shared" si="11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9"/>
        <v>-2289.6000000000008</v>
      </c>
      <c r="G100" s="758">
        <f t="shared" si="10"/>
        <v>7761.6</v>
      </c>
      <c r="H100" s="760">
        <f t="shared" si="11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9"/>
        <v>-1871.0440000000003</v>
      </c>
      <c r="G101" s="758">
        <f t="shared" si="10"/>
        <v>5345.8440000000001</v>
      </c>
      <c r="H101" s="760">
        <f t="shared" si="11"/>
        <v>-0.34999973811431839</v>
      </c>
      <c r="I101" s="761" t="s">
        <v>763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9"/>
        <v>-1072.2600000000004</v>
      </c>
      <c r="G102" s="758">
        <f t="shared" si="10"/>
        <v>4124.26</v>
      </c>
      <c r="H102" s="760">
        <f t="shared" si="11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9"/>
        <v>-912.00000000000045</v>
      </c>
      <c r="G103" s="758">
        <f t="shared" si="10"/>
        <v>4124</v>
      </c>
      <c r="H103" s="760">
        <f t="shared" si="11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9"/>
        <v>-964</v>
      </c>
      <c r="G104" s="758">
        <f t="shared" si="10"/>
        <v>4104</v>
      </c>
      <c r="H104" s="760">
        <f t="shared" si="11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9"/>
        <v>-260.04000000000008</v>
      </c>
      <c r="G105" s="758">
        <f t="shared" si="10"/>
        <v>4104.04</v>
      </c>
      <c r="H105" s="760">
        <f t="shared" si="11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9"/>
        <v>200.9999999999998</v>
      </c>
      <c r="G106" s="758">
        <f t="shared" si="10"/>
        <v>1973</v>
      </c>
      <c r="H106" s="760">
        <f t="shared" si="11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51" priority="99">
      <formula>F27&gt;0</formula>
    </cfRule>
    <cfRule type="expression" dxfId="250" priority="100">
      <formula>F27&lt;0</formula>
    </cfRule>
  </conditionalFormatting>
  <conditionalFormatting sqref="H27:H29">
    <cfRule type="expression" dxfId="249" priority="97">
      <formula>H27&gt;0</formula>
    </cfRule>
    <cfRule type="expression" dxfId="248" priority="98">
      <formula>H27&lt;0</formula>
    </cfRule>
  </conditionalFormatting>
  <conditionalFormatting sqref="H30">
    <cfRule type="expression" dxfId="247" priority="93">
      <formula>H30&gt;0</formula>
    </cfRule>
    <cfRule type="expression" dxfId="246" priority="94">
      <formula>H30&lt;0</formula>
    </cfRule>
  </conditionalFormatting>
  <conditionalFormatting sqref="H31:H55">
    <cfRule type="expression" dxfId="245" priority="91">
      <formula>H31&gt;0</formula>
    </cfRule>
    <cfRule type="expression" dxfId="244" priority="92">
      <formula>H31&lt;0</formula>
    </cfRule>
  </conditionalFormatting>
  <conditionalFormatting sqref="F31">
    <cfRule type="expression" dxfId="243" priority="85">
      <formula>F31&gt;0</formula>
    </cfRule>
    <cfRule type="expression" dxfId="242" priority="86">
      <formula>F31&lt;0</formula>
    </cfRule>
  </conditionalFormatting>
  <conditionalFormatting sqref="I25:I29">
    <cfRule type="expression" dxfId="241" priority="83">
      <formula>I25&gt;0</formula>
    </cfRule>
    <cfRule type="expression" dxfId="240" priority="84">
      <formula>I25&lt;0</formula>
    </cfRule>
  </conditionalFormatting>
  <conditionalFormatting sqref="I30:I33 I35 I38:K38 I40:K55">
    <cfRule type="expression" dxfId="239" priority="77">
      <formula>I30&gt;0</formula>
    </cfRule>
    <cfRule type="expression" dxfId="238" priority="78">
      <formula>I30&lt;0</formula>
    </cfRule>
  </conditionalFormatting>
  <conditionalFormatting sqref="I21:K24">
    <cfRule type="expression" dxfId="237" priority="75">
      <formula>I21&gt;0</formula>
    </cfRule>
    <cfRule type="expression" dxfId="236" priority="76">
      <formula>I21&lt;0</formula>
    </cfRule>
  </conditionalFormatting>
  <conditionalFormatting sqref="F32:F55">
    <cfRule type="expression" dxfId="235" priority="73">
      <formula>F32&gt;0</formula>
    </cfRule>
    <cfRule type="expression" dxfId="234" priority="74">
      <formula>F32&lt;0</formula>
    </cfRule>
  </conditionalFormatting>
  <conditionalFormatting sqref="Q8">
    <cfRule type="expression" dxfId="233" priority="69">
      <formula>Q8&gt;0</formula>
    </cfRule>
    <cfRule type="expression" dxfId="232" priority="70">
      <formula>Q8&lt;0</formula>
    </cfRule>
  </conditionalFormatting>
  <conditionalFormatting sqref="Q7">
    <cfRule type="expression" dxfId="231" priority="71">
      <formula>Q7&gt;0</formula>
    </cfRule>
    <cfRule type="expression" dxfId="230" priority="72">
      <formula>Q7&lt;0</formula>
    </cfRule>
  </conditionalFormatting>
  <conditionalFormatting sqref="F82">
    <cfRule type="expression" dxfId="229" priority="57">
      <formula>F82&gt;0</formula>
    </cfRule>
    <cfRule type="expression" dxfId="228" priority="58">
      <formula>F82&lt;0</formula>
    </cfRule>
  </conditionalFormatting>
  <conditionalFormatting sqref="H82">
    <cfRule type="expression" dxfId="227" priority="55">
      <formula>H82&gt;0</formula>
    </cfRule>
    <cfRule type="expression" dxfId="226" priority="56">
      <formula>H82&lt;0</formula>
    </cfRule>
  </conditionalFormatting>
  <conditionalFormatting sqref="I82">
    <cfRule type="expression" dxfId="225" priority="43">
      <formula>I82&gt;0</formula>
    </cfRule>
    <cfRule type="expression" dxfId="224" priority="44">
      <formula>I82&lt;0</formula>
    </cfRule>
  </conditionalFormatting>
  <conditionalFormatting sqref="F25:F26">
    <cfRule type="expression" dxfId="223" priority="39">
      <formula>F25&gt;0</formula>
    </cfRule>
    <cfRule type="expression" dxfId="222" priority="40">
      <formula>F25&lt;0</formula>
    </cfRule>
  </conditionalFormatting>
  <conditionalFormatting sqref="H25:H26">
    <cfRule type="expression" dxfId="221" priority="37">
      <formula>H25&gt;0</formula>
    </cfRule>
    <cfRule type="expression" dxfId="220" priority="38">
      <formula>H25&lt;0</formula>
    </cfRule>
  </conditionalFormatting>
  <conditionalFormatting sqref="F88:F92">
    <cfRule type="expression" dxfId="219" priority="35">
      <formula>F88&gt;0</formula>
    </cfRule>
    <cfRule type="expression" dxfId="218" priority="36">
      <formula>F88&lt;0</formula>
    </cfRule>
  </conditionalFormatting>
  <conditionalFormatting sqref="H88:H90">
    <cfRule type="expression" dxfId="217" priority="33">
      <formula>H88&gt;0</formula>
    </cfRule>
    <cfRule type="expression" dxfId="216" priority="34">
      <formula>H88&lt;0</formula>
    </cfRule>
  </conditionalFormatting>
  <conditionalFormatting sqref="H91:H92">
    <cfRule type="expression" dxfId="215" priority="31">
      <formula>H91&gt;0</formula>
    </cfRule>
    <cfRule type="expression" dxfId="214" priority="32">
      <formula>H91&lt;0</formula>
    </cfRule>
  </conditionalFormatting>
  <conditionalFormatting sqref="H93:H118">
    <cfRule type="expression" dxfId="213" priority="29">
      <formula>H93&gt;0</formula>
    </cfRule>
    <cfRule type="expression" dxfId="212" priority="30">
      <formula>H93&lt;0</formula>
    </cfRule>
  </conditionalFormatting>
  <conditionalFormatting sqref="F83:F86">
    <cfRule type="expression" dxfId="211" priority="27">
      <formula>F83&gt;0</formula>
    </cfRule>
    <cfRule type="expression" dxfId="210" priority="28">
      <formula>F83&lt;0</formula>
    </cfRule>
  </conditionalFormatting>
  <conditionalFormatting sqref="H83:H86">
    <cfRule type="expression" dxfId="209" priority="25">
      <formula>H83&gt;0</formula>
    </cfRule>
    <cfRule type="expression" dxfId="208" priority="26">
      <formula>H83&lt;0</formula>
    </cfRule>
  </conditionalFormatting>
  <conditionalFormatting sqref="F93">
    <cfRule type="expression" dxfId="207" priority="23">
      <formula>F93&gt;0</formula>
    </cfRule>
    <cfRule type="expression" dxfId="206" priority="24">
      <formula>F93&lt;0</formula>
    </cfRule>
  </conditionalFormatting>
  <conditionalFormatting sqref="I87:I89">
    <cfRule type="expression" dxfId="205" priority="21">
      <formula>I87&gt;0</formula>
    </cfRule>
    <cfRule type="expression" dxfId="204" priority="22">
      <formula>I87&lt;0</formula>
    </cfRule>
  </conditionalFormatting>
  <conditionalFormatting sqref="I90">
    <cfRule type="expression" dxfId="203" priority="19">
      <formula>I90&gt;0</formula>
    </cfRule>
    <cfRule type="expression" dxfId="202" priority="20">
      <formula>I90&lt;0</formula>
    </cfRule>
  </conditionalFormatting>
  <conditionalFormatting sqref="I91">
    <cfRule type="expression" dxfId="201" priority="17">
      <formula>I91&gt;0</formula>
    </cfRule>
    <cfRule type="expression" dxfId="200" priority="18">
      <formula>I91&lt;0</formula>
    </cfRule>
  </conditionalFormatting>
  <conditionalFormatting sqref="I92:I95 I97 I100 I102:I118">
    <cfRule type="expression" dxfId="199" priority="15">
      <formula>I92&gt;0</formula>
    </cfRule>
    <cfRule type="expression" dxfId="198" priority="16">
      <formula>I92&lt;0</formula>
    </cfRule>
  </conditionalFormatting>
  <conditionalFormatting sqref="I83:I86">
    <cfRule type="expression" dxfId="197" priority="13">
      <formula>I83&gt;0</formula>
    </cfRule>
    <cfRule type="expression" dxfId="196" priority="14">
      <formula>I83&lt;0</formula>
    </cfRule>
  </conditionalFormatting>
  <conditionalFormatting sqref="F94:F118">
    <cfRule type="expression" dxfId="195" priority="11">
      <formula>F94&gt;0</formula>
    </cfRule>
    <cfRule type="expression" dxfId="194" priority="12">
      <formula>F94&lt;0</formula>
    </cfRule>
  </conditionalFormatting>
  <conditionalFormatting sqref="F87">
    <cfRule type="expression" dxfId="193" priority="9">
      <formula>F87&gt;0</formula>
    </cfRule>
    <cfRule type="expression" dxfId="192" priority="10">
      <formula>F87&lt;0</formula>
    </cfRule>
  </conditionalFormatting>
  <conditionalFormatting sqref="H87">
    <cfRule type="expression" dxfId="191" priority="7">
      <formula>H87&gt;0</formula>
    </cfRule>
    <cfRule type="expression" dxfId="190" priority="8">
      <formula>H87&lt;0</formula>
    </cfRule>
  </conditionalFormatting>
  <conditionalFormatting sqref="F21:F24">
    <cfRule type="expression" dxfId="189" priority="5">
      <formula>F21&gt;0</formula>
    </cfRule>
    <cfRule type="expression" dxfId="188" priority="6">
      <formula>F21&lt;0</formula>
    </cfRule>
  </conditionalFormatting>
  <conditionalFormatting sqref="H21:H24">
    <cfRule type="expression" dxfId="187" priority="3">
      <formula>H21&gt;0</formula>
    </cfRule>
    <cfRule type="expression" dxfId="186" priority="4">
      <formula>H21&lt;0</formula>
    </cfRule>
  </conditionalFormatting>
  <conditionalFormatting sqref="J25:K27 J30:K37 J28:J29">
    <cfRule type="expression" dxfId="185" priority="1">
      <formula>J25&gt;0</formula>
    </cfRule>
    <cfRule type="expression" dxfId="18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106.03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106.03</v>
      </c>
      <c r="R4" s="475">
        <v>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207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51" t="s">
        <v>78</v>
      </c>
      <c r="P40" s="851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116.63300000000001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115.57270000000001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114.51240000000001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113.4521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112.3918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111.33150000000001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110.27120000000001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109.21090000000001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108.1506</v>
      </c>
      <c r="Q49" s="2"/>
      <c r="T49" s="91" t="s">
        <v>103</v>
      </c>
      <c r="U49" s="86" t="s">
        <v>514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107.0903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106.03</v>
      </c>
      <c r="Q51" s="2"/>
      <c r="T51" s="91" t="s">
        <v>104</v>
      </c>
      <c r="U51" s="86" t="s">
        <v>642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104.9697</v>
      </c>
      <c r="Q52" s="2"/>
      <c r="T52" s="91" t="s">
        <v>105</v>
      </c>
      <c r="U52" s="86" t="s">
        <v>643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103.90940000000001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102.84909999999999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101.78879999999999</v>
      </c>
      <c r="T55" s="91" t="s">
        <v>107</v>
      </c>
      <c r="U55" s="86" t="s">
        <v>644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100.7285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99.668199999999999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98.607900000000001</v>
      </c>
      <c r="T58" s="91" t="s">
        <v>108</v>
      </c>
      <c r="U58" s="86" t="s">
        <v>533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97.547600000000003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96.487300000000005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95.427000000000007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3" priority="15">
      <formula>F25&gt;0</formula>
    </cfRule>
    <cfRule type="expression" dxfId="182" priority="16">
      <formula>F25&lt;0</formula>
    </cfRule>
  </conditionalFormatting>
  <conditionalFormatting sqref="F32:F70">
    <cfRule type="expression" dxfId="181" priority="11">
      <formula>F32&gt;0</formula>
    </cfRule>
    <cfRule type="expression" dxfId="180" priority="12">
      <formula>F32&lt;0</formula>
    </cfRule>
  </conditionalFormatting>
  <conditionalFormatting sqref="F32:F70">
    <cfRule type="expression" dxfId="179" priority="13">
      <formula>F32&gt;0</formula>
    </cfRule>
    <cfRule type="expression" dxfId="178" priority="14">
      <formula>F32&lt;0</formula>
    </cfRule>
  </conditionalFormatting>
  <conditionalFormatting sqref="H25 H30:H70">
    <cfRule type="expression" dxfId="177" priority="9">
      <formula>H25&gt;0</formula>
    </cfRule>
    <cfRule type="expression" dxfId="176" priority="10">
      <formula>H25&lt;0</formula>
    </cfRule>
  </conditionalFormatting>
  <conditionalFormatting sqref="F26:F29">
    <cfRule type="expression" dxfId="175" priority="7">
      <formula>F26&gt;0</formula>
    </cfRule>
    <cfRule type="expression" dxfId="174" priority="8">
      <formula>F26&lt;0</formula>
    </cfRule>
  </conditionalFormatting>
  <conditionalFormatting sqref="H26:H29">
    <cfRule type="expression" dxfId="173" priority="5">
      <formula>H26&gt;0</formula>
    </cfRule>
    <cfRule type="expression" dxfId="172" priority="6">
      <formula>H26&lt;0</formula>
    </cfRule>
  </conditionalFormatting>
  <conditionalFormatting sqref="Q7">
    <cfRule type="expression" dxfId="171" priority="3">
      <formula>Q7&gt;0</formula>
    </cfRule>
    <cfRule type="expression" dxfId="170" priority="4">
      <formula>Q7&lt;0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5.38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5.38</v>
      </c>
      <c r="R4" s="475">
        <v>-7.4000000000000003E-3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208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207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497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51" t="s">
        <v>78</v>
      </c>
      <c r="P40" s="851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5.9180000000000001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5.8642000000000003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5.8104000000000005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293</v>
      </c>
      <c r="J44" s="39"/>
      <c r="K44" s="39"/>
      <c r="O44" s="81">
        <v>1.07</v>
      </c>
      <c r="P44" s="81">
        <f t="shared" si="6"/>
        <v>5.7566000000000006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5.7027999999999999</v>
      </c>
      <c r="Q45" s="2"/>
      <c r="T45" s="91" t="s">
        <v>99</v>
      </c>
      <c r="U45" s="86" t="s">
        <v>645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5.649</v>
      </c>
      <c r="Q46" s="2"/>
      <c r="T46" s="91" t="s">
        <v>100</v>
      </c>
      <c r="U46" s="86" t="s">
        <v>646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300</v>
      </c>
      <c r="J47" s="39"/>
      <c r="K47" s="39"/>
      <c r="O47" s="81">
        <v>1.04</v>
      </c>
      <c r="P47" s="81">
        <f t="shared" si="6"/>
        <v>5.5952000000000002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5.5414000000000003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5.4875999999999996</v>
      </c>
      <c r="Q49" s="2"/>
      <c r="T49" s="91" t="s">
        <v>121</v>
      </c>
      <c r="U49" s="86" t="s">
        <v>422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5.4337999999999997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5.38</v>
      </c>
      <c r="Q51" s="2"/>
      <c r="T51" s="91" t="s">
        <v>104</v>
      </c>
      <c r="U51" s="86" t="s">
        <v>647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5.3262</v>
      </c>
      <c r="Q52" s="2"/>
      <c r="T52" s="91" t="s">
        <v>105</v>
      </c>
      <c r="U52" s="86" t="s">
        <v>519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5.2724000000000002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5.2185999999999995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5.1647999999999996</v>
      </c>
      <c r="T55" s="91" t="s">
        <v>107</v>
      </c>
      <c r="U55" s="86" t="s">
        <v>648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5.1109999999999998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5.0571999999999999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5.0034000000000001</v>
      </c>
      <c r="T58" s="91" t="s">
        <v>108</v>
      </c>
      <c r="U58" s="86" t="s">
        <v>550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4.9496000000000002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4.8958000000000004</v>
      </c>
    </row>
    <row r="61" spans="1:21" x14ac:dyDescent="0.25">
      <c r="A61" t="s">
        <v>346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4.8419999999999996</v>
      </c>
    </row>
    <row r="62" spans="1:21" x14ac:dyDescent="0.25">
      <c r="A62" t="s">
        <v>353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354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395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398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444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447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460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461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207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7" priority="25">
      <formula>F34&gt;0</formula>
    </cfRule>
    <cfRule type="expression" dxfId="166" priority="26">
      <formula>F34&lt;0</formula>
    </cfRule>
  </conditionalFormatting>
  <conditionalFormatting sqref="H124:H131">
    <cfRule type="expression" dxfId="165" priority="23">
      <formula>H124&gt;0</formula>
    </cfRule>
    <cfRule type="expression" dxfId="164" priority="24">
      <formula>H124&lt;0</formula>
    </cfRule>
  </conditionalFormatting>
  <conditionalFormatting sqref="H132">
    <cfRule type="expression" dxfId="163" priority="21">
      <formula>H132&gt;0</formula>
    </cfRule>
    <cfRule type="expression" dxfId="162" priority="22">
      <formula>H132&lt;0</formula>
    </cfRule>
  </conditionalFormatting>
  <conditionalFormatting sqref="Q8">
    <cfRule type="expression" dxfId="161" priority="11">
      <formula>Q8&gt;0</formula>
    </cfRule>
    <cfRule type="expression" dxfId="160" priority="12">
      <formula>Q8&lt;0</formula>
    </cfRule>
  </conditionalFormatting>
  <conditionalFormatting sqref="Q7">
    <cfRule type="expression" dxfId="159" priority="13">
      <formula>Q7&gt;0</formula>
    </cfRule>
    <cfRule type="expression" dxfId="158" priority="14">
      <formula>Q7&lt;0</formula>
    </cfRule>
  </conditionalFormatting>
  <conditionalFormatting sqref="F36:F39">
    <cfRule type="expression" dxfId="157" priority="9">
      <formula>F36&gt;0</formula>
    </cfRule>
    <cfRule type="expression" dxfId="156" priority="10">
      <formula>F36&lt;0</formula>
    </cfRule>
  </conditionalFormatting>
  <conditionalFormatting sqref="H36:H39">
    <cfRule type="expression" dxfId="155" priority="7">
      <formula>H36&gt;0</formula>
    </cfRule>
    <cfRule type="expression" dxfId="154" priority="8">
      <formula>H36&lt;0</formula>
    </cfRule>
  </conditionalFormatting>
  <conditionalFormatting sqref="K65:K99">
    <cfRule type="expression" dxfId="153" priority="5">
      <formula>K65&gt;0</formula>
    </cfRule>
    <cfRule type="expression" dxfId="152" priority="6">
      <formula>K65&lt;0</formula>
    </cfRule>
  </conditionalFormatting>
  <conditionalFormatting sqref="K72">
    <cfRule type="expression" dxfId="151" priority="3">
      <formula>K72&gt;0</formula>
    </cfRule>
    <cfRule type="expression" dxfId="150" priority="4">
      <formula>K72&lt;0</formula>
    </cfRule>
  </conditionalFormatting>
  <conditionalFormatting sqref="M69">
    <cfRule type="expression" dxfId="149" priority="1">
      <formula>M69&gt;0</formula>
    </cfRule>
    <cfRule type="expression" dxfId="14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topLeftCell="B1" workbookViewId="0">
      <pane ySplit="1" topLeftCell="A2" activePane="bottomLeft" state="frozen"/>
      <selection activeCell="A2" sqref="A2"/>
      <selection pane="bottomLeft" activeCell="I10" sqref="I10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809</v>
      </c>
      <c r="W2" t="s">
        <v>807</v>
      </c>
      <c r="X2" s="739" t="s">
        <v>791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76.75</v>
      </c>
      <c r="U3" t="s">
        <v>810</v>
      </c>
      <c r="X3" s="739" t="s">
        <v>792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76.75</v>
      </c>
      <c r="R4" s="475">
        <v>1.4E-3</v>
      </c>
      <c r="U4" t="s">
        <v>811</v>
      </c>
      <c r="X4" s="739" t="s">
        <v>793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794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818</v>
      </c>
      <c r="AF5" s="738" t="s">
        <v>818</v>
      </c>
      <c r="AG5" s="738" t="s">
        <v>818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821</v>
      </c>
      <c r="X6" s="739" t="s">
        <v>795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796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856</v>
      </c>
      <c r="X8" s="739" t="s">
        <v>808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208</v>
      </c>
      <c r="Q9" s="134">
        <f>IF(Q2=0, 0, Q8/Q6)</f>
        <v>0</v>
      </c>
      <c r="U9" t="s">
        <v>875</v>
      </c>
      <c r="X9" s="739" t="s">
        <v>819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207</v>
      </c>
      <c r="P10" s="33"/>
      <c r="Q10" s="2">
        <f>M54</f>
        <v>810.1299999999901</v>
      </c>
      <c r="X10" s="739" t="s">
        <v>820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2.7100977198697071E-2</v>
      </c>
      <c r="R11">
        <f>0.52</f>
        <v>0.52</v>
      </c>
      <c r="T11" s="1">
        <v>43112</v>
      </c>
      <c r="U11" t="s">
        <v>872</v>
      </c>
      <c r="X11" s="739" t="s">
        <v>805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946</v>
      </c>
      <c r="Q12" s="1" t="s">
        <v>1208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973</v>
      </c>
      <c r="Q13">
        <f>Q4/6.46</f>
        <v>11.880804953560371</v>
      </c>
      <c r="T13" s="1">
        <v>43114</v>
      </c>
      <c r="U13" t="s">
        <v>876</v>
      </c>
      <c r="W13" t="s">
        <v>806</v>
      </c>
      <c r="X13" s="739" t="s">
        <v>797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874</v>
      </c>
      <c r="X14" s="739" t="s">
        <v>798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873</v>
      </c>
      <c r="X15" s="739" t="s">
        <v>799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800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891</v>
      </c>
      <c r="X17" s="739" t="s">
        <v>801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907</v>
      </c>
      <c r="X18" s="739" t="s">
        <v>802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877</v>
      </c>
      <c r="X19" s="739" t="s">
        <v>803</v>
      </c>
      <c r="Y19" s="741">
        <v>0.03</v>
      </c>
      <c r="Z19" s="741">
        <v>0.05</v>
      </c>
      <c r="AA19" s="81" t="s">
        <v>818</v>
      </c>
      <c r="AB19" s="2" t="s">
        <v>818</v>
      </c>
      <c r="AC19" s="763" t="s">
        <v>818</v>
      </c>
      <c r="AD19" s="738" t="s">
        <v>818</v>
      </c>
      <c r="AE19" s="738" t="s">
        <v>818</v>
      </c>
      <c r="AF19" s="738">
        <v>0.02</v>
      </c>
      <c r="AG19" s="738" t="s">
        <v>818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804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1043</v>
      </c>
      <c r="X21" s="739" t="s">
        <v>796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1048</v>
      </c>
      <c r="X22" s="739" t="s">
        <v>808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819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820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805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497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51" t="s">
        <v>78</v>
      </c>
      <c r="P42" s="851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84.425000000000011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83.657500000000013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82.89</v>
      </c>
      <c r="Q45" s="2"/>
      <c r="T45" s="91" t="s">
        <v>99</v>
      </c>
      <c r="U45" s="86" t="s">
        <v>649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82.122500000000002</v>
      </c>
      <c r="Q46" s="2"/>
      <c r="T46" s="91" t="s">
        <v>100</v>
      </c>
      <c r="U46" s="86" t="s">
        <v>650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81.355000000000004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80.587500000000006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79.820000000000007</v>
      </c>
      <c r="Q49" s="2"/>
      <c r="T49" s="91" t="s">
        <v>103</v>
      </c>
      <c r="U49" s="86" t="s">
        <v>551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79.052500000000009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78.284999999999997</v>
      </c>
      <c r="Q51" s="2"/>
      <c r="T51" s="91" t="s">
        <v>104</v>
      </c>
      <c r="U51" s="86" t="s">
        <v>651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77.517499999999998</v>
      </c>
      <c r="Q52" s="2"/>
      <c r="T52" s="91" t="s">
        <v>105</v>
      </c>
      <c r="U52" s="86" t="s">
        <v>412</v>
      </c>
      <c r="V52" s="86"/>
    </row>
    <row r="53" spans="1:22" x14ac:dyDescent="0.25">
      <c r="O53" s="81">
        <v>1</v>
      </c>
      <c r="P53" s="81">
        <f t="shared" si="9"/>
        <v>76.75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75.982500000000002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75.215000000000003</v>
      </c>
      <c r="Q55" s="2"/>
      <c r="T55" s="91" t="s">
        <v>107</v>
      </c>
      <c r="U55" s="86" t="s">
        <v>652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74.447499999999991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73.679999999999993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72.912499999999994</v>
      </c>
      <c r="T58" s="91" t="s">
        <v>108</v>
      </c>
      <c r="U58" s="86" t="s">
        <v>552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72.144999999999996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71.377499999999998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70.61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69.842500000000001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69.075000000000003</v>
      </c>
    </row>
    <row r="64" spans="1:22" x14ac:dyDescent="0.25">
      <c r="A64" s="384" t="s">
        <v>210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497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246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302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312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339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358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372</v>
      </c>
      <c r="J182" s="362"/>
      <c r="K182" s="362"/>
      <c r="L182" s="362"/>
    </row>
    <row r="183" spans="1:12" x14ac:dyDescent="0.25">
      <c r="A183" s="362" t="s">
        <v>358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394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339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407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425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428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442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394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708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695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756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766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822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827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853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47" priority="96">
      <formula>F24&gt;0</formula>
    </cfRule>
    <cfRule type="expression" dxfId="14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5" priority="79">
      <formula>F30&gt;0</formula>
    </cfRule>
    <cfRule type="expression" dxfId="144" priority="80">
      <formula>F30&lt;0</formula>
    </cfRule>
  </conditionalFormatting>
  <conditionalFormatting sqref="H43 H30:H33">
    <cfRule type="expression" dxfId="143" priority="77">
      <formula>H30&gt;0</formula>
    </cfRule>
    <cfRule type="expression" dxfId="14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1" priority="59">
      <formula>F115&gt;0</formula>
    </cfRule>
    <cfRule type="expression" dxfId="140" priority="60">
      <formula>F115&lt;0</formula>
    </cfRule>
  </conditionalFormatting>
  <conditionalFormatting sqref="F112:F114">
    <cfRule type="expression" dxfId="139" priority="57">
      <formula>F112&gt;0</formula>
    </cfRule>
    <cfRule type="expression" dxfId="138" priority="58">
      <formula>F112&lt;0</formula>
    </cfRule>
  </conditionalFormatting>
  <conditionalFormatting sqref="H112:I112">
    <cfRule type="expression" dxfId="137" priority="55">
      <formula>H112&gt;0</formula>
    </cfRule>
    <cfRule type="expression" dxfId="136" priority="56">
      <formula>H112&lt;0</formula>
    </cfRule>
  </conditionalFormatting>
  <conditionalFormatting sqref="H113:I113">
    <cfRule type="expression" dxfId="135" priority="53">
      <formula>H113&gt;0</formula>
    </cfRule>
    <cfRule type="expression" dxfId="134" priority="54">
      <formula>H113&lt;0</formula>
    </cfRule>
  </conditionalFormatting>
  <conditionalFormatting sqref="H114:I114">
    <cfRule type="expression" dxfId="133" priority="51">
      <formula>H114&gt;0</formula>
    </cfRule>
    <cfRule type="expression" dxfId="132" priority="52">
      <formula>H114&lt;0</formula>
    </cfRule>
  </conditionalFormatting>
  <conditionalFormatting sqref="F105:F111">
    <cfRule type="expression" dxfId="131" priority="49">
      <formula>F105&gt;0</formula>
    </cfRule>
    <cfRule type="expression" dxfId="130" priority="50">
      <formula>F105&lt;0</formula>
    </cfRule>
  </conditionalFormatting>
  <conditionalFormatting sqref="H105:I111">
    <cfRule type="expression" dxfId="129" priority="47">
      <formula>H105&gt;0</formula>
    </cfRule>
    <cfRule type="expression" dxfId="128" priority="48">
      <formula>H105&lt;0</formula>
    </cfRule>
  </conditionalFormatting>
  <conditionalFormatting sqref="I117 F117:F119">
    <cfRule type="expression" dxfId="127" priority="45">
      <formula>F117&gt;0</formula>
    </cfRule>
    <cfRule type="expression" dxfId="126" priority="46">
      <formula>F117&lt;0</formula>
    </cfRule>
  </conditionalFormatting>
  <conditionalFormatting sqref="F189:F196 H189:H196">
    <cfRule type="expression" dxfId="125" priority="43">
      <formula>F189&gt;0</formula>
    </cfRule>
    <cfRule type="expression" dxfId="124" priority="44">
      <formula>F189&lt;0</formula>
    </cfRule>
  </conditionalFormatting>
  <conditionalFormatting sqref="H202 F202">
    <cfRule type="expression" dxfId="123" priority="41">
      <formula>F202&gt;0</formula>
    </cfRule>
    <cfRule type="expression" dxfId="122" priority="42">
      <formula>F202&lt;0</formula>
    </cfRule>
  </conditionalFormatting>
  <conditionalFormatting sqref="I204">
    <cfRule type="expression" dxfId="121" priority="39">
      <formula>I204&gt;0</formula>
    </cfRule>
    <cfRule type="expression" dxfId="120" priority="40">
      <formula>I204&lt;0</formula>
    </cfRule>
  </conditionalFormatting>
  <conditionalFormatting sqref="H204 F204">
    <cfRule type="expression" dxfId="119" priority="37">
      <formula>F204&gt;0</formula>
    </cfRule>
    <cfRule type="expression" dxfId="118" priority="38">
      <formula>F204&lt;0</formula>
    </cfRule>
  </conditionalFormatting>
  <conditionalFormatting sqref="M54">
    <cfRule type="expression" dxfId="117" priority="35">
      <formula>M54&gt;0</formula>
    </cfRule>
    <cfRule type="expression" dxfId="116" priority="36">
      <formula>M54&lt;0</formula>
    </cfRule>
  </conditionalFormatting>
  <conditionalFormatting sqref="K39:K49">
    <cfRule type="expression" dxfId="115" priority="33">
      <formula>K39&gt;0</formula>
    </cfRule>
    <cfRule type="expression" dxfId="114" priority="34">
      <formula>K39&lt;0</formula>
    </cfRule>
  </conditionalFormatting>
  <conditionalFormatting sqref="Q10">
    <cfRule type="expression" dxfId="113" priority="31">
      <formula>Q10&gt;0</formula>
    </cfRule>
    <cfRule type="expression" dxfId="112" priority="32">
      <formula>Q10&lt;0</formula>
    </cfRule>
  </conditionalFormatting>
  <conditionalFormatting sqref="Z10">
    <cfRule type="expression" dxfId="111" priority="29">
      <formula>Z10&gt;0</formula>
    </cfRule>
    <cfRule type="expression" dxfId="110" priority="30">
      <formula>Z10&lt;0</formula>
    </cfRule>
  </conditionalFormatting>
  <conditionalFormatting sqref="AA10:AE10">
    <cfRule type="expression" dxfId="109" priority="27">
      <formula>AA10&gt;0</formula>
    </cfRule>
    <cfRule type="expression" dxfId="108" priority="28">
      <formula>AA10&lt;0</formula>
    </cfRule>
  </conditionalFormatting>
  <conditionalFormatting sqref="Z24">
    <cfRule type="expression" dxfId="107" priority="25">
      <formula>Z24&gt;0</formula>
    </cfRule>
    <cfRule type="expression" dxfId="106" priority="26">
      <formula>Z24&lt;0</formula>
    </cfRule>
  </conditionalFormatting>
  <conditionalFormatting sqref="AF10:AG10">
    <cfRule type="expression" dxfId="105" priority="17">
      <formula>AF10&gt;0</formula>
    </cfRule>
    <cfRule type="expression" dxfId="10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3" priority="15">
      <formula>F208&gt;0</formula>
    </cfRule>
    <cfRule type="expression" dxfId="102" priority="16">
      <formula>F208&lt;0</formula>
    </cfRule>
  </conditionalFormatting>
  <conditionalFormatting sqref="F220 F207:F210">
    <cfRule type="expression" dxfId="101" priority="13">
      <formula>F207&gt;0</formula>
    </cfRule>
    <cfRule type="expression" dxfId="100" priority="14">
      <formula>F207&lt;0</formula>
    </cfRule>
  </conditionalFormatting>
  <conditionalFormatting sqref="H207:I207 H220 H208:H210">
    <cfRule type="expression" dxfId="99" priority="11">
      <formula>H207&gt;0</formula>
    </cfRule>
    <cfRule type="expression" dxfId="98" priority="12">
      <formula>H207&lt;0</formula>
    </cfRule>
  </conditionalFormatting>
  <conditionalFormatting sqref="K210:K225">
    <cfRule type="expression" dxfId="97" priority="9">
      <formula>K210&gt;0</formula>
    </cfRule>
    <cfRule type="expression" dxfId="96" priority="10">
      <formula>K210&lt;0</formula>
    </cfRule>
  </conditionalFormatting>
  <conditionalFormatting sqref="K31">
    <cfRule type="expression" dxfId="95" priority="7">
      <formula>K31&gt;0</formula>
    </cfRule>
    <cfRule type="expression" dxfId="94" priority="8">
      <formula>K31&lt;0</formula>
    </cfRule>
  </conditionalFormatting>
  <conditionalFormatting sqref="K32:K38">
    <cfRule type="expression" dxfId="93" priority="5">
      <formula>K32&gt;0</formula>
    </cfRule>
    <cfRule type="expression" dxfId="92" priority="6">
      <formula>K32&lt;0</formula>
    </cfRule>
  </conditionalFormatting>
  <conditionalFormatting sqref="Q7">
    <cfRule type="expression" dxfId="91" priority="3">
      <formula>Q7&gt;0</formula>
    </cfRule>
    <cfRule type="expression" dxfId="90" priority="4">
      <formula>Q7&lt;0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78.900000000000006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78.900000000000006</v>
      </c>
      <c r="R4" s="475">
        <v>-1.9E-3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207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207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51" t="s">
        <v>78</v>
      </c>
      <c r="P42" s="851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86.79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86.001000000000019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85.212000000000018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84.423000000000016</v>
      </c>
      <c r="Q46" s="81"/>
      <c r="T46" s="91" t="s">
        <v>100</v>
      </c>
      <c r="U46" s="86" t="s">
        <v>653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83.634000000000015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82.845000000000013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82.056000000000012</v>
      </c>
      <c r="Q49" s="81"/>
      <c r="T49" s="91" t="s">
        <v>121</v>
      </c>
      <c r="U49" s="86" t="s">
        <v>356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81.26700000000001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80.478000000000009</v>
      </c>
      <c r="Q51" s="81"/>
      <c r="T51" s="91" t="s">
        <v>104</v>
      </c>
      <c r="U51" s="86" t="s">
        <v>654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79.689000000000007</v>
      </c>
      <c r="Q52" s="81"/>
      <c r="T52" s="91" t="s">
        <v>105</v>
      </c>
      <c r="U52" s="86" t="s">
        <v>655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78.900000000000006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78.111000000000004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77.322000000000003</v>
      </c>
      <c r="Q55" s="81"/>
      <c r="T55" s="91" t="s">
        <v>107</v>
      </c>
      <c r="U55" s="86" t="s">
        <v>656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76.533000000000001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75.744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74.954999999999998</v>
      </c>
      <c r="Q58" s="81"/>
      <c r="T58" s="91" t="s">
        <v>108</v>
      </c>
      <c r="U58" s="86" t="s">
        <v>525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74.165999999999997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73.37700000000001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72.588000000000008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71.799000000000007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71.010000000000005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7" priority="5">
      <formula>F21&gt;0</formula>
    </cfRule>
    <cfRule type="expression" dxfId="86" priority="6">
      <formula>F21&lt;0</formula>
    </cfRule>
  </conditionalFormatting>
  <conditionalFormatting sqref="Q8">
    <cfRule type="expression" dxfId="85" priority="1">
      <formula>Q8&gt;0</formula>
    </cfRule>
    <cfRule type="expression" dxfId="84" priority="2">
      <formula>Q8&lt;0</formula>
    </cfRule>
  </conditionalFormatting>
  <conditionalFormatting sqref="Q7">
    <cfRule type="expression" dxfId="83" priority="3">
      <formula>Q7&gt;0</formula>
    </cfRule>
    <cfRule type="expression" dxfId="8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  <c r="V2" t="s">
        <v>1199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V3" t="s">
        <v>1200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43.959899999999998</v>
      </c>
      <c r="R4" s="475">
        <v>-2.12E-2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6593.9849999999997</v>
      </c>
      <c r="U5" s="83">
        <v>43180</v>
      </c>
      <c r="V5" t="s">
        <v>988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-1209.0249999999996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-1258.9749999999995</v>
      </c>
      <c r="U8" s="118">
        <v>43292</v>
      </c>
      <c r="V8" t="s">
        <v>1198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208</v>
      </c>
      <c r="Q9" s="222">
        <f>IF(Q2=0, 0, Q8/Q6)</f>
        <v>-0.16031852957356199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207</v>
      </c>
      <c r="P10" s="33"/>
      <c r="Q10" s="2">
        <f>M75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4.4586088685370076E-2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946</v>
      </c>
      <c r="Q12" s="1"/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973</v>
      </c>
      <c r="Q13">
        <f>Q4/3.08</f>
        <v>14.272694805194805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51" t="s">
        <v>78</v>
      </c>
      <c r="P17" s="851"/>
    </row>
    <row r="18" spans="1:16" ht="15.75" thickTop="1" x14ac:dyDescent="0.25">
      <c r="H18" s="70"/>
      <c r="O18" s="81">
        <v>1.1000000000000001</v>
      </c>
      <c r="P18" s="81">
        <f>O18*$Q$4</f>
        <v>48.355890000000002</v>
      </c>
    </row>
    <row r="19" spans="1:16" x14ac:dyDescent="0.25">
      <c r="H19" s="70"/>
      <c r="O19" s="81">
        <v>1.0900000000000001</v>
      </c>
      <c r="P19" s="81">
        <f t="shared" ref="P19:P38" si="2">O19*$Q$4</f>
        <v>47.916291000000001</v>
      </c>
    </row>
    <row r="20" spans="1:16" x14ac:dyDescent="0.25">
      <c r="H20" s="70"/>
      <c r="O20" s="81">
        <v>1.08</v>
      </c>
      <c r="P20" s="81">
        <f t="shared" si="2"/>
        <v>47.476692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47.037092999999999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46.597493999999998</v>
      </c>
    </row>
    <row r="23" spans="1:16" x14ac:dyDescent="0.25">
      <c r="O23" s="81">
        <v>1.05</v>
      </c>
      <c r="P23" s="81">
        <f t="shared" si="2"/>
        <v>46.157894999999996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497</v>
      </c>
      <c r="L24" s="220" t="s">
        <v>973</v>
      </c>
      <c r="O24" s="81">
        <v>1.04</v>
      </c>
      <c r="P24" s="81">
        <f t="shared" si="2"/>
        <v>45.718296000000002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45.278697000000001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44.839098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44.399498999999999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43.959899999999998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43.520300999999996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43.080701999999995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42.641102999999994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42.201503999999993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41.761904999999999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41.322305999999998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40.882706999999996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40.443108000000002</v>
      </c>
    </row>
    <row r="37" spans="1:17" x14ac:dyDescent="0.25">
      <c r="A37" t="s">
        <v>345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40.003509000000001</v>
      </c>
    </row>
    <row r="38" spans="1:17" x14ac:dyDescent="0.25">
      <c r="A38" t="s">
        <v>432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39.56391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228">
        <v>100</v>
      </c>
      <c r="D40" s="22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10">
        <v>150</v>
      </c>
      <c r="D43" s="39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7">
        <v>200</v>
      </c>
      <c r="D44" s="43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>C46*(E46-D46)</f>
        <v>-839.41999999999985</v>
      </c>
      <c r="G46" s="39">
        <f>D46*C46</f>
        <v>11709.42</v>
      </c>
      <c r="H46" s="222">
        <f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>C47*(E47-D47)</f>
        <v>-397.40000000000038</v>
      </c>
      <c r="G47" s="39">
        <f>D47*C47</f>
        <v>11611.4</v>
      </c>
      <c r="H47" s="222">
        <f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10">
        <v>200</v>
      </c>
      <c r="D48" s="39">
        <v>57.92</v>
      </c>
      <c r="E48" s="39">
        <v>53.4</v>
      </c>
      <c r="F48" s="39">
        <f>C48*(E48-D48)</f>
        <v>-904.00000000000068</v>
      </c>
      <c r="G48" s="39">
        <f>D48*C48</f>
        <v>11584</v>
      </c>
      <c r="H48" s="222">
        <f>(E48-D48)/D48</f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>C49*(E49-D49)</f>
        <v>-1232.0000000000007</v>
      </c>
      <c r="G49" s="39">
        <f>D49*C49</f>
        <v>11584</v>
      </c>
      <c r="H49" s="222">
        <f>(E49-D49)/D49</f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425">
        <v>300</v>
      </c>
      <c r="D50" s="426">
        <v>55.348300000000002</v>
      </c>
      <c r="E50" s="39">
        <v>50.19</v>
      </c>
      <c r="F50" s="39">
        <f>C50*(E50-D50)</f>
        <v>-1547.4900000000011</v>
      </c>
      <c r="G50" s="39">
        <f>D50*C50</f>
        <v>16604.490000000002</v>
      </c>
      <c r="H50" s="222">
        <f>(E50-D50)/D50</f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2">C51*(E51-D51)</f>
        <v>-1145.4900000000002</v>
      </c>
      <c r="G51" s="39">
        <f t="shared" ref="G51:G59" si="13">D51*C51</f>
        <v>16604.490000000002</v>
      </c>
      <c r="H51" s="222">
        <f t="shared" ref="H51:H59" si="14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10">
        <v>200</v>
      </c>
      <c r="D52" s="39">
        <v>56.997999999999998</v>
      </c>
      <c r="E52" s="39">
        <v>52.03</v>
      </c>
      <c r="F52" s="39">
        <f t="shared" si="12"/>
        <v>-993.59999999999923</v>
      </c>
      <c r="G52" s="39">
        <f t="shared" si="13"/>
        <v>11399.6</v>
      </c>
      <c r="H52" s="222">
        <f t="shared" si="14"/>
        <v>-8.7160953015895229E-2</v>
      </c>
      <c r="I52" s="193" t="s">
        <v>754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425">
        <v>300</v>
      </c>
      <c r="D53" s="426">
        <v>54.405299999999997</v>
      </c>
      <c r="E53" s="39">
        <v>50.1</v>
      </c>
      <c r="F53" s="39">
        <f t="shared" si="12"/>
        <v>-1291.5899999999986</v>
      </c>
      <c r="G53" s="39">
        <f t="shared" si="13"/>
        <v>16321.589999999998</v>
      </c>
      <c r="H53" s="222">
        <f t="shared" si="14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7">
        <v>200</v>
      </c>
      <c r="D54" s="43">
        <v>55.893599999999999</v>
      </c>
      <c r="E54" s="39">
        <v>51.5</v>
      </c>
      <c r="F54" s="39">
        <f t="shared" si="12"/>
        <v>-878.7199999999998</v>
      </c>
      <c r="G54" s="39">
        <f t="shared" si="13"/>
        <v>11178.72</v>
      </c>
      <c r="H54" s="222">
        <f t="shared" si="14"/>
        <v>-7.8606495198019086E-2</v>
      </c>
      <c r="I54" s="193" t="s">
        <v>768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10">
        <v>150</v>
      </c>
      <c r="D55" s="39">
        <v>55.765000000000001</v>
      </c>
      <c r="E55" s="39">
        <v>56.34</v>
      </c>
      <c r="F55" s="39">
        <f t="shared" si="12"/>
        <v>86.250000000000426</v>
      </c>
      <c r="G55" s="39">
        <f t="shared" si="13"/>
        <v>8364.75</v>
      </c>
      <c r="H55" s="222">
        <f t="shared" si="14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2"/>
        <v>113.14000000000064</v>
      </c>
      <c r="G56" s="39">
        <f t="shared" si="13"/>
        <v>5520.86</v>
      </c>
      <c r="H56" s="222">
        <f t="shared" si="14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2"/>
        <v>278.99999999999989</v>
      </c>
      <c r="G57" s="39">
        <f t="shared" si="13"/>
        <v>4071</v>
      </c>
      <c r="H57" s="222">
        <f t="shared" si="14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2"/>
        <v>439.8000000000003</v>
      </c>
      <c r="G58" s="39">
        <f t="shared" si="13"/>
        <v>3168</v>
      </c>
      <c r="H58" s="222">
        <f t="shared" si="14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2"/>
        <v>146.64000000000001</v>
      </c>
      <c r="G59" s="39">
        <f t="shared" si="13"/>
        <v>5448.3600000000006</v>
      </c>
      <c r="H59" s="222">
        <f t="shared" si="14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228">
        <v>100</v>
      </c>
      <c r="D60" s="229">
        <v>54.189599999999999</v>
      </c>
      <c r="E60" s="39">
        <v>51.99</v>
      </c>
      <c r="F60" s="39">
        <f t="shared" ref="F60:F66" si="15">C60*(E60-D60)</f>
        <v>-219.95999999999967</v>
      </c>
      <c r="G60" s="39">
        <f t="shared" ref="G60:G66" si="16">D60*C60</f>
        <v>5418.96</v>
      </c>
      <c r="H60" s="222">
        <f t="shared" ref="H60:H66" si="17">(E60-D60)/D60</f>
        <v>-4.0590814473625877E-2</v>
      </c>
      <c r="I60" s="39" t="s">
        <v>957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10">
        <v>150</v>
      </c>
      <c r="D61" s="39">
        <v>52.8431</v>
      </c>
      <c r="E61" s="39">
        <v>50.21</v>
      </c>
      <c r="F61" s="39">
        <f t="shared" si="15"/>
        <v>-394.9649999999998</v>
      </c>
      <c r="G61" s="39">
        <f t="shared" si="16"/>
        <v>7926.4650000000001</v>
      </c>
      <c r="H61" s="222">
        <f t="shared" si="17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si="15"/>
        <v>-1294.9649999999999</v>
      </c>
      <c r="G62" s="39">
        <f t="shared" si="16"/>
        <v>7926.4650000000001</v>
      </c>
      <c r="H62" s="222">
        <f t="shared" si="17"/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si="15"/>
        <v>-1131.4650000000004</v>
      </c>
      <c r="G63" s="39">
        <f t="shared" si="16"/>
        <v>7926.4650000000001</v>
      </c>
      <c r="H63" s="222">
        <f t="shared" si="17"/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si="15"/>
        <v>-1105.9650000000001</v>
      </c>
      <c r="G64" s="39">
        <f t="shared" si="16"/>
        <v>7926.4650000000001</v>
      </c>
      <c r="H64" s="222">
        <f t="shared" si="17"/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10">
        <v>150</v>
      </c>
      <c r="D65" s="39">
        <v>52.353000000000002</v>
      </c>
      <c r="E65" s="39">
        <v>42.49</v>
      </c>
      <c r="F65" s="39">
        <f t="shared" si="15"/>
        <v>-1479.4499999999998</v>
      </c>
      <c r="G65" s="39">
        <f t="shared" si="16"/>
        <v>7852.95</v>
      </c>
      <c r="H65" s="222">
        <f t="shared" si="17"/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A66">
        <v>150</v>
      </c>
      <c r="B66" s="184">
        <v>43279</v>
      </c>
      <c r="C66" s="10">
        <v>150</v>
      </c>
      <c r="D66" s="39">
        <v>52.353000000000002</v>
      </c>
      <c r="E66" s="39">
        <v>44.68</v>
      </c>
      <c r="F66" s="39">
        <f t="shared" si="15"/>
        <v>-1150.9500000000003</v>
      </c>
      <c r="G66" s="39">
        <f t="shared" si="16"/>
        <v>7852.95</v>
      </c>
      <c r="H66" s="222">
        <f t="shared" si="17"/>
        <v>-0.14656275667105995</v>
      </c>
      <c r="I66" s="39"/>
      <c r="J66" s="39">
        <v>-1101</v>
      </c>
      <c r="K66" s="39"/>
      <c r="L66" s="39">
        <v>14.5</v>
      </c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B70" s="184"/>
      <c r="C70" s="10"/>
      <c r="D70" s="39"/>
      <c r="E70" s="39"/>
      <c r="F70" s="39"/>
      <c r="G70" s="39"/>
      <c r="H70" s="222"/>
      <c r="I70" s="39"/>
      <c r="J70" s="39"/>
      <c r="K70" s="39"/>
      <c r="L70" s="39"/>
    </row>
    <row r="71" spans="1:13" x14ac:dyDescent="0.25"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13" x14ac:dyDescent="0.25"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13" x14ac:dyDescent="0.25"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5" spans="1:13" x14ac:dyDescent="0.25">
      <c r="L75" t="s">
        <v>207</v>
      </c>
      <c r="M75" s="2">
        <f>M84+K84-F84</f>
        <v>49.949999999999818</v>
      </c>
    </row>
    <row r="76" spans="1:13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68" t="s">
        <v>7</v>
      </c>
      <c r="J76" s="368" t="s">
        <v>95</v>
      </c>
      <c r="K76" s="368" t="s">
        <v>61</v>
      </c>
      <c r="L76" s="368" t="s">
        <v>77</v>
      </c>
      <c r="M76" s="368" t="s">
        <v>38</v>
      </c>
    </row>
    <row r="77" spans="1:13" x14ac:dyDescent="0.25">
      <c r="A77" s="371" t="s">
        <v>171</v>
      </c>
      <c r="B77" s="373">
        <v>42376</v>
      </c>
      <c r="C77" s="362">
        <v>50</v>
      </c>
      <c r="D77" s="363">
        <v>55.15</v>
      </c>
      <c r="E77" s="363">
        <v>0</v>
      </c>
      <c r="F77" s="363">
        <f>C77*D77+E77</f>
        <v>2757.5</v>
      </c>
      <c r="G77" s="361">
        <v>42409</v>
      </c>
      <c r="H77" s="366">
        <v>50</v>
      </c>
      <c r="I77" s="363">
        <v>56.15</v>
      </c>
      <c r="J77" s="363">
        <v>0.05</v>
      </c>
      <c r="K77" s="362">
        <f>H77*I77-J77</f>
        <v>2807.45</v>
      </c>
      <c r="L77" s="361"/>
      <c r="M77" s="363"/>
    </row>
    <row r="78" spans="1:13" x14ac:dyDescent="0.25">
      <c r="A78" s="372" t="s">
        <v>71</v>
      </c>
      <c r="B78" s="373"/>
      <c r="C78" s="362"/>
      <c r="D78" s="363"/>
      <c r="E78" s="363"/>
      <c r="F78" s="363"/>
      <c r="G78" s="361"/>
      <c r="H78" s="362"/>
      <c r="I78" s="362"/>
      <c r="J78" s="362"/>
      <c r="K78" s="362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2"/>
      <c r="I80" s="362"/>
      <c r="J80" s="362"/>
      <c r="K80" s="362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2"/>
      <c r="J83" s="362"/>
      <c r="K83" s="362"/>
      <c r="L83" s="362"/>
      <c r="M83" s="362"/>
    </row>
    <row r="84" spans="1:13" x14ac:dyDescent="0.25">
      <c r="A84" s="21" t="s">
        <v>81</v>
      </c>
      <c r="B84" s="12"/>
      <c r="C84" s="12">
        <f>SUM(C77:C83)</f>
        <v>50</v>
      </c>
      <c r="D84" s="13"/>
      <c r="E84" s="13"/>
      <c r="F84" s="13">
        <f>SUM(F77:F83)</f>
        <v>2757.5</v>
      </c>
      <c r="G84" s="12"/>
      <c r="H84" s="12">
        <f>SUM(H77:H80)</f>
        <v>50</v>
      </c>
      <c r="I84" s="12"/>
      <c r="J84" s="12"/>
      <c r="K84" s="12">
        <f>SUM(K77:K80)</f>
        <v>2807.45</v>
      </c>
      <c r="L84" s="12"/>
      <c r="M84" s="13">
        <f>SUM(M77:M80)</f>
        <v>0</v>
      </c>
    </row>
    <row r="85" spans="1:13" x14ac:dyDescent="0.25">
      <c r="A85" s="362"/>
      <c r="B85" s="362"/>
      <c r="C85" s="362"/>
      <c r="D85" s="363"/>
      <c r="E85" s="363"/>
      <c r="F85" s="363"/>
      <c r="G85" s="362"/>
      <c r="H85" s="362"/>
      <c r="I85" s="362"/>
      <c r="J85" s="362"/>
      <c r="K85" s="362"/>
      <c r="L85" s="362"/>
      <c r="M85" s="362"/>
    </row>
  </sheetData>
  <mergeCells count="1">
    <mergeCell ref="O17:P17"/>
  </mergeCells>
  <conditionalFormatting sqref="O18:O38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F70:F73 H70:H73">
    <cfRule type="expression" dxfId="81" priority="37">
      <formula>F25&gt;0</formula>
    </cfRule>
    <cfRule type="expression" dxfId="80" priority="38">
      <formula>F25&lt;0</formula>
    </cfRule>
  </conditionalFormatting>
  <conditionalFormatting sqref="Q8">
    <cfRule type="expression" dxfId="79" priority="31">
      <formula>Q8&gt;0</formula>
    </cfRule>
    <cfRule type="expression" dxfId="78" priority="32">
      <formula>Q8&lt;0</formula>
    </cfRule>
  </conditionalFormatting>
  <conditionalFormatting sqref="Q7">
    <cfRule type="expression" dxfId="77" priority="33">
      <formula>Q7&gt;0</formula>
    </cfRule>
    <cfRule type="expression" dxfId="76" priority="34">
      <formula>Q7&lt;0</formula>
    </cfRule>
  </conditionalFormatting>
  <conditionalFormatting sqref="M75">
    <cfRule type="expression" dxfId="75" priority="29">
      <formula>M75&gt;0</formula>
    </cfRule>
    <cfRule type="expression" dxfId="74" priority="30">
      <formula>M75&lt;0</formula>
    </cfRule>
  </conditionalFormatting>
  <conditionalFormatting sqref="J39">
    <cfRule type="expression" dxfId="73" priority="27">
      <formula>J39&gt;0</formula>
    </cfRule>
    <cfRule type="expression" dxfId="72" priority="28">
      <formula>J39&lt;0</formula>
    </cfRule>
  </conditionalFormatting>
  <conditionalFormatting sqref="J40:J52 J53:K61 J70:K71 K63:K65">
    <cfRule type="expression" dxfId="71" priority="25">
      <formula>J40&gt;0</formula>
    </cfRule>
    <cfRule type="expression" dxfId="70" priority="26">
      <formula>J40&lt;0</formula>
    </cfRule>
  </conditionalFormatting>
  <conditionalFormatting sqref="Q10">
    <cfRule type="expression" dxfId="69" priority="23">
      <formula>Q10&gt;0</formula>
    </cfRule>
    <cfRule type="expression" dxfId="68" priority="24">
      <formula>Q10&lt;0</formula>
    </cfRule>
  </conditionalFormatting>
  <conditionalFormatting sqref="Q9">
    <cfRule type="expression" dxfId="67" priority="21">
      <formula>Q9&gt;0</formula>
    </cfRule>
    <cfRule type="expression" dxfId="66" priority="22">
      <formula>Q9&lt;0</formula>
    </cfRule>
  </conditionalFormatting>
  <conditionalFormatting sqref="F62 H62">
    <cfRule type="expression" dxfId="65" priority="19">
      <formula>F62&gt;0</formula>
    </cfRule>
    <cfRule type="expression" dxfId="64" priority="20">
      <formula>F62&lt;0</formula>
    </cfRule>
  </conditionalFormatting>
  <conditionalFormatting sqref="J62:K62">
    <cfRule type="expression" dxfId="63" priority="17">
      <formula>J62&gt;0</formula>
    </cfRule>
    <cfRule type="expression" dxfId="62" priority="18">
      <formula>J62&lt;0</formula>
    </cfRule>
  </conditionalFormatting>
  <conditionalFormatting sqref="F63 H63">
    <cfRule type="expression" dxfId="61" priority="15">
      <formula>F63&gt;0</formula>
    </cfRule>
    <cfRule type="expression" dxfId="60" priority="16">
      <formula>F63&lt;0</formula>
    </cfRule>
  </conditionalFormatting>
  <conditionalFormatting sqref="J63">
    <cfRule type="expression" dxfId="59" priority="13">
      <formula>J63&gt;0</formula>
    </cfRule>
    <cfRule type="expression" dxfId="58" priority="14">
      <formula>J63&lt;0</formula>
    </cfRule>
  </conditionalFormatting>
  <conditionalFormatting sqref="F64:F66 H64:H66">
    <cfRule type="expression" dxfId="57" priority="11">
      <formula>F64&gt;0</formula>
    </cfRule>
    <cfRule type="expression" dxfId="56" priority="12">
      <formula>F64&lt;0</formula>
    </cfRule>
  </conditionalFormatting>
  <conditionalFormatting sqref="J64:J66">
    <cfRule type="expression" dxfId="55" priority="9">
      <formula>J64&gt;0</formula>
    </cfRule>
    <cfRule type="expression" dxfId="54" priority="10">
      <formula>J64&lt;0</formula>
    </cfRule>
  </conditionalFormatting>
  <conditionalFormatting sqref="L53:L57">
    <cfRule type="expression" dxfId="53" priority="7">
      <formula>L53&gt;0</formula>
    </cfRule>
    <cfRule type="expression" dxfId="52" priority="8">
      <formula>L53&lt;0</formula>
    </cfRule>
  </conditionalFormatting>
  <conditionalFormatting sqref="F67:F69 H67:H69">
    <cfRule type="expression" dxfId="51" priority="3">
      <formula>F67&gt;0</formula>
    </cfRule>
    <cfRule type="expression" dxfId="50" priority="4">
      <formula>F67&lt;0</formula>
    </cfRule>
  </conditionalFormatting>
  <conditionalFormatting sqref="J67:K67 K66">
    <cfRule type="expression" dxfId="49" priority="1">
      <formula>J66&gt;0</formula>
    </cfRule>
    <cfRule type="expression" dxfId="48" priority="2">
      <formula>J66&lt;0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40.090000000000003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40.090000000000003</v>
      </c>
      <c r="R4" s="475">
        <v>8.6E-3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207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207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9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9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51" t="s">
        <v>78</v>
      </c>
      <c r="P41" s="851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44.099000000000011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43.698100000000004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43.297200000000004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42.896300000000004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42.495400000000004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42.094500000000004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41.693600000000004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41.292700000000004</v>
      </c>
      <c r="Q49" s="2"/>
      <c r="T49" s="10" t="s">
        <v>103</v>
      </c>
      <c r="U49" s="10" t="s">
        <v>526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40.891800000000003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40.490900000000003</v>
      </c>
      <c r="Q51" s="2"/>
      <c r="T51" s="10" t="s">
        <v>104</v>
      </c>
      <c r="U51" s="10" t="s">
        <v>657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40.090000000000003</v>
      </c>
      <c r="Q52" s="2"/>
      <c r="T52" s="10" t="s">
        <v>105</v>
      </c>
      <c r="U52" s="10" t="s">
        <v>480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39.689100000000003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39.288200000000003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38.887300000000003</v>
      </c>
      <c r="T55" s="10" t="s">
        <v>107</v>
      </c>
      <c r="U55" s="10" t="s">
        <v>658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38.486400000000003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38.085500000000003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37.684600000000003</v>
      </c>
      <c r="T58" s="10" t="s">
        <v>108</v>
      </c>
      <c r="U58" s="10" t="s">
        <v>553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37.283700000000003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36.882800000000003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36.481900000000003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36.081000000000003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214.16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214.16</v>
      </c>
      <c r="R4" s="475">
        <v>1.0999999999999999E-2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208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207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207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51" t="s">
        <v>78</v>
      </c>
      <c r="P45" s="851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235.57600000000002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233.43440000000001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231.2928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229.15120000000002</v>
      </c>
      <c r="Q49" s="2"/>
      <c r="T49" s="91" t="s">
        <v>103</v>
      </c>
      <c r="U49" s="416" t="s">
        <v>554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227.00960000000001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224.86799999999999</v>
      </c>
      <c r="Q51" s="2"/>
      <c r="T51" s="91" t="s">
        <v>104</v>
      </c>
      <c r="U51" s="416" t="s">
        <v>659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222.72640000000001</v>
      </c>
      <c r="Q52" s="2"/>
      <c r="T52" s="91" t="s">
        <v>105</v>
      </c>
      <c r="U52" s="416" t="s">
        <v>527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220.5848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218.44319999999999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216.30160000000001</v>
      </c>
      <c r="Q55" s="2"/>
      <c r="T55" s="91" t="s">
        <v>107</v>
      </c>
      <c r="U55" s="416" t="s">
        <v>660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214.16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212.01839999999999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209.8768</v>
      </c>
      <c r="Q58" s="2"/>
      <c r="T58" s="91" t="s">
        <v>108</v>
      </c>
      <c r="U58" s="416" t="s">
        <v>520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207.73519999999999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205.59359999999998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203.452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201.31039999999999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199.1688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197.02719999999999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194.88560000000001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192.744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44.5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44.5</v>
      </c>
      <c r="R4" s="475">
        <v>-3.3999999999999998E-3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208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207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207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48.95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48.505000000000003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48.06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47.615000000000002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47.17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46.725000000000001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46.28</v>
      </c>
      <c r="Q49" s="2"/>
      <c r="T49" s="91" t="s">
        <v>121</v>
      </c>
      <c r="U49" s="416" t="s">
        <v>371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45.835000000000001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45.39</v>
      </c>
      <c r="Q51" s="2"/>
      <c r="T51" s="91" t="s">
        <v>104</v>
      </c>
      <c r="U51" s="416" t="s">
        <v>661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44.945</v>
      </c>
      <c r="Q52" s="2"/>
      <c r="T52" s="91" t="s">
        <v>105</v>
      </c>
      <c r="U52" s="416" t="s">
        <v>446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44.055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43.61</v>
      </c>
      <c r="Q55" s="2"/>
      <c r="T55" s="91" t="s">
        <v>107</v>
      </c>
      <c r="U55" s="416" t="s">
        <v>662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43.164999999999999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42.72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42.274999999999999</v>
      </c>
      <c r="Q58" s="2"/>
      <c r="T58" s="91" t="s">
        <v>108</v>
      </c>
      <c r="U58" s="416" t="s">
        <v>555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41.83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41.385000000000005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40.940000000000005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40.495000000000005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40.050000000000004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127.06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127.06</v>
      </c>
      <c r="R4" s="475">
        <v>3.0000000000000001E-3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208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207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207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211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51" t="s">
        <v>78</v>
      </c>
      <c r="Q39" s="851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139.76600000000002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138.49540000000002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137.22480000000002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135.95420000000001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134.68360000000001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133.41300000000001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132.14240000000001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130.87180000000001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129.60120000000001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128.3306</v>
      </c>
      <c r="T49" s="91" t="s">
        <v>121</v>
      </c>
      <c r="U49" s="86" t="s">
        <v>371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127.06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125.7894</v>
      </c>
      <c r="T51" s="91" t="s">
        <v>104</v>
      </c>
      <c r="U51" s="86" t="s">
        <v>663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124.5188</v>
      </c>
      <c r="T52" s="91" t="s">
        <v>105</v>
      </c>
      <c r="U52" s="86" t="s">
        <v>502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123.2482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121.9776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120.70699999999999</v>
      </c>
      <c r="T55" s="91" t="s">
        <v>107</v>
      </c>
      <c r="U55" s="86" t="s">
        <v>664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119.43639999999999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118.1658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116.8952</v>
      </c>
      <c r="T58" s="91" t="s">
        <v>108</v>
      </c>
      <c r="U58" s="86" t="s">
        <v>556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115.6246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114.354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255.54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255.54</v>
      </c>
      <c r="R4" s="475">
        <v>7.4000000000000003E-3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208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207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534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207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51" t="s">
        <v>78</v>
      </c>
      <c r="P41" s="851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281.09399999999999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278.53860000000003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275.98320000000001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273.42779999999999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270.87240000000003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268.31700000000001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265.76159999999999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263.20620000000002</v>
      </c>
      <c r="Q49" s="81"/>
      <c r="T49" s="91" t="s">
        <v>103</v>
      </c>
      <c r="U49" s="86" t="s">
        <v>515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260.6508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258.09539999999998</v>
      </c>
      <c r="Q51" s="81"/>
      <c r="T51" s="91" t="s">
        <v>104</v>
      </c>
      <c r="U51" s="86" t="s">
        <v>665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255.54</v>
      </c>
      <c r="Q52" s="81"/>
      <c r="T52" s="91" t="s">
        <v>105</v>
      </c>
      <c r="U52" s="86" t="s">
        <v>510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252.9846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250.42919999999998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247.87379999999999</v>
      </c>
      <c r="Q55" s="81"/>
      <c r="T55" s="91" t="s">
        <v>107</v>
      </c>
      <c r="U55" s="86" t="s">
        <v>666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245.3184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242.76299999999998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240.20759999999999</v>
      </c>
      <c r="Q58" s="81"/>
      <c r="T58" s="91" t="s">
        <v>108</v>
      </c>
      <c r="U58" s="86" t="s">
        <v>557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237.65219999999999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235.0968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232.54140000000001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229.98599999999999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88</vt:i4>
      </vt:variant>
      <vt:variant>
        <vt:lpstr>Named Ranges</vt:lpstr>
      </vt:variant>
      <vt:variant>
        <vt:i4>76</vt:i4>
      </vt:variant>
    </vt:vector>
  </HeadingPairs>
  <TitlesOfParts>
    <vt:vector size="164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2018-07-17T02:51:47Z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