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6.xml" ContentType="application/vnd.openxmlformats-officedocument.spreadsheetml.queryTable+xml"/>
  <Override PartName="/xl/tables/table4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KR" sheetId="51" state="hidden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GIS!#REF!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WFC!#REF!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9" i="100" l="1"/>
  <c r="G29" i="100"/>
  <c r="H29" i="100"/>
  <c r="F94" i="58"/>
  <c r="G94" i="58"/>
  <c r="H94" i="58"/>
  <c r="K32" i="58"/>
  <c r="H32" i="58"/>
  <c r="F204" i="25"/>
  <c r="H204" i="25"/>
  <c r="G204" i="25"/>
  <c r="A628" i="38"/>
  <c r="D628" i="38"/>
  <c r="E628" i="38"/>
  <c r="G628" i="38"/>
  <c r="H628" i="38"/>
  <c r="K628" i="38"/>
  <c r="L628" i="38"/>
  <c r="P628" i="38" s="1"/>
  <c r="Q628" i="38" s="1"/>
  <c r="M628" i="38"/>
  <c r="N628" i="38" s="1"/>
  <c r="S628" i="38"/>
  <c r="V628" i="38"/>
  <c r="F116" i="51"/>
  <c r="G116" i="51"/>
  <c r="H116" i="51"/>
  <c r="K22" i="51"/>
  <c r="W628" i="38" l="1"/>
  <c r="X628" i="38"/>
  <c r="O628" i="38"/>
  <c r="Y628" i="38" s="1"/>
  <c r="Z628" i="38"/>
  <c r="U628" i="38"/>
  <c r="F52" i="70"/>
  <c r="H52" i="70"/>
  <c r="G52" i="70"/>
  <c r="F59" i="77"/>
  <c r="H59" i="77"/>
  <c r="G59" i="77"/>
  <c r="K18" i="91"/>
  <c r="H18" i="91"/>
  <c r="F37" i="91"/>
  <c r="H37" i="91"/>
  <c r="G37" i="91"/>
  <c r="A627" i="38"/>
  <c r="D627" i="38"/>
  <c r="E627" i="38"/>
  <c r="G627" i="38"/>
  <c r="H627" i="38"/>
  <c r="K627" i="38"/>
  <c r="L627" i="38"/>
  <c r="P627" i="38" s="1"/>
  <c r="Q627" i="38" s="1"/>
  <c r="M627" i="38"/>
  <c r="N627" i="38" s="1"/>
  <c r="S627" i="38"/>
  <c r="V627" i="38"/>
  <c r="W627" i="38" l="1"/>
  <c r="X627" i="38"/>
  <c r="O627" i="38"/>
  <c r="Y627" i="38" s="1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C32" i="5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03" i="25"/>
  <c r="H203" i="25"/>
  <c r="G203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Q11" i="49"/>
  <c r="R11" i="49"/>
  <c r="C23" i="81"/>
  <c r="H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/>
  <c r="M621" i="38"/>
  <c r="S621" i="38"/>
  <c r="Q13" i="89"/>
  <c r="Q13" i="75"/>
  <c r="Q13" i="31"/>
  <c r="Q13" i="93"/>
  <c r="Q13" i="97"/>
  <c r="Q13" i="100"/>
  <c r="Q11" i="100"/>
  <c r="Q13" i="49"/>
  <c r="Q13" i="102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15" i="51"/>
  <c r="G115" i="51"/>
  <c r="H115" i="51"/>
  <c r="Q13" i="51"/>
  <c r="Q13" i="58"/>
  <c r="N621" i="38" l="1"/>
  <c r="U621" i="38"/>
  <c r="P621" i="38"/>
  <c r="O621" i="38"/>
  <c r="Z621" i="38"/>
  <c r="Q13" i="88"/>
  <c r="Q13" i="82"/>
  <c r="F58" i="77"/>
  <c r="H58" i="77"/>
  <c r="G58" i="77"/>
  <c r="F27" i="100" l="1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C18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0" i="25"/>
  <c r="H200" i="25"/>
  <c r="G200" i="25"/>
  <c r="K54" i="25"/>
  <c r="F90" i="58"/>
  <c r="H90" i="58"/>
  <c r="G90" i="58"/>
  <c r="K16" i="58"/>
  <c r="N619" i="38" l="1"/>
  <c r="Z619" i="38" s="1"/>
  <c r="O619" i="38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4" i="51"/>
  <c r="G114" i="51"/>
  <c r="H114" i="51"/>
  <c r="K21" i="51"/>
  <c r="Z618" i="38" l="1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C41" i="51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H41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C85" i="103"/>
  <c r="M19" i="103"/>
  <c r="K19" i="103"/>
  <c r="F85" i="103"/>
  <c r="C19" i="103"/>
  <c r="F19" i="103"/>
  <c r="H85" i="103"/>
  <c r="M85" i="103"/>
  <c r="H19" i="103"/>
  <c r="K85" i="103"/>
  <c r="K18" i="89" l="1"/>
  <c r="M66" i="103"/>
  <c r="Q10" i="103" s="1"/>
  <c r="Q8" i="103"/>
  <c r="Q7" i="103" s="1"/>
  <c r="Z610" i="38"/>
  <c r="O610" i="38"/>
  <c r="P610" i="38"/>
  <c r="U610" i="38"/>
  <c r="Q5" i="103"/>
  <c r="Q3" i="103"/>
  <c r="Q6" i="103" s="1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M85" i="102"/>
  <c r="K85" i="102"/>
  <c r="C19" i="102"/>
  <c r="H19" i="102"/>
  <c r="K19" i="102"/>
  <c r="C85" i="102"/>
  <c r="F19" i="102"/>
  <c r="F85" i="102"/>
  <c r="H85" i="102"/>
  <c r="M19" i="102"/>
  <c r="P609" i="38" l="1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H85" i="101"/>
  <c r="K85" i="101"/>
  <c r="C19" i="99"/>
  <c r="M19" i="101"/>
  <c r="F19" i="101"/>
  <c r="M85" i="100"/>
  <c r="C85" i="101"/>
  <c r="K19" i="99"/>
  <c r="M85" i="101"/>
  <c r="F85" i="100"/>
  <c r="C85" i="99"/>
  <c r="M19" i="99"/>
  <c r="C19" i="101"/>
  <c r="M19" i="100"/>
  <c r="H85" i="100"/>
  <c r="F19" i="99"/>
  <c r="H19" i="100"/>
  <c r="C19" i="100"/>
  <c r="M85" i="99"/>
  <c r="K85" i="100"/>
  <c r="H19" i="99"/>
  <c r="F85" i="101"/>
  <c r="F19" i="100"/>
  <c r="H19" i="101"/>
  <c r="K19" i="100"/>
  <c r="H85" i="99"/>
  <c r="K85" i="99"/>
  <c r="F85" i="99"/>
  <c r="C85" i="100"/>
  <c r="K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06" i="51"/>
  <c r="G106" i="51"/>
  <c r="H106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C19" i="98"/>
  <c r="K85" i="98"/>
  <c r="M19" i="98"/>
  <c r="H85" i="97"/>
  <c r="C85" i="97"/>
  <c r="M85" i="98"/>
  <c r="H85" i="98"/>
  <c r="K19" i="97"/>
  <c r="C85" i="98"/>
  <c r="H19" i="97"/>
  <c r="F19" i="97"/>
  <c r="M19" i="97"/>
  <c r="F85" i="98"/>
  <c r="K85" i="97"/>
  <c r="F19" i="98"/>
  <c r="H19" i="98"/>
  <c r="M85" i="97"/>
  <c r="K19" i="98"/>
  <c r="C19" i="97"/>
  <c r="F85" i="97"/>
  <c r="Q2" i="98" l="1"/>
  <c r="Q5" i="98" s="1"/>
  <c r="Q2" i="97"/>
  <c r="Q8" i="97" s="1"/>
  <c r="M66" i="97"/>
  <c r="Q10" i="97" s="1"/>
  <c r="M66" i="98"/>
  <c r="Q10" i="98" s="1"/>
  <c r="Q8" i="98"/>
  <c r="Q3" i="98"/>
  <c r="Q6" i="98" s="1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H85" i="96"/>
  <c r="F19" i="96"/>
  <c r="K85" i="96"/>
  <c r="K19" i="96"/>
  <c r="C19" i="96"/>
  <c r="F85" i="96"/>
  <c r="M85" i="96"/>
  <c r="M19" i="96"/>
  <c r="H19" i="96"/>
  <c r="C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04" i="51"/>
  <c r="G104" i="51"/>
  <c r="H104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F19" i="95"/>
  <c r="F85" i="95"/>
  <c r="M19" i="95"/>
  <c r="M85" i="95"/>
  <c r="K85" i="95"/>
  <c r="H85" i="95"/>
  <c r="K19" i="95"/>
  <c r="C85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3" i="95"/>
  <c r="Q6" i="95" s="1"/>
  <c r="Q9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02" i="51"/>
  <c r="G102" i="51"/>
  <c r="H102" i="51"/>
  <c r="F29" i="51"/>
  <c r="C85" i="94"/>
  <c r="C19" i="94"/>
  <c r="M85" i="94"/>
  <c r="H85" i="94"/>
  <c r="M19" i="94"/>
  <c r="F19" i="94"/>
  <c r="K85" i="94"/>
  <c r="H19" i="94"/>
  <c r="K19" i="94"/>
  <c r="F85" i="94"/>
  <c r="Q2" i="94" l="1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M19" i="93"/>
  <c r="M85" i="93"/>
  <c r="H85" i="93"/>
  <c r="K19" i="93"/>
  <c r="F85" i="93"/>
  <c r="K85" i="93"/>
  <c r="F19" i="93"/>
  <c r="H19" i="93"/>
  <c r="C19" i="93"/>
  <c r="C85" i="93"/>
  <c r="Q8" i="94" l="1"/>
  <c r="Q3" i="94"/>
  <c r="Q6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8" i="47" s="1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K85" i="91"/>
  <c r="F85" i="92"/>
  <c r="C19" i="92"/>
  <c r="M19" i="92"/>
  <c r="M85" i="92"/>
  <c r="F85" i="91"/>
  <c r="F19" i="92"/>
  <c r="M85" i="91"/>
  <c r="C19" i="91"/>
  <c r="H85" i="92"/>
  <c r="H85" i="91"/>
  <c r="C85" i="91"/>
  <c r="K85" i="92"/>
  <c r="F19" i="91"/>
  <c r="K19" i="92"/>
  <c r="C85" i="92"/>
  <c r="H19" i="92"/>
  <c r="K19" i="91"/>
  <c r="H19" i="91"/>
  <c r="M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5" i="81"/>
  <c r="H35" i="81"/>
  <c r="G35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19" i="90"/>
  <c r="K19" i="90"/>
  <c r="F85" i="90"/>
  <c r="M85" i="90"/>
  <c r="F19" i="90"/>
  <c r="M19" i="90"/>
  <c r="C19" i="90"/>
  <c r="K85" i="90"/>
  <c r="C85" i="90"/>
  <c r="H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M19" i="89"/>
  <c r="C85" i="89"/>
  <c r="F19" i="89"/>
  <c r="H85" i="89"/>
  <c r="C19" i="89"/>
  <c r="K85" i="89"/>
  <c r="H19" i="89"/>
  <c r="M85" i="89"/>
  <c r="F85" i="89"/>
  <c r="K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9" i="88"/>
  <c r="M19" i="88"/>
  <c r="C85" i="87"/>
  <c r="H85" i="88"/>
  <c r="H85" i="87"/>
  <c r="C19" i="87"/>
  <c r="M19" i="87"/>
  <c r="C85" i="88"/>
  <c r="H19" i="87"/>
  <c r="K85" i="87"/>
  <c r="K85" i="88"/>
  <c r="M85" i="87"/>
  <c r="C19" i="88"/>
  <c r="F85" i="87"/>
  <c r="M85" i="88"/>
  <c r="F19" i="87"/>
  <c r="K19" i="87"/>
  <c r="F85" i="88"/>
  <c r="K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K85" i="86"/>
  <c r="F19" i="86"/>
  <c r="C85" i="86"/>
  <c r="K19" i="86"/>
  <c r="H19" i="86"/>
  <c r="C19" i="86"/>
  <c r="H85" i="86"/>
  <c r="M19" i="86"/>
  <c r="M85" i="86"/>
  <c r="F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H22" i="46"/>
  <c r="M22" i="46"/>
  <c r="C22" i="46"/>
  <c r="K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76" i="51"/>
  <c r="G76" i="51"/>
  <c r="H76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75" i="51"/>
  <c r="G75" i="51"/>
  <c r="H75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H85" i="85"/>
  <c r="F19" i="85"/>
  <c r="C85" i="85"/>
  <c r="M19" i="85"/>
  <c r="C19" i="85"/>
  <c r="F85" i="85"/>
  <c r="H19" i="85"/>
  <c r="K85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3"/>
  <c r="M85" i="84"/>
  <c r="M19" i="83"/>
  <c r="F85" i="83"/>
  <c r="K85" i="83"/>
  <c r="C85" i="83"/>
  <c r="F85" i="84"/>
  <c r="M19" i="84"/>
  <c r="H19" i="83"/>
  <c r="C85" i="84"/>
  <c r="F19" i="84"/>
  <c r="K19" i="83"/>
  <c r="H85" i="83"/>
  <c r="K85" i="84"/>
  <c r="M85" i="83"/>
  <c r="C19" i="83"/>
  <c r="H19" i="84"/>
  <c r="C19" i="84"/>
  <c r="H85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72" i="51"/>
  <c r="G72" i="51"/>
  <c r="H72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85" i="82"/>
  <c r="H19" i="82"/>
  <c r="K85" i="82"/>
  <c r="F19" i="82"/>
  <c r="C85" i="82"/>
  <c r="C19" i="82"/>
  <c r="M19" i="82"/>
  <c r="C18" i="74"/>
  <c r="M18" i="74"/>
  <c r="F85" i="82"/>
  <c r="H18" i="74"/>
  <c r="M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C96" i="31"/>
  <c r="M78" i="75"/>
  <c r="F96" i="31"/>
  <c r="M96" i="31"/>
  <c r="H96" i="31"/>
  <c r="K96" i="31"/>
  <c r="H78" i="75"/>
  <c r="C78" i="75"/>
  <c r="F78" i="75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K19" i="64"/>
  <c r="H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90" i="81"/>
  <c r="C90" i="81"/>
  <c r="F24" i="81"/>
  <c r="H90" i="81"/>
  <c r="K90" i="81"/>
  <c r="M24" i="81"/>
  <c r="F90" i="81"/>
  <c r="H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F19" i="80"/>
  <c r="K85" i="80"/>
  <c r="M19" i="80"/>
  <c r="M85" i="80"/>
  <c r="C19" i="80"/>
  <c r="C85" i="80"/>
  <c r="F85" i="80"/>
  <c r="K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M19" i="79"/>
  <c r="K65" i="79"/>
  <c r="F19" i="79"/>
  <c r="K19" i="79"/>
  <c r="H65" i="79"/>
  <c r="C19" i="79"/>
  <c r="H19" i="79"/>
  <c r="C65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K19" i="78"/>
  <c r="F85" i="78"/>
  <c r="K85" i="78"/>
  <c r="C19" i="78"/>
  <c r="M19" i="78"/>
  <c r="C85" i="78"/>
  <c r="H19" i="78"/>
  <c r="F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5" i="77"/>
  <c r="M19" i="77"/>
  <c r="F85" i="77"/>
  <c r="F19" i="77"/>
  <c r="C85" i="77"/>
  <c r="C19" i="77"/>
  <c r="M85" i="77"/>
  <c r="K85" i="77"/>
  <c r="H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62" i="51"/>
  <c r="G62" i="51"/>
  <c r="H62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F77" i="69"/>
  <c r="H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C19" i="76"/>
  <c r="K19" i="76"/>
  <c r="F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59" i="51"/>
  <c r="G59" i="51"/>
  <c r="H59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7" i="51"/>
  <c r="G57" i="51"/>
  <c r="H57" i="51"/>
  <c r="F11" i="51"/>
  <c r="F10" i="51"/>
  <c r="F9" i="51"/>
  <c r="C93" i="68"/>
  <c r="M93" i="68"/>
  <c r="H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5" i="51"/>
  <c r="G55" i="51"/>
  <c r="H55" i="51"/>
  <c r="F7" i="51"/>
  <c r="P364" i="38" l="1"/>
  <c r="N364" i="38"/>
  <c r="K80" i="53"/>
  <c r="F80" i="53"/>
  <c r="H86" i="25"/>
  <c r="G86" i="25"/>
  <c r="F86" i="25"/>
  <c r="M734" i="25"/>
  <c r="H734" i="25"/>
  <c r="C734" i="25"/>
  <c r="F710" i="25"/>
  <c r="F709" i="25"/>
  <c r="F708" i="25"/>
  <c r="F707" i="25"/>
  <c r="F706" i="25"/>
  <c r="F705" i="25"/>
  <c r="F704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F616" i="25"/>
  <c r="F615" i="25"/>
  <c r="F614" i="25"/>
  <c r="K613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35" i="25"/>
  <c r="H735" i="25"/>
  <c r="K735" i="25"/>
  <c r="F735" i="25"/>
  <c r="M735" i="25"/>
  <c r="O364" i="38" l="1"/>
  <c r="Z364" i="38"/>
  <c r="N363" i="38"/>
  <c r="F734" i="25"/>
  <c r="K734" i="25"/>
  <c r="P363" i="38"/>
  <c r="O363" i="38" l="1"/>
  <c r="Z363" i="38"/>
  <c r="M47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K18" i="47"/>
  <c r="H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9" i="51"/>
  <c r="H242" i="51"/>
  <c r="C242" i="51"/>
  <c r="F236" i="51"/>
  <c r="F235" i="51"/>
  <c r="F234" i="51"/>
  <c r="K233" i="51"/>
  <c r="F233" i="51"/>
  <c r="K232" i="51"/>
  <c r="F232" i="51"/>
  <c r="K231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F217" i="51"/>
  <c r="K216" i="51"/>
  <c r="F216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P43" i="51"/>
  <c r="H137" i="51"/>
  <c r="G137" i="51"/>
  <c r="F137" i="51"/>
  <c r="P42" i="51"/>
  <c r="H136" i="51"/>
  <c r="G136" i="51"/>
  <c r="F136" i="51"/>
  <c r="P41" i="51"/>
  <c r="H135" i="51"/>
  <c r="G135" i="51"/>
  <c r="F135" i="51"/>
  <c r="P40" i="51"/>
  <c r="H134" i="51"/>
  <c r="G134" i="51"/>
  <c r="F134" i="51"/>
  <c r="P39" i="51"/>
  <c r="H133" i="51"/>
  <c r="G133" i="51"/>
  <c r="F133" i="51"/>
  <c r="P38" i="51"/>
  <c r="H132" i="51"/>
  <c r="G132" i="51"/>
  <c r="F132" i="51"/>
  <c r="P37" i="51"/>
  <c r="H131" i="51"/>
  <c r="G131" i="51"/>
  <c r="F131" i="51"/>
  <c r="P36" i="51"/>
  <c r="H130" i="51"/>
  <c r="G130" i="51"/>
  <c r="F130" i="51"/>
  <c r="P35" i="51"/>
  <c r="H129" i="51"/>
  <c r="G129" i="51"/>
  <c r="F129" i="51"/>
  <c r="P34" i="51"/>
  <c r="H128" i="51"/>
  <c r="G128" i="51"/>
  <c r="F128" i="51"/>
  <c r="P33" i="51"/>
  <c r="H127" i="51"/>
  <c r="G127" i="51"/>
  <c r="F127" i="51"/>
  <c r="P32" i="51"/>
  <c r="H126" i="51"/>
  <c r="G126" i="51"/>
  <c r="F126" i="51"/>
  <c r="P31" i="51"/>
  <c r="H125" i="51"/>
  <c r="G125" i="51"/>
  <c r="F125" i="51"/>
  <c r="P30" i="51"/>
  <c r="H124" i="51"/>
  <c r="G124" i="51"/>
  <c r="F124" i="51"/>
  <c r="P29" i="51"/>
  <c r="H123" i="51"/>
  <c r="G123" i="51"/>
  <c r="F123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H217" i="25"/>
  <c r="G217" i="25"/>
  <c r="H216" i="25"/>
  <c r="G216" i="25"/>
  <c r="H215" i="25"/>
  <c r="G215" i="25"/>
  <c r="H214" i="25"/>
  <c r="G214" i="25"/>
  <c r="H213" i="25"/>
  <c r="G213" i="25"/>
  <c r="H212" i="25"/>
  <c r="G212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75" i="41"/>
  <c r="H19" i="71"/>
  <c r="K19" i="75"/>
  <c r="K51" i="54"/>
  <c r="H19" i="54"/>
  <c r="F19" i="75"/>
  <c r="C19" i="54"/>
  <c r="H19" i="3"/>
  <c r="F19" i="69"/>
  <c r="C19" i="68"/>
  <c r="K65" i="71"/>
  <c r="K86" i="53"/>
  <c r="M19" i="52"/>
  <c r="C65" i="71"/>
  <c r="H65" i="63"/>
  <c r="H19" i="75"/>
  <c r="K19" i="73"/>
  <c r="K19" i="61"/>
  <c r="M65" i="63"/>
  <c r="K25" i="31"/>
  <c r="C85" i="64"/>
  <c r="M213" i="57"/>
  <c r="C19" i="70"/>
  <c r="H90" i="72"/>
  <c r="M63" i="66"/>
  <c r="K19" i="50"/>
  <c r="K156" i="49"/>
  <c r="M156" i="49"/>
  <c r="F18" i="74"/>
  <c r="M92" i="45"/>
  <c r="F19" i="63"/>
  <c r="M19" i="72"/>
  <c r="H30" i="40"/>
  <c r="F19" i="34"/>
  <c r="C63" i="66"/>
  <c r="C67" i="60"/>
  <c r="C19" i="71"/>
  <c r="H451" i="17"/>
  <c r="K18" i="74"/>
  <c r="C82" i="25"/>
  <c r="H19" i="50"/>
  <c r="C213" i="57"/>
  <c r="K119" i="7"/>
  <c r="H19" i="72"/>
  <c r="C19" i="72"/>
  <c r="M19" i="71"/>
  <c r="K19" i="62"/>
  <c r="F25" i="31"/>
  <c r="C19" i="64"/>
  <c r="C30" i="40"/>
  <c r="M19" i="41"/>
  <c r="C19" i="53"/>
  <c r="M119" i="7"/>
  <c r="M19" i="53"/>
  <c r="M23" i="17"/>
  <c r="F19" i="71"/>
  <c r="F19" i="3"/>
  <c r="C33" i="58"/>
  <c r="F63" i="66"/>
  <c r="M77" i="70"/>
  <c r="F19" i="61"/>
  <c r="K19" i="68"/>
  <c r="C94" i="52"/>
  <c r="C19" i="62"/>
  <c r="H67" i="60"/>
  <c r="M65" i="71"/>
  <c r="F81" i="61"/>
  <c r="C86" i="53"/>
  <c r="H81" i="61"/>
  <c r="H25" i="31"/>
  <c r="H77" i="70"/>
  <c r="K213" i="57"/>
  <c r="K55" i="50"/>
  <c r="F51" i="54"/>
  <c r="F77" i="70"/>
  <c r="M23" i="57"/>
  <c r="F75" i="41"/>
  <c r="F19" i="41"/>
  <c r="C19" i="66"/>
  <c r="M55" i="50"/>
  <c r="H72" i="59"/>
  <c r="C119" i="7"/>
  <c r="M94" i="52"/>
  <c r="K19" i="70"/>
  <c r="K30" i="40"/>
  <c r="H156" i="49"/>
  <c r="C30" i="49"/>
  <c r="F92" i="45"/>
  <c r="M19" i="66"/>
  <c r="F119" i="7"/>
  <c r="F213" i="57"/>
  <c r="C19" i="55"/>
  <c r="M19" i="73"/>
  <c r="C19" i="41"/>
  <c r="H55" i="50"/>
  <c r="H19" i="70"/>
  <c r="C65" i="63"/>
  <c r="F162" i="58"/>
  <c r="M19" i="45"/>
  <c r="C19" i="69"/>
  <c r="K19" i="54"/>
  <c r="F19" i="55"/>
  <c r="C23" i="57"/>
  <c r="F72" i="59"/>
  <c r="C19" i="34"/>
  <c r="F19" i="73"/>
  <c r="H19" i="66"/>
  <c r="K23" i="57"/>
  <c r="M30" i="49"/>
  <c r="M81" i="61"/>
  <c r="H100" i="34"/>
  <c r="K90" i="72"/>
  <c r="C51" i="54"/>
  <c r="K19" i="52"/>
  <c r="M19" i="62"/>
  <c r="H213" i="57"/>
  <c r="M33" i="58"/>
  <c r="F100" i="34"/>
  <c r="C25" i="31"/>
  <c r="K65" i="63"/>
  <c r="F19" i="70"/>
  <c r="F65" i="63"/>
  <c r="F19" i="62"/>
  <c r="C77" i="70"/>
  <c r="M19" i="50"/>
  <c r="M19" i="70"/>
  <c r="H94" i="52"/>
  <c r="H19" i="52"/>
  <c r="M19" i="61"/>
  <c r="K77" i="70"/>
  <c r="F19" i="60"/>
  <c r="M19" i="59"/>
  <c r="F19" i="64"/>
  <c r="F19" i="59"/>
  <c r="C55" i="50"/>
  <c r="K19" i="72"/>
  <c r="H65" i="71"/>
  <c r="H86" i="53"/>
  <c r="C81" i="61"/>
  <c r="F19" i="66"/>
  <c r="K81" i="61"/>
  <c r="F19" i="68"/>
  <c r="K72" i="59"/>
  <c r="M67" i="60"/>
  <c r="H162" i="58"/>
  <c r="C156" i="49"/>
  <c r="F82" i="25"/>
  <c r="K19" i="45"/>
  <c r="F19" i="45"/>
  <c r="F65" i="71"/>
  <c r="K19" i="34"/>
  <c r="C19" i="73"/>
  <c r="C100" i="34"/>
  <c r="M86" i="53"/>
  <c r="C90" i="72"/>
  <c r="C19" i="61"/>
  <c r="F451" i="17"/>
  <c r="M100" i="34"/>
  <c r="K30" i="49"/>
  <c r="C19" i="45"/>
  <c r="F19" i="72"/>
  <c r="F19" i="52"/>
  <c r="K19" i="41"/>
  <c r="M19" i="69"/>
  <c r="H19" i="59"/>
  <c r="F67" i="60"/>
  <c r="F23" i="17"/>
  <c r="M19" i="54"/>
  <c r="M162" i="58"/>
  <c r="K92" i="45"/>
  <c r="K19" i="66"/>
  <c r="H19" i="62"/>
  <c r="C19" i="59"/>
  <c r="C19" i="3"/>
  <c r="F22" i="43"/>
  <c r="K19" i="3"/>
  <c r="F30" i="49"/>
  <c r="F23" i="57"/>
  <c r="H19" i="61"/>
  <c r="F19" i="54"/>
  <c r="H63" i="66"/>
  <c r="M25" i="31"/>
  <c r="M19" i="34"/>
  <c r="M19" i="55"/>
  <c r="M51" i="54"/>
  <c r="H19" i="68"/>
  <c r="F19" i="50"/>
  <c r="M19" i="75"/>
  <c r="C451" i="17"/>
  <c r="M19" i="63"/>
  <c r="K100" i="34"/>
  <c r="H19" i="60"/>
  <c r="M19" i="60"/>
  <c r="K75" i="41"/>
  <c r="C19" i="60"/>
  <c r="K63" i="66"/>
  <c r="F30" i="40"/>
  <c r="H19" i="34"/>
  <c r="M451" i="17"/>
  <c r="H51" i="54"/>
  <c r="K94" i="52"/>
  <c r="M19" i="3"/>
  <c r="H75" i="41"/>
  <c r="K19" i="55"/>
  <c r="C162" i="58"/>
  <c r="H30" i="49"/>
  <c r="H19" i="45"/>
  <c r="F85" i="64"/>
  <c r="C19" i="52"/>
  <c r="C72" i="59"/>
  <c r="H19" i="69"/>
  <c r="H119" i="7"/>
  <c r="K451" i="17"/>
  <c r="C19" i="50"/>
  <c r="C75" i="41"/>
  <c r="K19" i="69"/>
  <c r="F90" i="72"/>
  <c r="K19" i="59"/>
  <c r="H23" i="17"/>
  <c r="K19" i="71"/>
  <c r="H19" i="73"/>
  <c r="K19" i="60"/>
  <c r="C19" i="75"/>
  <c r="M30" i="40"/>
  <c r="C23" i="17"/>
  <c r="F55" i="50"/>
  <c r="H19" i="41"/>
  <c r="M90" i="72"/>
  <c r="M19" i="68"/>
  <c r="C19" i="63"/>
  <c r="H19" i="55"/>
  <c r="H19" i="63"/>
  <c r="K23" i="17"/>
  <c r="F94" i="52"/>
  <c r="K162" i="58"/>
  <c r="F156" i="49"/>
  <c r="F33" i="58"/>
  <c r="H92" i="45"/>
  <c r="K67" i="60"/>
  <c r="H19" i="53"/>
  <c r="F19" i="53"/>
  <c r="F86" i="53"/>
  <c r="K19" i="63"/>
  <c r="M72" i="59"/>
  <c r="K19" i="53"/>
  <c r="C92" i="45"/>
  <c r="K33" i="58"/>
  <c r="H33" i="58"/>
  <c r="H82" i="25"/>
  <c r="F42" i="51"/>
  <c r="M42" i="51"/>
  <c r="K42" i="51"/>
  <c r="V626" i="38" l="1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F41" i="5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26" i="38" s="1"/>
  <c r="Y626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42" i="51"/>
  <c r="K242" i="51"/>
  <c r="Q2" i="44"/>
  <c r="Q3" i="44" s="1"/>
  <c r="Q6" i="44" s="1"/>
  <c r="Q2" i="32"/>
  <c r="Q8" i="32" s="1"/>
  <c r="F44" i="26"/>
  <c r="K44" i="26"/>
  <c r="Q2" i="71"/>
  <c r="M104" i="49"/>
  <c r="Q2" i="25"/>
  <c r="W623" i="38" l="1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2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626" i="38" s="1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11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22" i="38" l="1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<sst xmlns="http://schemas.openxmlformats.org/spreadsheetml/2006/main" count="7458" uniqueCount="1040">
  <si>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</si>
  <si>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</si>
  <si>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</si>
  <si>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</si>
  <si>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</si>
  <si>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</si>
  <si>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</si>
  <si>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</si>
  <si>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</si>
  <si>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</si>
  <si>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</si>
  <si>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</si>
  <si>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</si>
  <si>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</si>
  <si>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</si>
  <si>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</si>
  <si>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</si>
  <si>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</si>
  <si>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</si>
  <si>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</si>
  <si>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</si>
  <si>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</si>
  <si>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</si>
  <si>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</si>
  <si>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</si>
  <si>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</si>
  <si>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</si>
  <si>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</si>
  <si>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</si>
  <si>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</si>
  <si>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</si>
  <si>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</si>
  <si>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</si>
  <si>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</si>
  <si>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</si>
  <si>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</si>
  <si>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</si>
  <si>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</si>
  <si>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</si>
  <si>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</si>
  <si>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</si>
  <si>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</si>
  <si>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</si>
  <si>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</si>
  <si>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</si>
  <si>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</si>
  <si>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</si>
  <si>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</si>
  <si>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</si>
  <si>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</si>
  <si>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</si>
  <si>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</si>
  <si>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</si>
  <si>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</si>
  <si>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</si>
  <si>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</si>
  <si>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</si>
  <si>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</si>
  <si>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</si>
  <si>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</si>
  <si>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</si>
  <si>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</si>
  <si>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</si>
  <si>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</si>
  <si>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</si>
  <si>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</si>
  <si>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</si>
  <si>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</si>
  <si>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</si>
  <si>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</si>
  <si>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</si>
  <si>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</si>
  <si>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</si>
  <si>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</si>
  <si>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</si>
  <si>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</si>
  <si>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</si>
  <si>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</si>
  <si>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</si>
  <si>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</si>
  <si>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</si>
  <si>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</si>
  <si>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</si>
  <si>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</si>
  <si>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</si>
  <si>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</si>
  <si>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</si>
  <si>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</si>
  <si>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</si>
  <si>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</si>
  <si>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</si>
  <si>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</si>
  <si>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</si>
  <si>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</si>
  <si>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</si>
  <si>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</si>
  <si>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</si>
  <si>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</si>
  <si>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</si>
  <si>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</si>
  <si>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</si>
  <si>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</si>
  <si>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</si>
  <si>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</si>
  <si>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</si>
  <si>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</si>
  <si>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</si>
  <si>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</si>
  <si>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</si>
  <si>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</si>
  <si>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</si>
  <si>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</si>
  <si>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</si>
  <si>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</si>
  <si>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</si>
  <si>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</si>
  <si>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</si>
  <si>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</si>
  <si>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</si>
  <si>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</si>
  <si>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</si>
  <si>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</si>
  <si>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</si>
  <si>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</si>
  <si>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</si>
  <si>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</si>
  <si>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</si>
  <si>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</si>
  <si>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</si>
  <si>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</si>
  <si>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</si>
  <si>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</si>
  <si>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</si>
  <si>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</si>
  <si>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</si>
  <si>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</si>
  <si>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</si>
  <si>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</si>
  <si>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</si>
  <si>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</si>
  <si>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</si>
  <si>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</si>
  <si>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</si>
  <si>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</si>
  <si>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</si>
  <si>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</si>
  <si>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</si>
  <si>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</si>
  <si>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</si>
  <si>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</si>
  <si>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</si>
  <si>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</si>
  <si>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</si>
  <si>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</si>
  <si>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</si>
  <si>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</si>
  <si>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</si>
  <si>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</si>
  <si>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</si>
  <si>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</si>
  <si>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</si>
  <si>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</si>
  <si>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</si>
  <si>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</si>
  <si>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</si>
  <si>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</si>
  <si>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</si>
  <si>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</si>
  <si>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</si>
  <si>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</si>
  <si>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</si>
  <si>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</si>
  <si>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</si>
  <si>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</si>
  <si>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</si>
  <si>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</si>
  <si>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</si>
  <si>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</si>
  <si>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</si>
  <si>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</si>
  <si>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</si>
  <si>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</si>
  <si>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</si>
  <si>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</si>
  <si>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</si>
  <si>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</si>
  <si>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</si>
  <si>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</si>
  <si>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</si>
  <si>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</si>
  <si>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</si>
  <si>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</si>
  <si>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</si>
  <si>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</si>
  <si>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</si>
  <si>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</si>
  <si>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</si>
  <si>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</si>
  <si>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</si>
  <si>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</si>
  <si>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</si>
  <si>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</si>
  <si>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</si>
  <si>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</si>
  <si>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</si>
  <si>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</si>
  <si>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</si>
  <si>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</si>
  <si>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</si>
  <si>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</si>
  <si>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</si>
  <si>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</si>
  <si>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</si>
  <si>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</si>
  <si>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</si>
  <si>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</si>
  <si>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</si>
  <si>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</si>
  <si>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</si>
  <si>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</si>
  <si>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</si>
  <si>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</si>
  <si>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</si>
  <si>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</si>
  <si>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</si>
  <si>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</si>
  <si>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</si>
  <si>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</si>
  <si>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</si>
  <si>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</si>
  <si>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</si>
  <si>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</si>
  <si>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</si>
  <si>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</si>
  <si>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</si>
  <si>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</si>
  <si>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</si>
  <si>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</si>
  <si>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</si>
  <si>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</si>
  <si>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</si>
  <si>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</si>
  <si>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</si>
  <si>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</si>
  <si>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</si>
  <si>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</si>
  <si>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</si>
  <si>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</si>
  <si>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</si>
  <si>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</si>
  <si>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</si>
  <si>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</si>
  <si>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</si>
  <si>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</si>
  <si>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</si>
  <si>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</si>
  <si>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</si>
  <si>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</si>
  <si>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</si>
  <si>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</si>
  <si>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</si>
  <si>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</si>
  <si>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</si>
  <si>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</si>
  <si>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</si>
  <si>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</si>
  <si>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</si>
  <si>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</si>
  <si>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</si>
  <si>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</si>
  <si>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</si>
  <si>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</si>
  <si>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</si>
  <si>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</si>
  <si>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</si>
  <si>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</si>
  <si>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</si>
  <si>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</si>
  <si>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</si>
  <si>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</si>
  <si>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</si>
  <si>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</si>
  <si>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</si>
  <si>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</si>
  <si>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</si>
  <si>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</si>
  <si>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</si>
  <si>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</si>
  <si>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</si>
  <si>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</si>
  <si>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</si>
  <si>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</si>
  <si>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</si>
  <si>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</si>
  <si>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</si>
  <si>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</si>
  <si>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</si>
  <si>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</si>
  <si>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</si>
  <si>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</si>
  <si>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</si>
  <si>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</si>
  <si>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</si>
  <si>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</si>
  <si>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</si>
  <si>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</si>
  <si>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</si>
  <si>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</si>
  <si>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</si>
  <si>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</si>
  <si>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</si>
  <si>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</si>
  <si>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</si>
  <si>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</si>
  <si>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</si>
  <si>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</si>
  <si>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</si>
  <si>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</si>
  <si>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</si>
  <si>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</si>
  <si>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</si>
  <si>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</si>
  <si>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</si>
  <si>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</si>
  <si>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</si>
  <si>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</si>
  <si>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</si>
  <si>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</si>
  <si>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</si>
  <si>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</si>
  <si>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</si>
  <si>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</si>
  <si>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</si>
  <si>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</si>
  <si>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</si>
  <si>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</si>
  <si>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</si>
  <si>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</si>
  <si>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</si>
  <si>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</si>
  <si>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</si>
  <si>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</si>
  <si>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</si>
  <si>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</si>
  <si>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</si>
  <si>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</si>
  <si>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</si>
  <si>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</si>
  <si>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</si>
  <si>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</si>
  <si>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</si>
  <si>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</si>
  <si>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</si>
  <si>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</si>
  <si>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</si>
  <si>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</si>
  <si>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</si>
  <si>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</si>
  <si>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</si>
  <si>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</si>
  <si>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</si>
  <si>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</si>
  <si>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</si>
  <si>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</si>
  <si>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</si>
  <si>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</si>
  <si>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</si>
  <si>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</si>
  <si>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</si>
  <si>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</si>
  <si>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</si>
  <si>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</si>
  <si>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</si>
  <si>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</si>
  <si>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</si>
  <si>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</si>
  <si>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</si>
  <si>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</si>
  <si>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</si>
  <si>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</si>
  <si>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</si>
  <si>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</si>
  <si>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</si>
  <si>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</si>
  <si>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</si>
  <si>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</si>
  <si>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</si>
  <si>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</si>
  <si>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</si>
  <si>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</si>
  <si>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</si>
  <si>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</si>
  <si>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</si>
  <si>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</si>
  <si>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</si>
  <si>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</si>
  <si>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</si>
  <si>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</si>
  <si>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</si>
  <si>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</si>
  <si>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</si>
  <si>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</si>
  <si>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</si>
  <si>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</si>
  <si>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</si>
  <si>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</si>
  <si>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</si>
  <si>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</si>
  <si>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</si>
  <si>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</si>
  <si>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</si>
  <si>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</si>
  <si>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</si>
  <si>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</si>
  <si>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</si>
  <si>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</si>
  <si>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</si>
  <si>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</si>
  <si>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</si>
  <si>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</si>
  <si>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</si>
  <si>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</si>
  <si>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</si>
  <si>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</si>
  <si>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</si>
  <si>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</si>
  <si>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</si>
  <si>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</si>
  <si>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</si>
  <si>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</si>
  <si>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</si>
  <si>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</si>
  <si>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</si>
  <si>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</si>
  <si>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</si>
  <si>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</si>
  <si>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</si>
  <si>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</si>
  <si>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</si>
  <si>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</si>
  <si>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</si>
  <si>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</si>
  <si>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</si>
  <si>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</si>
  <si>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</si>
  <si>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</si>
  <si>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</si>
  <si>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</si>
  <si>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</si>
  <si>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</si>
  <si>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</si>
  <si>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</si>
  <si>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</si>
  <si>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</si>
  <si>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</si>
  <si>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</si>
  <si>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</si>
  <si>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</si>
  <si>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</si>
  <si>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</si>
  <si>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</si>
  <si>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</si>
  <si>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</si>
  <si>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</si>
  <si>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</si>
  <si>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</si>
  <si>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</si>
  <si>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</si>
  <si>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</si>
  <si>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</si>
  <si>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</si>
  <si>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</si>
  <si>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</si>
  <si>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</si>
  <si>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</si>
  <si>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</si>
  <si>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</si>
  <si>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</si>
  <si>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</si>
  <si>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</si>
  <si>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</si>
  <si>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</si>
  <si>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</si>
  <si>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</si>
  <si>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</si>
  <si>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</si>
  <si>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</si>
  <si>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</si>
  <si>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</si>
  <si>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</si>
  <si>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</si>
  <si>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</si>
  <si>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</si>
  <si>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</si>
  <si>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</si>
  <si>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</si>
  <si>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</si>
  <si>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</si>
  <si>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</si>
  <si>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</si>
  <si>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</si>
  <si>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</si>
  <si>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</si>
  <si>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</si>
  <si>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</si>
  <si>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</si>
  <si>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</si>
  <si>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</si>
  <si>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</si>
  <si>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</si>
  <si>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</si>
  <si>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</si>
  <si>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</si>
  <si>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</si>
  <si>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</si>
  <si>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</si>
  <si>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</si>
  <si>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</si>
  <si>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</si>
  <si>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</si>
  <si>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</si>
  <si>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</si>
  <si>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</si>
  <si>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</si>
  <si>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</si>
  <si>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</si>
  <si>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</si>
  <si>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</si>
  <si>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</si>
  <si>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</si>
  <si>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</si>
  <si>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</si>
  <si>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</si>
  <si>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</si>
  <si>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</si>
  <si>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</si>
  <si>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</si>
  <si>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</si>
  <si>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</si>
  <si>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</si>
  <si>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</si>
  <si>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</si>
  <si>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</si>
  <si>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</si>
  <si>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</si>
  <si>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</si>
  <si>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</si>
  <si>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</si>
  <si>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</si>
  <si>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</si>
  <si>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</si>
  <si>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</si>
  <si>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</si>
  <si>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</si>
  <si>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</si>
  <si>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</si>
  <si>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</si>
  <si>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</si>
  <si>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</si>
  <si>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</si>
  <si>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</si>
  <si>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</si>
  <si>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</si>
  <si>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</si>
  <si>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</si>
  <si>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</si>
  <si>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</si>
  <si>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</si>
  <si>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</si>
  <si>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</si>
  <si>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</si>
  <si>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</si>
  <si>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</si>
  <si>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</si>
  <si>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</si>
  <si>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</si>
  <si>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</si>
  <si>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</si>
  <si>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</si>
  <si>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</si>
  <si>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</si>
  <si>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</si>
  <si>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</si>
  <si>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</si>
  <si>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</si>
  <si>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</si>
  <si>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</si>
  <si>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</si>
  <si>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</si>
  <si>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</si>
  <si>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</si>
  <si>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</si>
  <si>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</si>
  <si>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</si>
  <si>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</si>
  <si>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</si>
  <si>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</si>
  <si>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</si>
  <si>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</si>
  <si>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</si>
  <si>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</si>
  <si>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</si>
  <si>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</si>
  <si>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</si>
  <si>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</si>
  <si>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</si>
  <si>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</si>
  <si>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</si>
  <si>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</si>
  <si>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</si>
  <si>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</si>
  <si>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</si>
  <si>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</si>
  <si>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</si>
  <si>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</si>
  <si>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</si>
  <si>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</si>
  <si>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</si>
  <si>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</si>
  <si>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</si>
  <si>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</si>
  <si>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</si>
  <si>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</si>
  <si>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</si>
  <si>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</si>
  <si>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</si>
  <si>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</si>
  <si>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</si>
  <si>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</si>
  <si>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</si>
  <si>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</si>
  <si>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</si>
  <si>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</si>
  <si>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</si>
  <si>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</si>
  <si>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</si>
  <si>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</si>
  <si>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</si>
  <si>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</si>
  <si>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</si>
  <si>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</si>
  <si>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</si>
  <si>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</si>
  <si>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</si>
  <si>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</si>
  <si>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</si>
  <si>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</si>
  <si>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</si>
  <si>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</si>
  <si>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</si>
  <si>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</si>
  <si>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</si>
  <si>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</si>
  <si>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</si>
  <si>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</si>
  <si>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</si>
  <si>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</si>
  <si>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</si>
  <si>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</si>
  <si>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</si>
  <si>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</si>
  <si>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</si>
  <si>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</si>
  <si>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</si>
  <si>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</si>
  <si>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</si>
  <si>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</si>
  <si>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</si>
  <si>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</si>
  <si>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</si>
  <si>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</si>
  <si>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</si>
  <si>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</si>
  <si>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</si>
  <si>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</si>
  <si>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</si>
  <si>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</si>
  <si>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</si>
  <si>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</si>
  <si>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</si>
  <si>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</si>
  <si>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</si>
  <si>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</si>
  <si>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</si>
  <si>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</si>
  <si>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</si>
  <si>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</si>
  <si>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</si>
  <si>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</si>
  <si>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</si>
  <si>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</si>
  <si>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</si>
  <si>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</si>
  <si>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</si>
  <si>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</si>
  <si>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</si>
  <si>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</si>
  <si>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</si>
  <si>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</si>
  <si>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</si>
  <si>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</si>
  <si>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</si>
  <si>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</si>
  <si>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</si>
  <si>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</si>
  <si>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</si>
  <si>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</si>
  <si>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</si>
  <si>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</si>
  <si>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</si>
  <si>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</si>
  <si>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</si>
  <si>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</si>
  <si>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</si>
  <si>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</si>
  <si>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</si>
  <si>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</si>
  <si>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</si>
  <si>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</si>
  <si>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</si>
  <si>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</si>
  <si>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</si>
  <si>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</si>
  <si>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</si>
  <si>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</si>
  <si>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</si>
  <si>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</si>
  <si>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</si>
  <si>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</si>
  <si>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</si>
  <si>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</si>
  <si>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</si>
  <si>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</si>
  <si>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</si>
  <si>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</si>
  <si>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</si>
  <si>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</si>
  <si>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</si>
  <si>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</si>
  <si>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</si>
  <si>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</si>
  <si>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</si>
  <si>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</si>
  <si>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</si>
  <si>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</si>
  <si>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</si>
  <si>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</si>
  <si>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</si>
  <si>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</si>
  <si>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</si>
  <si>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</si>
  <si>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</si>
  <si>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</si>
  <si>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</si>
  <si>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</si>
  <si>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</si>
  <si>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</si>
  <si>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</si>
  <si>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</si>
  <si>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</si>
  <si>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</si>
  <si>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</si>
  <si>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</si>
  <si>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</si>
  <si>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</si>
  <si>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</si>
  <si>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</si>
  <si>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</si>
  <si>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</si>
  <si>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</si>
  <si>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</si>
  <si>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</si>
  <si>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</si>
  <si>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</si>
  <si>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</si>
  <si>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</si>
  <si>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</si>
  <si>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</si>
  <si>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</si>
  <si>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</si>
  <si>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</si>
  <si>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</si>
  <si>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</si>
  <si>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</si>
  <si>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</si>
  <si>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</si>
  <si>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</si>
  <si>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</si>
  <si>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</si>
  <si>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</si>
  <si>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</si>
  <si>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</si>
  <si>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</si>
  <si>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</si>
  <si>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</si>
  <si>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</si>
  <si>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</si>
  <si>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</si>
  <si>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</si>
  <si>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</si>
  <si>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</si>
  <si>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</si>
  <si>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</si>
  <si>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</si>
  <si>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</si>
  <si>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</si>
  <si>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</si>
  <si>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</si>
  <si>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</si>
  <si>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</si>
  <si>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</si>
  <si>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</si>
  <si>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</si>
  <si>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</si>
  <si>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</si>
  <si>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</si>
  <si>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</si>
  <si>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</si>
  <si>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</si>
  <si>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</si>
  <si>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</si>
  <si>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</si>
  <si>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</si>
  <si>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</si>
  <si>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</si>
  <si>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</si>
  <si>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</si>
  <si>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</si>
  <si>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</si>
  <si>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</si>
  <si>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</si>
  <si>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</si>
  <si>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</si>
  <si>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</si>
  <si>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</si>
  <si>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</si>
  <si>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</si>
  <si>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</si>
  <si>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</si>
  <si>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</si>
  <si>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</si>
  <si>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</si>
  <si>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</si>
  <si>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</si>
  <si>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</si>
  <si>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</si>
  <si>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</si>
  <si>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</si>
  <si>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</si>
  <si>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</si>
  <si>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</si>
  <si>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</si>
  <si>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</si>
  <si>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</si>
  <si>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</si>
  <si>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</si>
  <si>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</si>
  <si>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</si>
  <si>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</si>
  <si>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</si>
  <si>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</si>
  <si>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</si>
  <si>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</si>
  <si>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</si>
  <si>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</si>
  <si>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</si>
  <si>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</si>
  <si>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</si>
  <si>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</si>
  <si>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</si>
  <si>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</si>
  <si>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</si>
  <si>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</si>
  <si>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</si>
  <si>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</si>
  <si>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</si>
  <si>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</si>
  <si>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</si>
  <si>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</si>
  <si>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</si>
  <si>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</si>
  <si>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</si>
  <si>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</si>
  <si>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</si>
  <si>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</si>
  <si>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</si>
  <si>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</si>
  <si>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</si>
  <si>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</si>
  <si>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</si>
  <si>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</si>
  <si>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</si>
  <si>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</si>
  <si>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</si>
  <si>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</si>
  <si>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</si>
  <si>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</si>
  <si>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</si>
  <si>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</si>
  <si>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</si>
  <si>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</si>
  <si>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</si>
  <si>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</si>
  <si>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</si>
  <si>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</si>
  <si>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</si>
  <si>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</si>
  <si>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</si>
  <si>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</si>
  <si>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</si>
  <si>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</si>
  <si>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</si>
  <si>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</si>
  <si>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</si>
  <si>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</si>
  <si>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</si>
  <si>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</si>
  <si>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</si>
  <si>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</si>
  <si>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</si>
  <si>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</si>
  <si>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</si>
  <si>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</si>
  <si>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</si>
  <si>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</si>
  <si>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</si>
  <si>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</si>
  <si>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</si>
  <si>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</si>
  <si>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</si>
  <si>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</si>
  <si>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</si>
  <si>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</si>
  <si>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</si>
  <si>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</si>
  <si>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</si>
  <si>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</si>
  <si>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</si>
  <si>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</si>
  <si>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</si>
  <si>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</si>
  <si>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</si>
  <si>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</si>
  <si>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</si>
  <si>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</si>
  <si>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</si>
  <si>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</si>
  <si>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</si>
  <si>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</si>
  <si>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</si>
  <si>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</si>
  <si>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</si>
  <si>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</si>
  <si>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</si>
  <si>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</si>
  <si>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</si>
  <si>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</si>
  <si>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</si>
  <si>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</si>
  <si>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</si>
  <si>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</si>
  <si>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</si>
  <si>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</si>
  <si>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</si>
  <si>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</si>
  <si>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</si>
  <si>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</si>
  <si>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</si>
  <si>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</si>
  <si>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</si>
  <si>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</si>
  <si>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</si>
  <si>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</si>
  <si>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</si>
  <si>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</si>
  <si>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</si>
  <si>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</si>
  <si>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</si>
  <si>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</si>
  <si>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</si>
  <si>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</si>
  <si>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</si>
  <si>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</si>
  <si>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</si>
  <si>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</si>
  <si>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</si>
  <si>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</si>
  <si>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</si>
  <si>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</si>
  <si>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</si>
  <si>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</si>
  <si>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</si>
  <si>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</si>
  <si>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</si>
  <si>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</si>
  <si>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</si>
  <si>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</si>
  <si>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</si>
  <si>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</si>
  <si>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</si>
  <si>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</si>
  <si>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Fwd ER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</si>
  <si>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</si>
  <si>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</si>
  <si>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</si>
  <si>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</si>
  <si>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</si>
  <si>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</si>
  <si>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</si>
  <si>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</si>
  <si>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</si>
  <si>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</si>
  <si>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</si>
  <si>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</si>
  <si>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</si>
  <si>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</si>
  <si>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</si>
  <si>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</si>
  <si>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</si>
  <si>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</si>
  <si>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</si>
  <si>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</si>
  <si>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4/25/2018 PM</t>
  </si>
  <si>
    <t>5/8/2018 est</t>
  </si>
  <si>
    <t>5/1/2018 est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</si>
  <si>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</si>
  <si>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</si>
  <si>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</si>
  <si>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</si>
  <si>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</si>
  <si>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</si>
  <si>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</si>
  <si>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4/20/2018 PM</t>
  </si>
  <si>
    <t>4/23/2018 PM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</si>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</sst>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1" fontId="0" fillId="33" borderId="0" xfId="0" applyNumberFormat="1" applyFill="1"/>
    <xf numFmtId="2" fontId="0" fillId="33" borderId="0" xfId="0" applyNumberFormat="1" applyFill="1"/>
    <xf numFmtId="0" fontId="0" fillId="33" borderId="0" xfId="0" applyFill="1"/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10" fontId="0" fillId="0" borderId="0" xfId="0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66" fontId="0" fillId="0" borderId="0" xfId="0" applyNumberFormat="1" applyFont="1" applyFill="1" applyAlignment="1">
      <alignment wrapText="1"/>
    </xf>
    <xf numFmtId="1" fontId="0" fillId="0" borderId="0" xfId="0" applyNumberFormat="1" applyFont="1"/>
    <xf numFmtId="168" fontId="0" fillId="0" borderId="0" xfId="0" applyNumberFormat="1" applyFont="1" applyFill="1" applyAlignment="1">
      <alignment wrapText="1"/>
    </xf>
    <xf numFmtId="171" fontId="0" fillId="0" borderId="0" xfId="0" applyNumberFormat="1" applyFont="1" applyFill="1" applyAlignment="1">
      <alignment wrapText="1"/>
    </xf>
    <xf numFmtId="1" fontId="0" fillId="0" borderId="0" xfId="0" applyNumberFormat="1" applyFont="1" applyFill="1"/>
    <xf numFmtId="2" fontId="0" fillId="16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41"/>
      <tableStyleElement type="headerRow" dxfId="2740"/>
    </tableStyle>
  </tableStyles>
  <colors>
    <mruColors>
      <color rgb="FFFBDBD9"/>
      <color rgb="FFF9DEDB"/>
      <color rgb="FFFF7C5D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72848"/>
        <c:axId val="211673240"/>
      </c:scatterChart>
      <c:valAx>
        <c:axId val="211672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73240"/>
        <c:crosses val="autoZero"/>
        <c:crossBetween val="midCat"/>
      </c:valAx>
      <c:valAx>
        <c:axId val="21167324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7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74024"/>
        <c:axId val="211674416"/>
      </c:scatterChart>
      <c:valAx>
        <c:axId val="211674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74416"/>
        <c:crosses val="autoZero"/>
        <c:crossBetween val="midCat"/>
      </c:valAx>
      <c:valAx>
        <c:axId val="21167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7402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75200"/>
        <c:axId val="211675592"/>
      </c:scatterChart>
      <c:valAx>
        <c:axId val="21167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75592"/>
        <c:crosses val="autoZero"/>
        <c:crossBetween val="midCat"/>
      </c:valAx>
      <c:valAx>
        <c:axId val="2116755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75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76376"/>
        <c:axId val="211676768"/>
      </c:scatterChart>
      <c:valAx>
        <c:axId val="211676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76768"/>
        <c:crosses val="autoZero"/>
        <c:crossBetween val="midCat"/>
      </c:valAx>
      <c:valAx>
        <c:axId val="21167676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76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26544"/>
        <c:axId val="459726936"/>
      </c:scatterChart>
      <c:valAx>
        <c:axId val="45972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6936"/>
        <c:crosses val="autoZero"/>
        <c:crossBetween val="midCat"/>
      </c:valAx>
      <c:valAx>
        <c:axId val="45972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6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25760"/>
        <c:axId val="459725368"/>
      </c:scatterChart>
      <c:valAx>
        <c:axId val="45972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5368"/>
        <c:crosses val="autoZero"/>
        <c:crossBetween val="midCat"/>
      </c:valAx>
      <c:valAx>
        <c:axId val="45972536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5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26152"/>
        <c:axId val="459728112"/>
      </c:scatterChart>
      <c:valAx>
        <c:axId val="459726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8112"/>
        <c:crosses val="autoZero"/>
        <c:crossBetween val="midCat"/>
      </c:valAx>
      <c:valAx>
        <c:axId val="4597281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61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28896"/>
        <c:axId val="211677944"/>
      </c:scatterChart>
      <c:valAx>
        <c:axId val="459728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77944"/>
        <c:crosses val="autoZero"/>
        <c:crossBetween val="midCat"/>
      </c:valAx>
      <c:valAx>
        <c:axId val="211677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728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353520"/>
        <c:axId val="460353912"/>
      </c:lineChart>
      <c:dateAx>
        <c:axId val="460353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53912"/>
        <c:crosses val="autoZero"/>
        <c:auto val="1"/>
        <c:lblOffset val="100"/>
        <c:baseTimeUnit val="days"/>
      </c:dateAx>
      <c:valAx>
        <c:axId val="4603539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35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189592"/>
        <c:axId val="461189984"/>
      </c:lineChart>
      <c:dateAx>
        <c:axId val="461189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89984"/>
        <c:crosses val="autoZero"/>
        <c:auto val="1"/>
        <c:lblOffset val="100"/>
        <c:baseTimeUnit val="days"/>
      </c:dateAx>
      <c:valAx>
        <c:axId val="46118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89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987640"/>
        <c:axId val="460988032"/>
      </c:lineChart>
      <c:dateAx>
        <c:axId val="460987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88032"/>
        <c:crosses val="autoZero"/>
        <c:auto val="1"/>
        <c:lblOffset val="100"/>
        <c:baseTimeUnit val="days"/>
      </c:dateAx>
      <c:valAx>
        <c:axId val="4609880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8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989992"/>
        <c:axId val="462900656"/>
      </c:lineChart>
      <c:dateAx>
        <c:axId val="46098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00656"/>
        <c:crosses val="autoZero"/>
        <c:auto val="1"/>
        <c:lblOffset val="100"/>
        <c:baseTimeUnit val="days"/>
      </c:dateAx>
      <c:valAx>
        <c:axId val="46290065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8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02616"/>
        <c:axId val="462903008"/>
      </c:lineChart>
      <c:dateAx>
        <c:axId val="462902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03008"/>
        <c:crosses val="autoZero"/>
        <c:auto val="1"/>
        <c:lblOffset val="100"/>
        <c:baseTimeUnit val="days"/>
      </c:dateAx>
      <c:valAx>
        <c:axId val="4629030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0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952416"/>
        <c:axId val="461952808"/>
      </c:lineChart>
      <c:dateAx>
        <c:axId val="461952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52808"/>
        <c:crosses val="autoZero"/>
        <c:auto val="1"/>
        <c:lblOffset val="100"/>
        <c:baseTimeUnit val="days"/>
      </c:dateAx>
      <c:valAx>
        <c:axId val="4619528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5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955160"/>
        <c:axId val="461955552"/>
      </c:lineChart>
      <c:catAx>
        <c:axId val="461955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55552"/>
        <c:crosses val="autoZero"/>
        <c:auto val="1"/>
        <c:lblAlgn val="ctr"/>
        <c:lblOffset val="100"/>
        <c:noMultiLvlLbl val="0"/>
      </c:catAx>
      <c:valAx>
        <c:axId val="4619555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377832"/>
        <c:axId val="463378224"/>
      </c:lineChart>
      <c:dateAx>
        <c:axId val="463377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78224"/>
        <c:crosses val="autoZero"/>
        <c:auto val="1"/>
        <c:lblOffset val="100"/>
        <c:baseTimeUnit val="days"/>
      </c:dateAx>
      <c:valAx>
        <c:axId val="4633782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37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630856"/>
        <c:axId val="486631248"/>
      </c:lineChart>
      <c:dateAx>
        <c:axId val="486630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31248"/>
        <c:crosses val="autoZero"/>
        <c:auto val="1"/>
        <c:lblOffset val="100"/>
        <c:baseTimeUnit val="days"/>
      </c:dateAx>
      <c:valAx>
        <c:axId val="4866312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3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831720"/>
        <c:axId val="475832112"/>
      </c:lineChart>
      <c:catAx>
        <c:axId val="475831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32112"/>
        <c:crosses val="autoZero"/>
        <c:auto val="1"/>
        <c:lblAlgn val="ctr"/>
        <c:lblOffset val="100"/>
        <c:noMultiLvlLbl val="0"/>
      </c:catAx>
      <c:valAx>
        <c:axId val="4758321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83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86640"/>
        <c:axId val="498787032"/>
      </c:lineChart>
      <c:catAx>
        <c:axId val="498786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87032"/>
        <c:crosses val="autoZero"/>
        <c:auto val="1"/>
        <c:lblAlgn val="ctr"/>
        <c:lblOffset val="100"/>
        <c:noMultiLvlLbl val="0"/>
      </c:catAx>
      <c:valAx>
        <c:axId val="4987870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8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88992"/>
        <c:axId val="498789384"/>
      </c:lineChart>
      <c:dateAx>
        <c:axId val="498788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89384"/>
        <c:crosses val="autoZero"/>
        <c:auto val="1"/>
        <c:lblOffset val="100"/>
        <c:baseTimeUnit val="days"/>
      </c:dateAx>
      <c:valAx>
        <c:axId val="4987893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155104"/>
        <c:axId val="547155496"/>
      </c:lineChart>
      <c:dateAx>
        <c:axId val="547155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155496"/>
        <c:crosses val="autoZero"/>
        <c:auto val="1"/>
        <c:lblOffset val="100"/>
        <c:baseTimeUnit val="days"/>
      </c:dateAx>
      <c:valAx>
        <c:axId val="5471554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15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157456"/>
        <c:axId val="547157848"/>
      </c:lineChart>
      <c:dateAx>
        <c:axId val="547157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157848"/>
        <c:crosses val="autoZero"/>
        <c:auto val="1"/>
        <c:lblOffset val="100"/>
        <c:baseTimeUnit val="days"/>
      </c:dateAx>
      <c:valAx>
        <c:axId val="5471578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15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914904"/>
        <c:axId val="498915296"/>
      </c:lineChart>
      <c:dateAx>
        <c:axId val="49891490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15296"/>
        <c:crosses val="autoZero"/>
        <c:auto val="0"/>
        <c:lblOffset val="100"/>
        <c:baseTimeUnit val="days"/>
      </c:dateAx>
      <c:valAx>
        <c:axId val="49891529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914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686408"/>
        <c:axId val="557686800"/>
      </c:lineChart>
      <c:dateAx>
        <c:axId val="557686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686800"/>
        <c:crosses val="autoZero"/>
        <c:auto val="1"/>
        <c:lblOffset val="100"/>
        <c:baseTimeUnit val="days"/>
      </c:dateAx>
      <c:valAx>
        <c:axId val="5576868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68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688760"/>
        <c:axId val="546979936"/>
      </c:lineChart>
      <c:catAx>
        <c:axId val="557688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79936"/>
        <c:crosses val="autoZero"/>
        <c:auto val="1"/>
        <c:lblAlgn val="ctr"/>
        <c:lblOffset val="100"/>
        <c:noMultiLvlLbl val="0"/>
      </c:catAx>
      <c:valAx>
        <c:axId val="546979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68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981896"/>
        <c:axId val="546982288"/>
      </c:lineChart>
      <c:catAx>
        <c:axId val="546981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82288"/>
        <c:crosses val="autoZero"/>
        <c:auto val="1"/>
        <c:lblAlgn val="ctr"/>
        <c:lblOffset val="100"/>
        <c:noMultiLvlLbl val="0"/>
      </c:catAx>
      <c:valAx>
        <c:axId val="5469822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8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984248"/>
        <c:axId val="546984640"/>
      </c:lineChart>
      <c:catAx>
        <c:axId val="546984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84640"/>
        <c:crosses val="autoZero"/>
        <c:auto val="1"/>
        <c:lblAlgn val="ctr"/>
        <c:lblOffset val="100"/>
        <c:noMultiLvlLbl val="0"/>
      </c:catAx>
      <c:valAx>
        <c:axId val="5469846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8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757328"/>
        <c:axId val="558757720"/>
      </c:lineChart>
      <c:dateAx>
        <c:axId val="558757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757720"/>
        <c:crosses val="autoZero"/>
        <c:auto val="1"/>
        <c:lblOffset val="100"/>
        <c:baseTimeUnit val="days"/>
      </c:dateAx>
      <c:valAx>
        <c:axId val="5587577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75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760464"/>
        <c:axId val="558760856"/>
      </c:lineChart>
      <c:dateAx>
        <c:axId val="558760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760856"/>
        <c:crosses val="autoZero"/>
        <c:auto val="1"/>
        <c:lblOffset val="100"/>
        <c:baseTimeUnit val="days"/>
      </c:dateAx>
      <c:valAx>
        <c:axId val="5587608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76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762816"/>
        <c:axId val="558763208"/>
      </c:lineChart>
      <c:catAx>
        <c:axId val="558762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763208"/>
        <c:crosses val="autoZero"/>
        <c:auto val="1"/>
        <c:lblAlgn val="ctr"/>
        <c:lblOffset val="100"/>
        <c:noMultiLvlLbl val="0"/>
      </c:catAx>
      <c:valAx>
        <c:axId val="5587632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76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783672"/>
        <c:axId val="561784064"/>
      </c:lineChart>
      <c:dateAx>
        <c:axId val="561783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84064"/>
        <c:crosses val="autoZero"/>
        <c:auto val="1"/>
        <c:lblOffset val="100"/>
        <c:baseTimeUnit val="days"/>
      </c:dateAx>
      <c:valAx>
        <c:axId val="5617840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78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3" Type="http://schemas.openxmlformats.org/officeDocument/2006/relationships/image" Target="../media/image8.gif"/><Relationship Id="rId7" Type="http://schemas.openxmlformats.org/officeDocument/2006/relationships/image" Target="../media/image12.gif"/><Relationship Id="rId2" Type="http://schemas.openxmlformats.org/officeDocument/2006/relationships/image" Target="../media/image7.gif"/><Relationship Id="rId1" Type="http://schemas.openxmlformats.org/officeDocument/2006/relationships/image" Target="../media/image5.gif"/><Relationship Id="rId6" Type="http://schemas.openxmlformats.org/officeDocument/2006/relationships/image" Target="../media/image11.gif"/><Relationship Id="rId5" Type="http://schemas.openxmlformats.org/officeDocument/2006/relationships/image" Target="../media/image10.gif"/><Relationship Id="rId4" Type="http://schemas.openxmlformats.org/officeDocument/2006/relationships/image" Target="../media/image9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605117</xdr:colOff>
      <xdr:row>42</xdr:row>
      <xdr:rowOff>78441</xdr:rowOff>
    </xdr:from>
    <xdr:to>
      <xdr:col>25</xdr:col>
      <xdr:colOff>4951694</xdr:colOff>
      <xdr:row>76</xdr:row>
      <xdr:rowOff>159740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10882" y="8157882"/>
          <a:ext cx="15474018" cy="655829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739" dataDxfId="2738">
  <autoFilter ref="O14:W25"/>
  <tableColumns count="9">
    <tableColumn id="1" name="Date" dataDxfId="2737"/>
    <tableColumn id="2" name="Quarter" dataDxfId="2736"/>
    <tableColumn id="3" name="Time" dataDxfId="2735"/>
    <tableColumn id="4" name="EPS estimate" dataDxfId="2734"/>
    <tableColumn id="5" name="EPS Actual" dataDxfId="2733"/>
    <tableColumn id="6" name="Sales Estiamte (B)" dataDxfId="2732"/>
    <tableColumn id="7" name="Sales Actual (B)" dataDxfId="2731"/>
    <tableColumn id="8" name="Guidance" dataDxfId="2730"/>
    <tableColumn id="9" name="Reaction" dataDxfId="272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728" dataDxfId="2727">
  <autoFilter ref="O16:W27"/>
  <tableColumns count="9">
    <tableColumn id="1" name="Date" dataDxfId="2726"/>
    <tableColumn id="2" name="Quarter" dataDxfId="2725"/>
    <tableColumn id="3" name="Time" dataDxfId="2724"/>
    <tableColumn id="4" name="EPS estimate" dataDxfId="2723"/>
    <tableColumn id="5" name="EPS Actual" dataDxfId="2722"/>
    <tableColumn id="6" name="Sales Estiamte (B)" dataDxfId="2721"/>
    <tableColumn id="7" name="Sales Actual (B)" dataDxfId="2720"/>
    <tableColumn id="8" name="Guidance" dataDxfId="2719"/>
    <tableColumn id="9" name="Reaction" dataDxfId="2718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717" dataDxfId="2716">
  <autoFilter ref="T80:AB91"/>
  <tableColumns count="9">
    <tableColumn id="1" name="Date" dataDxfId="2715"/>
    <tableColumn id="2" name="Quarter" dataDxfId="2714"/>
    <tableColumn id="3" name="Time" dataDxfId="2713"/>
    <tableColumn id="4" name="EPS estimate" dataDxfId="2712"/>
    <tableColumn id="5" name="EPS Actual" dataDxfId="2711"/>
    <tableColumn id="6" name="Sales Estiamte (B)" dataDxfId="2710"/>
    <tableColumn id="7" name="Sales Actual (B)" dataDxfId="2709"/>
    <tableColumn id="8" name="Guidance" dataDxfId="2708"/>
    <tableColumn id="9" name="Reaction" dataDxfId="270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706" dataDxfId="2705">
  <autoFilter ref="O15:W26"/>
  <tableColumns count="9">
    <tableColumn id="1" name="Date" dataDxfId="2704"/>
    <tableColumn id="2" name="Quarter" dataDxfId="2703"/>
    <tableColumn id="3" name="Time" dataDxfId="2702"/>
    <tableColumn id="4" name="EPS estimate" dataDxfId="2701"/>
    <tableColumn id="5" name="EPS Actual" dataDxfId="2700"/>
    <tableColumn id="6" name="Sales Estiamte (B)" dataDxfId="2699"/>
    <tableColumn id="7" name="Sales Actual (B)" dataDxfId="2698"/>
    <tableColumn id="8" name="Guidance" dataDxfId="2697"/>
    <tableColumn id="9" name="Reaction" dataDxfId="26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wsj.com/mdc/public/page/2_3021-peyield.html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wsj.com/mdc/public/page/2_3021-peyield.html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4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5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69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1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T26" sqref="T2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1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01" bestFit="1" customWidth="1"/>
    <col min="15" max="15" width="9.140625" style="778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0" t="s">
        <v>180</v>
      </c>
      <c r="K1" s="349" t="s">
        <v>208</v>
      </c>
      <c r="L1" s="57" t="s">
        <v>178</v>
      </c>
      <c r="M1" s="57" t="s">
        <v>231</v>
      </c>
      <c r="N1" s="800" t="s">
        <v>968</v>
      </c>
      <c r="O1" s="349" t="s">
        <v>207</v>
      </c>
      <c r="P1" s="349" t="s">
        <v>280</v>
      </c>
      <c r="Q1" s="360" t="s">
        <v>997</v>
      </c>
    </row>
    <row r="2" spans="1:21" ht="21.95" customHeight="1" x14ac:dyDescent="0.25">
      <c r="A2" s="154"/>
      <c r="B2" s="50"/>
      <c r="C2" s="51"/>
      <c r="D2" s="799"/>
      <c r="E2" s="22" t="s">
        <v>50</v>
      </c>
      <c r="F2" s="834">
        <v>18.229900000000001</v>
      </c>
      <c r="G2" s="790">
        <v>14.845222499999974</v>
      </c>
      <c r="H2" s="799">
        <v>4000</v>
      </c>
      <c r="I2" s="790">
        <v>59380.889999999898</v>
      </c>
      <c r="J2" s="361">
        <v>13538.710000000108</v>
      </c>
      <c r="K2" s="134">
        <v>0.22799776156942297</v>
      </c>
      <c r="L2" s="361">
        <v>28154.281000001734</v>
      </c>
      <c r="M2">
        <v>2000</v>
      </c>
      <c r="N2" s="835" t="s">
        <v>1019</v>
      </c>
      <c r="O2" s="777">
        <v>1.0970987224285378E-2</v>
      </c>
      <c r="P2" s="836">
        <v>4.4000000000000003E-3</v>
      </c>
      <c r="Q2" s="790"/>
      <c r="R2" s="48"/>
      <c r="S2" s="48"/>
      <c r="T2" s="48"/>
    </row>
    <row r="3" spans="1:21" ht="21.95" customHeight="1" x14ac:dyDescent="0.25">
      <c r="A3" s="51"/>
      <c r="B3" s="51"/>
      <c r="C3" s="51"/>
      <c r="D3" s="799"/>
      <c r="E3" s="22" t="s">
        <v>196</v>
      </c>
      <c r="F3" s="834">
        <v>24.58</v>
      </c>
      <c r="G3" s="790">
        <v>28.557449999999992</v>
      </c>
      <c r="H3" s="799">
        <v>2000</v>
      </c>
      <c r="I3" s="790">
        <v>57114.899999999987</v>
      </c>
      <c r="J3" s="361">
        <v>-7954.8999999999942</v>
      </c>
      <c r="K3" s="134">
        <v>-0.13927889219800771</v>
      </c>
      <c r="L3" s="361">
        <v>-6206.93</v>
      </c>
      <c r="M3">
        <v>1000</v>
      </c>
      <c r="N3" s="835" t="s">
        <v>1037</v>
      </c>
      <c r="O3" s="777">
        <v>2.0341741253051264E-2</v>
      </c>
      <c r="P3" s="742">
        <v>1.44E-2</v>
      </c>
      <c r="Q3" s="790">
        <v>11.990243902439024</v>
      </c>
      <c r="R3" s="48"/>
      <c r="S3" s="48"/>
    </row>
    <row r="4" spans="1:21" ht="21.95" customHeight="1" x14ac:dyDescent="0.25">
      <c r="A4" s="50"/>
      <c r="B4" s="51"/>
      <c r="C4" s="51"/>
      <c r="D4" s="799"/>
      <c r="E4" s="22" t="s">
        <v>842</v>
      </c>
      <c r="F4" s="834">
        <v>23.57</v>
      </c>
      <c r="G4" s="790">
        <v>30.933060000000005</v>
      </c>
      <c r="H4" s="799">
        <v>500</v>
      </c>
      <c r="I4" s="790">
        <v>15466.530000000002</v>
      </c>
      <c r="J4" s="361">
        <v>-3681.5300000000025</v>
      </c>
      <c r="K4" s="134">
        <v>-0.23803206019708376</v>
      </c>
      <c r="L4" s="361">
        <v>-3681.5300000000025</v>
      </c>
      <c r="M4">
        <v>203</v>
      </c>
      <c r="N4" s="835"/>
      <c r="O4" s="777">
        <v>4.4123886296139163E-2</v>
      </c>
      <c r="P4" s="836">
        <v>3.8E-3</v>
      </c>
      <c r="Q4" s="837">
        <v>13.864705882352942</v>
      </c>
      <c r="R4" s="48"/>
      <c r="S4" s="48"/>
    </row>
    <row r="5" spans="1:21" ht="21.95" customHeight="1" x14ac:dyDescent="0.25">
      <c r="A5" s="50"/>
      <c r="B5" s="51"/>
      <c r="C5" s="51"/>
      <c r="D5" s="799"/>
      <c r="E5" s="22" t="s">
        <v>747</v>
      </c>
      <c r="F5" s="834">
        <v>70.929900000000004</v>
      </c>
      <c r="G5" s="790">
        <v>71.381699999999995</v>
      </c>
      <c r="H5" s="799">
        <v>200</v>
      </c>
      <c r="I5" s="790">
        <v>14276.339999999998</v>
      </c>
      <c r="J5" s="361">
        <v>-90.359999999998763</v>
      </c>
      <c r="K5" s="134">
        <v>-6.3293533216495484E-3</v>
      </c>
      <c r="L5" s="361">
        <v>-90.359999999998763</v>
      </c>
      <c r="M5">
        <v>200</v>
      </c>
      <c r="N5" s="835"/>
      <c r="O5" s="777">
        <v>0</v>
      </c>
      <c r="P5" s="742">
        <v>-1.2999999999999999E-3</v>
      </c>
      <c r="Q5" s="790">
        <v>17.363500611995104</v>
      </c>
      <c r="R5" s="48"/>
      <c r="S5" s="48"/>
      <c r="T5" s="48"/>
    </row>
    <row r="6" spans="1:21" ht="21.95" customHeight="1" x14ac:dyDescent="0.25">
      <c r="A6" s="50"/>
      <c r="B6" s="50"/>
      <c r="C6" s="51"/>
      <c r="D6" s="799"/>
      <c r="E6" s="22" t="s">
        <v>749</v>
      </c>
      <c r="F6" s="834">
        <v>66.260000000000005</v>
      </c>
      <c r="G6" s="790">
        <v>69.008250000000004</v>
      </c>
      <c r="H6" s="756">
        <v>200</v>
      </c>
      <c r="I6" s="790">
        <v>13801.650000000001</v>
      </c>
      <c r="J6" s="361">
        <v>-549.64999999999964</v>
      </c>
      <c r="K6" s="134">
        <v>-3.9824948466306548E-2</v>
      </c>
      <c r="L6" s="361">
        <v>-549.64999999999964</v>
      </c>
      <c r="M6">
        <v>200</v>
      </c>
      <c r="N6" s="835"/>
      <c r="O6" s="777">
        <v>2.4147298520977967E-2</v>
      </c>
      <c r="P6" s="742">
        <v>4.4000000000000003E-3</v>
      </c>
      <c r="Q6" s="837">
        <v>11.136134453781516</v>
      </c>
      <c r="R6" s="48"/>
      <c r="S6" s="48"/>
    </row>
    <row r="7" spans="1:21" ht="21.95" customHeight="1" x14ac:dyDescent="0.25">
      <c r="A7" s="50"/>
      <c r="B7" s="50"/>
      <c r="C7" s="51"/>
      <c r="D7" s="799"/>
      <c r="E7" s="22" t="s">
        <v>215</v>
      </c>
      <c r="F7" s="834">
        <v>39.630000000000003</v>
      </c>
      <c r="G7" s="790">
        <v>52.753959999999992</v>
      </c>
      <c r="H7" s="756">
        <v>250</v>
      </c>
      <c r="I7" s="790">
        <v>13188.489999999998</v>
      </c>
      <c r="J7" s="361">
        <v>-3280.989999999998</v>
      </c>
      <c r="K7" s="134">
        <v>-0.248776774293342</v>
      </c>
      <c r="L7" s="361">
        <v>-2123.1200000000026</v>
      </c>
      <c r="M7">
        <v>250</v>
      </c>
      <c r="N7" s="835"/>
      <c r="O7" s="777">
        <v>3.1289427201614935E-2</v>
      </c>
      <c r="P7" s="742">
        <v>4.3E-3</v>
      </c>
      <c r="Q7" s="790">
        <v>9.9075000000000006</v>
      </c>
      <c r="R7" s="48"/>
      <c r="S7" s="48"/>
      <c r="T7" s="48"/>
    </row>
    <row r="8" spans="1:21" ht="21.95" customHeight="1" x14ac:dyDescent="0.25">
      <c r="A8" s="50"/>
      <c r="B8" s="50"/>
      <c r="C8" s="51"/>
      <c r="D8" s="799"/>
      <c r="E8" s="22" t="s">
        <v>706</v>
      </c>
      <c r="F8" s="834">
        <v>233.04</v>
      </c>
      <c r="G8" s="790">
        <v>187.94971428571432</v>
      </c>
      <c r="H8" s="799">
        <v>70</v>
      </c>
      <c r="I8" s="790">
        <v>13156.480000000003</v>
      </c>
      <c r="J8" s="361">
        <v>3156.3199999999961</v>
      </c>
      <c r="K8" s="134">
        <v>0.23990611470545284</v>
      </c>
      <c r="L8" s="790">
        <v>3381.0899999999965</v>
      </c>
      <c r="M8" s="29">
        <v>43209</v>
      </c>
      <c r="N8" s="835"/>
      <c r="O8" s="777">
        <v>0</v>
      </c>
      <c r="P8" s="836">
        <v>-2.3999999999999998E-3</v>
      </c>
      <c r="Q8" s="837">
        <v>23.799019607843135</v>
      </c>
    </row>
    <row r="9" spans="1:21" ht="21.95" customHeight="1" x14ac:dyDescent="0.25">
      <c r="A9" s="50"/>
      <c r="B9" s="50"/>
      <c r="C9" s="51"/>
      <c r="D9" s="799"/>
      <c r="E9" s="22" t="s">
        <v>227</v>
      </c>
      <c r="F9" s="834">
        <v>26.04</v>
      </c>
      <c r="G9" s="790">
        <v>21.894949999999977</v>
      </c>
      <c r="H9" s="799">
        <v>600</v>
      </c>
      <c r="I9" s="790">
        <v>13136.969999999987</v>
      </c>
      <c r="J9" s="361">
        <v>2487.0300000000134</v>
      </c>
      <c r="K9" s="134">
        <v>0.18931534440590306</v>
      </c>
      <c r="L9" s="361">
        <v>3939.2900000000118</v>
      </c>
      <c r="M9" s="29">
        <v>43220</v>
      </c>
      <c r="N9" s="835" t="s">
        <v>1024</v>
      </c>
      <c r="O9" s="777">
        <v>3.8402457757296471E-3</v>
      </c>
      <c r="P9" s="742">
        <v>1.7600000000000001E-2</v>
      </c>
      <c r="Q9" s="790">
        <v>20.832000000000001</v>
      </c>
      <c r="R9" s="48"/>
    </row>
    <row r="10" spans="1:21" ht="21.95" customHeight="1" x14ac:dyDescent="0.25">
      <c r="A10" s="50"/>
      <c r="B10" s="50"/>
      <c r="C10" s="50"/>
      <c r="D10" s="799"/>
      <c r="E10" s="22" t="s">
        <v>174</v>
      </c>
      <c r="F10" s="834">
        <v>27.229900000000001</v>
      </c>
      <c r="G10" s="790">
        <v>34.415789473684185</v>
      </c>
      <c r="H10" s="799">
        <v>380</v>
      </c>
      <c r="I10" s="790">
        <v>13077.999999999991</v>
      </c>
      <c r="J10" s="361">
        <v>-2730.6379999999881</v>
      </c>
      <c r="K10" s="134">
        <v>-0.2087962991283065</v>
      </c>
      <c r="L10" s="361">
        <v>-2655.6179999999881</v>
      </c>
      <c r="M10">
        <v>160</v>
      </c>
      <c r="N10" s="835"/>
      <c r="O10" s="777">
        <v>3.3786389226548759E-2</v>
      </c>
      <c r="P10" s="742">
        <v>-5.1000000000000004E-3</v>
      </c>
      <c r="Q10" s="790"/>
    </row>
    <row r="11" spans="1:21" ht="21.95" customHeight="1" x14ac:dyDescent="0.25">
      <c r="A11" s="50"/>
      <c r="B11" s="51"/>
      <c r="C11" s="51"/>
      <c r="D11" s="799"/>
      <c r="E11" s="22" t="s">
        <v>173</v>
      </c>
      <c r="F11" s="834">
        <v>50.39</v>
      </c>
      <c r="G11" s="790">
        <v>52.874250000000004</v>
      </c>
      <c r="H11" s="756">
        <v>200</v>
      </c>
      <c r="I11" s="790">
        <v>10574.85</v>
      </c>
      <c r="J11" s="361">
        <v>-496.85000000000036</v>
      </c>
      <c r="K11" s="134">
        <v>-4.6984117978032841E-2</v>
      </c>
      <c r="L11" s="361">
        <v>1107.7300000000014</v>
      </c>
      <c r="M11">
        <v>120</v>
      </c>
      <c r="N11" s="835"/>
      <c r="O11" s="777">
        <v>3.095852351657075E-2</v>
      </c>
      <c r="P11" s="742">
        <v>-3.5999999999999999E-3</v>
      </c>
      <c r="Q11" s="790"/>
      <c r="S11" s="48"/>
    </row>
    <row r="12" spans="1:21" ht="21.95" customHeight="1" x14ac:dyDescent="0.25">
      <c r="A12" s="50"/>
      <c r="B12" s="50"/>
      <c r="C12" s="51"/>
      <c r="D12" s="799"/>
      <c r="E12" s="22" t="s">
        <v>175</v>
      </c>
      <c r="F12" s="834">
        <v>270.39010000000002</v>
      </c>
      <c r="G12" s="790">
        <v>258.64999999999998</v>
      </c>
      <c r="H12" s="799">
        <v>40</v>
      </c>
      <c r="I12" s="790">
        <v>10346</v>
      </c>
      <c r="J12" s="361">
        <v>469.60400000000118</v>
      </c>
      <c r="K12" s="134">
        <v>4.5389909143630551E-2</v>
      </c>
      <c r="L12" s="361">
        <v>630.43400000000111</v>
      </c>
      <c r="M12" s="29">
        <v>43213</v>
      </c>
      <c r="N12" s="835"/>
      <c r="O12" s="777">
        <v>1.84E-2</v>
      </c>
      <c r="P12" s="836">
        <v>6.9999999999999999E-4</v>
      </c>
      <c r="Q12" s="790">
        <v>17</v>
      </c>
      <c r="U12" s="48"/>
    </row>
    <row r="13" spans="1:21" ht="21.95" customHeight="1" x14ac:dyDescent="0.25">
      <c r="A13" s="51"/>
      <c r="B13" s="51"/>
      <c r="C13" s="51"/>
      <c r="D13" s="799"/>
      <c r="E13" s="22" t="s">
        <v>868</v>
      </c>
      <c r="F13" s="834">
        <v>85.489900000000006</v>
      </c>
      <c r="G13" s="790">
        <v>89.732000000000014</v>
      </c>
      <c r="H13" s="756">
        <v>100</v>
      </c>
      <c r="I13" s="790">
        <v>8973.2000000000007</v>
      </c>
      <c r="J13" s="361">
        <v>-424.21000000000095</v>
      </c>
      <c r="K13" s="134">
        <v>-4.7275219542638157E-2</v>
      </c>
      <c r="L13" s="361">
        <v>-424.21000000000095</v>
      </c>
      <c r="M13">
        <v>100</v>
      </c>
      <c r="N13" s="835" t="s">
        <v>1033</v>
      </c>
      <c r="O13" s="777">
        <v>2.6669817136293288E-2</v>
      </c>
      <c r="P13" s="742">
        <v>-6.6E-3</v>
      </c>
      <c r="Q13" s="790">
        <v>12.953015151515153</v>
      </c>
      <c r="S13" s="48"/>
      <c r="T13" s="48"/>
    </row>
    <row r="14" spans="1:21" ht="21.95" customHeight="1" x14ac:dyDescent="0.25">
      <c r="A14" s="50"/>
      <c r="B14" s="50"/>
      <c r="C14" s="50"/>
      <c r="D14" s="799"/>
      <c r="E14" s="22" t="s">
        <v>983</v>
      </c>
      <c r="F14" s="840">
        <v>166.44</v>
      </c>
      <c r="G14" s="790">
        <v>161.49620000000002</v>
      </c>
      <c r="H14" s="756">
        <v>50</v>
      </c>
      <c r="I14" s="790">
        <v>8074.81</v>
      </c>
      <c r="J14" s="361">
        <v>247.1899999999996</v>
      </c>
      <c r="K14" s="134">
        <v>3.0612484999646934E-2</v>
      </c>
      <c r="L14" s="790">
        <v>247.1899999999996</v>
      </c>
      <c r="M14" s="29">
        <v>43213</v>
      </c>
      <c r="N14" s="835"/>
      <c r="O14" s="777">
        <v>7.6904590242730117E-3</v>
      </c>
      <c r="P14" s="742">
        <v>2.0999999999999999E-3</v>
      </c>
      <c r="Q14" s="790">
        <v>19.68</v>
      </c>
      <c r="S14" s="48"/>
    </row>
    <row r="15" spans="1:21" ht="21.95" customHeight="1" x14ac:dyDescent="0.25">
      <c r="A15" s="50"/>
      <c r="B15" s="50"/>
      <c r="C15" s="51"/>
      <c r="D15" s="799"/>
      <c r="E15" s="22" t="s">
        <v>171</v>
      </c>
      <c r="F15" s="834">
        <v>44.73</v>
      </c>
      <c r="G15" s="790">
        <v>52.843066666666672</v>
      </c>
      <c r="H15" s="756">
        <v>150</v>
      </c>
      <c r="I15" s="838">
        <v>7926.4600000000009</v>
      </c>
      <c r="J15" s="361">
        <v>-1216.96</v>
      </c>
      <c r="K15" s="134">
        <v>-0.15353133681365971</v>
      </c>
      <c r="L15" s="361">
        <v>-1167.0100000000002</v>
      </c>
      <c r="M15">
        <v>100</v>
      </c>
      <c r="N15" s="835"/>
      <c r="O15" s="777">
        <v>4.3818466353677622E-2</v>
      </c>
      <c r="P15" s="836">
        <v>-1.17E-2</v>
      </c>
      <c r="Q15" s="837">
        <v>14.522727272727272</v>
      </c>
      <c r="R15" s="48"/>
      <c r="S15" s="48"/>
    </row>
    <row r="16" spans="1:21" ht="21.95" customHeight="1" x14ac:dyDescent="0.25">
      <c r="A16" s="154"/>
      <c r="B16" s="50"/>
      <c r="C16" s="51"/>
      <c r="D16" s="799"/>
      <c r="E16" s="22" t="s">
        <v>967</v>
      </c>
      <c r="F16" s="834">
        <v>42.42</v>
      </c>
      <c r="G16" s="790">
        <v>38.78</v>
      </c>
      <c r="H16" s="756">
        <v>200</v>
      </c>
      <c r="I16" s="790">
        <v>7756</v>
      </c>
      <c r="J16" s="361">
        <v>728</v>
      </c>
      <c r="K16" s="134">
        <v>9.386281588447655E-2</v>
      </c>
      <c r="L16" s="361">
        <v>728</v>
      </c>
      <c r="M16">
        <v>200</v>
      </c>
      <c r="N16" s="835"/>
      <c r="O16" s="777">
        <v>3.2531824611032531E-2</v>
      </c>
      <c r="P16" s="742">
        <v>1.1999999999999999E-3</v>
      </c>
      <c r="Q16" s="790">
        <v>9.6409090909090907</v>
      </c>
      <c r="R16" s="48"/>
      <c r="S16" s="48"/>
      <c r="T16" s="48"/>
      <c r="U16" s="48"/>
    </row>
    <row r="17" spans="1:20" ht="21.95" customHeight="1" x14ac:dyDescent="0.25">
      <c r="A17" s="50"/>
      <c r="B17" s="50"/>
      <c r="C17" s="51"/>
      <c r="D17" s="799"/>
      <c r="E17" s="22" t="s">
        <v>332</v>
      </c>
      <c r="F17" s="834">
        <v>17.919899999999998</v>
      </c>
      <c r="G17" s="790">
        <v>19.327500000000001</v>
      </c>
      <c r="H17" s="799">
        <v>400</v>
      </c>
      <c r="I17" s="790">
        <v>7731</v>
      </c>
      <c r="J17" s="361">
        <v>-563.04000000000087</v>
      </c>
      <c r="K17" s="134">
        <v>-7.2828870779976823E-2</v>
      </c>
      <c r="L17" s="361">
        <v>-278.06999999999607</v>
      </c>
      <c r="M17">
        <v>300</v>
      </c>
      <c r="N17" s="835"/>
      <c r="O17" s="777">
        <v>1.6071518256240269E-2</v>
      </c>
      <c r="P17" s="742">
        <v>4.4999999999999997E-3</v>
      </c>
      <c r="Q17" s="790">
        <v>7.3142448979591821</v>
      </c>
      <c r="R17" s="48"/>
      <c r="S17" s="48"/>
    </row>
    <row r="18" spans="1:20" ht="21.95" customHeight="1" x14ac:dyDescent="0.25">
      <c r="A18" s="51"/>
      <c r="B18" s="154"/>
      <c r="C18" s="328"/>
      <c r="D18" s="799"/>
      <c r="E18" s="22" t="s">
        <v>940</v>
      </c>
      <c r="F18" s="834">
        <v>131.26</v>
      </c>
      <c r="G18" s="790">
        <v>140.6174</v>
      </c>
      <c r="H18" s="756">
        <v>50</v>
      </c>
      <c r="I18" s="790">
        <v>7030.87</v>
      </c>
      <c r="J18" s="361">
        <v>-467.8700000000008</v>
      </c>
      <c r="K18" s="134">
        <v>-6.6545107504476772E-2</v>
      </c>
      <c r="L18" s="361">
        <v>-467.8700000000008</v>
      </c>
      <c r="M18">
        <v>20</v>
      </c>
      <c r="N18" s="835"/>
      <c r="O18" s="777">
        <v>0</v>
      </c>
      <c r="P18" s="742">
        <v>-5.7999999999999996E-3</v>
      </c>
      <c r="Q18" s="837">
        <v>15.227378190255221</v>
      </c>
      <c r="R18" s="48"/>
    </row>
    <row r="19" spans="1:20" ht="21.95" customHeight="1" x14ac:dyDescent="0.25">
      <c r="A19" s="50"/>
      <c r="B19" s="50"/>
      <c r="C19" s="51"/>
      <c r="D19" s="799"/>
      <c r="E19" s="22" t="s">
        <v>939</v>
      </c>
      <c r="F19" s="834">
        <v>247.38</v>
      </c>
      <c r="G19" s="790">
        <v>233.50066666666666</v>
      </c>
      <c r="H19" s="799">
        <v>30</v>
      </c>
      <c r="I19" s="790">
        <v>7005.0199999999995</v>
      </c>
      <c r="J19" s="361">
        <v>416.38000000000102</v>
      </c>
      <c r="K19" s="134">
        <v>5.9440230006481076E-2</v>
      </c>
      <c r="L19" s="361">
        <v>416.38000000000102</v>
      </c>
      <c r="M19">
        <v>5</v>
      </c>
      <c r="N19" s="835"/>
      <c r="O19" s="777">
        <v>1.9900000000000001E-2</v>
      </c>
      <c r="P19" s="742">
        <v>-1.6999999999999999E-3</v>
      </c>
      <c r="Q19" s="790">
        <v>16.34</v>
      </c>
      <c r="R19" s="48"/>
      <c r="S19" s="48"/>
      <c r="T19" s="48"/>
    </row>
    <row r="20" spans="1:20" ht="21.95" customHeight="1" x14ac:dyDescent="0.25">
      <c r="A20" s="50"/>
      <c r="B20" s="50"/>
      <c r="C20" s="51"/>
      <c r="D20" s="799"/>
      <c r="E20" s="22" t="s">
        <v>689</v>
      </c>
      <c r="F20" s="834">
        <v>107.39</v>
      </c>
      <c r="G20" s="790">
        <v>87.777200000000008</v>
      </c>
      <c r="H20" s="799">
        <v>75</v>
      </c>
      <c r="I20" s="790">
        <v>6583.2900000000009</v>
      </c>
      <c r="J20" s="361">
        <v>1470.9599999999991</v>
      </c>
      <c r="K20" s="134">
        <v>0.22343843275930414</v>
      </c>
      <c r="L20" s="361">
        <v>1470.9599999999991</v>
      </c>
      <c r="M20">
        <v>50</v>
      </c>
      <c r="N20" s="835"/>
      <c r="O20" s="777">
        <v>2.8E-3</v>
      </c>
      <c r="P20" s="742">
        <v>-7.4999999999999997E-3</v>
      </c>
      <c r="Q20" s="837">
        <v>16.052316890881912</v>
      </c>
      <c r="R20" s="48"/>
      <c r="S20" s="48"/>
      <c r="T20" s="48"/>
    </row>
    <row r="21" spans="1:20" ht="21.95" customHeight="1" x14ac:dyDescent="0.25">
      <c r="A21" s="50"/>
      <c r="B21" s="50"/>
      <c r="C21" s="51"/>
      <c r="D21" s="799"/>
      <c r="E21" s="22" t="s">
        <v>963</v>
      </c>
      <c r="F21" s="834">
        <v>60.79</v>
      </c>
      <c r="G21" s="790">
        <v>64.347499999999997</v>
      </c>
      <c r="H21" s="799">
        <v>100</v>
      </c>
      <c r="I21" s="790">
        <v>6434.75</v>
      </c>
      <c r="J21" s="361">
        <v>-355.75</v>
      </c>
      <c r="K21" s="134">
        <v>-5.5285753137262486E-2</v>
      </c>
      <c r="L21" s="361">
        <v>-355.75</v>
      </c>
      <c r="M21">
        <v>50</v>
      </c>
      <c r="N21" s="835"/>
      <c r="O21" s="777">
        <v>4.1125185063332785E-2</v>
      </c>
      <c r="P21" s="742">
        <v>-1.46E-2</v>
      </c>
      <c r="Q21" s="790">
        <v>16.03957783641161</v>
      </c>
      <c r="R21" s="48"/>
      <c r="S21" s="48"/>
      <c r="T21" s="48"/>
    </row>
    <row r="22" spans="1:20" ht="21.95" customHeight="1" x14ac:dyDescent="0.25">
      <c r="A22" s="51"/>
      <c r="B22" s="154"/>
      <c r="C22" s="328"/>
      <c r="D22" s="799"/>
      <c r="E22" s="22" t="s">
        <v>798</v>
      </c>
      <c r="F22" s="834">
        <v>13.66</v>
      </c>
      <c r="G22" s="790">
        <v>15.74</v>
      </c>
      <c r="H22" s="799">
        <v>400</v>
      </c>
      <c r="I22" s="790">
        <v>6296</v>
      </c>
      <c r="J22" s="361">
        <v>-832</v>
      </c>
      <c r="K22" s="134">
        <v>-0.13214739517153748</v>
      </c>
      <c r="L22" s="361">
        <v>-832</v>
      </c>
      <c r="M22">
        <v>200</v>
      </c>
      <c r="N22" s="835" t="s">
        <v>1032</v>
      </c>
      <c r="O22" s="777">
        <v>3.5139092240117131E-2</v>
      </c>
      <c r="P22" s="836">
        <v>-9.4000000000000004E-3</v>
      </c>
      <c r="Q22" s="790">
        <v>14.378947368421054</v>
      </c>
      <c r="R22" s="48"/>
      <c r="S22" s="48"/>
      <c r="T22" s="48"/>
    </row>
    <row r="23" spans="1:20" ht="21.95" customHeight="1" x14ac:dyDescent="0.25">
      <c r="A23" s="51"/>
      <c r="B23" s="50"/>
      <c r="C23" s="51"/>
      <c r="D23" s="799"/>
      <c r="E23" s="22" t="s">
        <v>14</v>
      </c>
      <c r="F23" s="840">
        <v>61.5</v>
      </c>
      <c r="G23" s="790">
        <v>60.57</v>
      </c>
      <c r="H23" s="799">
        <v>100</v>
      </c>
      <c r="I23" s="790">
        <v>6057</v>
      </c>
      <c r="J23" s="361">
        <v>93</v>
      </c>
      <c r="K23" s="134">
        <v>1.5354135710747891E-2</v>
      </c>
      <c r="L23" s="790">
        <v>93</v>
      </c>
      <c r="M23" s="29">
        <v>43213</v>
      </c>
      <c r="N23" s="835"/>
      <c r="O23" s="777">
        <v>4.2926829268292686E-2</v>
      </c>
      <c r="P23" s="742">
        <v>-3.8800000000000001E-2</v>
      </c>
      <c r="Q23" s="790">
        <v>15.375</v>
      </c>
      <c r="R23" s="48"/>
      <c r="S23" s="48"/>
      <c r="T23" s="48"/>
    </row>
    <row r="24" spans="1:20" ht="21.95" customHeight="1" x14ac:dyDescent="0.25">
      <c r="A24" s="50"/>
      <c r="B24" s="51"/>
      <c r="C24" s="51"/>
      <c r="D24" s="799"/>
      <c r="E24" s="22" t="s">
        <v>943</v>
      </c>
      <c r="F24" s="834">
        <v>31.85</v>
      </c>
      <c r="G24" s="790">
        <v>29.493499999999997</v>
      </c>
      <c r="H24" s="756">
        <v>200</v>
      </c>
      <c r="I24" s="790">
        <v>5898.7</v>
      </c>
      <c r="J24" s="361">
        <v>471.30000000000018</v>
      </c>
      <c r="K24" s="134">
        <v>7.9898960787970374E-2</v>
      </c>
      <c r="L24" s="790">
        <v>471.30000000000018</v>
      </c>
      <c r="M24">
        <v>100</v>
      </c>
      <c r="N24" s="835"/>
      <c r="O24" s="777">
        <v>8.2888540031397173E-2</v>
      </c>
      <c r="P24" s="742">
        <v>-2.2000000000000001E-3</v>
      </c>
      <c r="Q24" s="837"/>
    </row>
    <row r="25" spans="1:20" ht="21.95" customHeight="1" x14ac:dyDescent="0.25">
      <c r="A25" s="50"/>
      <c r="B25" s="50"/>
      <c r="C25" s="51"/>
      <c r="D25" s="799"/>
      <c r="E25" s="22" t="s">
        <v>981</v>
      </c>
      <c r="F25" s="834">
        <v>33.2699</v>
      </c>
      <c r="G25" s="790">
        <v>35.380000000000003</v>
      </c>
      <c r="H25" s="799">
        <v>150</v>
      </c>
      <c r="I25" s="790">
        <v>5307</v>
      </c>
      <c r="J25" s="361">
        <v>-316.51500000000033</v>
      </c>
      <c r="K25" s="134">
        <v>-5.9641040135669947E-2</v>
      </c>
      <c r="L25" s="361">
        <v>-316.51500000000033</v>
      </c>
      <c r="M25" s="29">
        <v>43209</v>
      </c>
      <c r="N25" s="835" t="s">
        <v>1022</v>
      </c>
      <c r="O25" s="777">
        <v>1.9900000000000001E-2</v>
      </c>
      <c r="P25" s="742">
        <v>0</v>
      </c>
      <c r="Q25" s="790">
        <v>13.30796</v>
      </c>
      <c r="R25" s="48"/>
      <c r="S25" s="48"/>
      <c r="T25" s="48"/>
    </row>
    <row r="26" spans="1:20" ht="21.95" customHeight="1" x14ac:dyDescent="0.25">
      <c r="A26" s="50"/>
      <c r="B26" s="50"/>
      <c r="C26" s="51"/>
      <c r="D26" s="799"/>
      <c r="E26" s="22" t="s">
        <v>988</v>
      </c>
      <c r="F26" s="834">
        <v>50.619900000000001</v>
      </c>
      <c r="G26" s="790">
        <v>52.712499999999999</v>
      </c>
      <c r="H26" s="756">
        <v>100</v>
      </c>
      <c r="I26" s="790">
        <v>5271.25</v>
      </c>
      <c r="J26" s="361">
        <v>-209.26000000000022</v>
      </c>
      <c r="K26" s="134">
        <v>-3.9698363765710169E-2</v>
      </c>
      <c r="L26" s="361">
        <v>-209.26000000000022</v>
      </c>
      <c r="M26" s="29">
        <v>43213</v>
      </c>
      <c r="N26" s="835">
        <v>43228</v>
      </c>
      <c r="O26" s="777">
        <v>1.9900000000000001E-2</v>
      </c>
      <c r="P26" s="742">
        <v>7.0000000000000001E-3</v>
      </c>
      <c r="Q26" s="837">
        <v>18.407236363636365</v>
      </c>
      <c r="R26" s="48"/>
    </row>
    <row r="27" spans="1:20" ht="21.95" customHeight="1" x14ac:dyDescent="0.25">
      <c r="A27" s="50"/>
      <c r="B27" s="50"/>
      <c r="C27" s="51"/>
      <c r="D27" s="799"/>
      <c r="E27" s="22" t="s">
        <v>328</v>
      </c>
      <c r="F27" s="834">
        <v>11.319900000000001</v>
      </c>
      <c r="G27" s="790">
        <v>16.699633333333331</v>
      </c>
      <c r="H27" s="799">
        <v>300</v>
      </c>
      <c r="I27" s="790">
        <v>5009.8899999999994</v>
      </c>
      <c r="J27" s="361">
        <v>-1613.9199999999992</v>
      </c>
      <c r="K27" s="134">
        <v>-0.32214679364217563</v>
      </c>
      <c r="L27" s="361">
        <v>-330.50000000000455</v>
      </c>
      <c r="M27">
        <v>300</v>
      </c>
      <c r="N27" s="835"/>
      <c r="O27" s="777">
        <v>0</v>
      </c>
      <c r="P27" s="742">
        <v>2.4400000000000002E-2</v>
      </c>
      <c r="Q27" s="790">
        <v>35.3746875</v>
      </c>
    </row>
    <row r="28" spans="1:20" ht="21.95" customHeight="1" x14ac:dyDescent="0.25">
      <c r="A28" s="51"/>
      <c r="B28" s="51"/>
      <c r="C28" s="51"/>
      <c r="D28" s="799"/>
      <c r="E28" s="22" t="s">
        <v>32</v>
      </c>
      <c r="F28" s="834">
        <v>55.209899999999998</v>
      </c>
      <c r="G28" s="790">
        <v>49.274999999999999</v>
      </c>
      <c r="H28" s="844">
        <v>100</v>
      </c>
      <c r="I28" s="790">
        <v>4927.5</v>
      </c>
      <c r="J28" s="361">
        <v>593.48999999999978</v>
      </c>
      <c r="K28" s="134">
        <v>0.12044444444444442</v>
      </c>
      <c r="L28" s="361">
        <v>1791.9599999999969</v>
      </c>
      <c r="M28">
        <v>100</v>
      </c>
      <c r="N28" s="839"/>
      <c r="O28" s="777">
        <v>2.2097486139261255E-2</v>
      </c>
      <c r="P28" s="836">
        <v>1.21E-2</v>
      </c>
      <c r="Q28" s="837">
        <v>8.847740384615383</v>
      </c>
      <c r="R28" s="48"/>
      <c r="S28" s="48"/>
    </row>
    <row r="29" spans="1:20" ht="21.95" customHeight="1" x14ac:dyDescent="0.25">
      <c r="A29" s="50"/>
      <c r="B29" s="51"/>
      <c r="C29" s="51"/>
      <c r="D29" s="799"/>
      <c r="E29" s="22" t="s">
        <v>982</v>
      </c>
      <c r="F29" s="834">
        <v>100.97</v>
      </c>
      <c r="G29" s="790">
        <v>90.58</v>
      </c>
      <c r="H29" s="756">
        <v>50</v>
      </c>
      <c r="I29" s="790">
        <v>4529</v>
      </c>
      <c r="J29" s="361">
        <v>519.5</v>
      </c>
      <c r="K29" s="134">
        <v>0.11470523294325459</v>
      </c>
      <c r="L29" s="790">
        <v>519.5</v>
      </c>
      <c r="M29" s="29">
        <v>43209</v>
      </c>
      <c r="N29" s="835" t="s">
        <v>1023</v>
      </c>
      <c r="O29" s="777">
        <v>6.3385163910072298E-3</v>
      </c>
      <c r="P29" s="742">
        <v>4.8300000000000003E-2</v>
      </c>
      <c r="Q29" s="837">
        <v>13.681571815718158</v>
      </c>
      <c r="S29" s="48"/>
    </row>
    <row r="30" spans="1:20" ht="21.95" customHeight="1" x14ac:dyDescent="0.25">
      <c r="A30" s="50"/>
      <c r="B30" s="51"/>
      <c r="C30" s="51"/>
      <c r="D30" s="799"/>
      <c r="E30" s="22" t="s">
        <v>966</v>
      </c>
      <c r="F30" s="834">
        <v>203.54</v>
      </c>
      <c r="G30" s="790">
        <v>198</v>
      </c>
      <c r="H30" s="756">
        <v>20</v>
      </c>
      <c r="I30" s="790">
        <v>3960</v>
      </c>
      <c r="J30" s="361">
        <v>110.79999999999973</v>
      </c>
      <c r="K30" s="134">
        <v>2.7979797979797938E-2</v>
      </c>
      <c r="L30" s="790">
        <v>110.79999999999973</v>
      </c>
      <c r="M30">
        <v>20</v>
      </c>
      <c r="N30" s="835" t="s">
        <v>1024</v>
      </c>
      <c r="O30" s="777">
        <v>8.646949002653042E-3</v>
      </c>
      <c r="P30" s="836">
        <v>8.3999999999999995E-3</v>
      </c>
      <c r="Q30" s="837">
        <v>23.612529002320187</v>
      </c>
      <c r="R30" s="48"/>
      <c r="S30" s="48"/>
      <c r="T30" s="48"/>
    </row>
    <row r="31" spans="1:20" ht="21.95" customHeight="1" x14ac:dyDescent="0.25">
      <c r="A31" s="50"/>
      <c r="B31" s="50"/>
      <c r="C31" s="51"/>
      <c r="D31" s="799"/>
      <c r="E31" s="22" t="s">
        <v>942</v>
      </c>
      <c r="F31" s="834">
        <v>35.209899999999998</v>
      </c>
      <c r="G31" s="790">
        <v>36.58</v>
      </c>
      <c r="H31" s="799">
        <v>100</v>
      </c>
      <c r="I31" s="790">
        <v>3658</v>
      </c>
      <c r="J31" s="361">
        <v>-137.01000000000022</v>
      </c>
      <c r="K31" s="134">
        <v>-3.7454893384363065E-2</v>
      </c>
      <c r="L31" s="361">
        <v>-137.01000000000022</v>
      </c>
      <c r="M31">
        <v>100</v>
      </c>
      <c r="N31" s="835"/>
      <c r="O31" s="777">
        <v>2.840110309884436E-2</v>
      </c>
      <c r="P31" s="742">
        <v>-4.1999999999999997E-3</v>
      </c>
      <c r="Q31" s="837">
        <v>10.146945244956772</v>
      </c>
      <c r="R31" s="48"/>
      <c r="S31" s="48"/>
      <c r="T31" s="48"/>
    </row>
    <row r="32" spans="1:20" ht="21.95" customHeight="1" x14ac:dyDescent="0.25">
      <c r="A32" s="51"/>
      <c r="B32" s="51"/>
      <c r="C32" s="51"/>
      <c r="D32" s="799"/>
      <c r="E32" s="22" t="s">
        <v>55</v>
      </c>
      <c r="F32" s="842">
        <v>75.679900000000004</v>
      </c>
      <c r="G32" s="790">
        <v>71.080000000000013</v>
      </c>
      <c r="H32" s="799">
        <v>50</v>
      </c>
      <c r="I32" s="790">
        <v>3554.0000000000005</v>
      </c>
      <c r="J32" s="361">
        <v>229.99499999999989</v>
      </c>
      <c r="K32" s="134">
        <v>6.4714406302757321E-2</v>
      </c>
      <c r="L32" s="361">
        <v>1040.12499999999</v>
      </c>
      <c r="M32">
        <v>50</v>
      </c>
      <c r="N32" s="835"/>
      <c r="O32" s="777">
        <v>2.7484180079519131E-2</v>
      </c>
      <c r="P32" s="742">
        <v>2.8E-3</v>
      </c>
      <c r="Q32" s="790">
        <v>11.71515479876161</v>
      </c>
      <c r="S32" s="48"/>
    </row>
    <row r="33" spans="1:22" ht="21.95" customHeight="1" x14ac:dyDescent="0.25">
      <c r="A33" s="50"/>
      <c r="B33" s="51"/>
      <c r="C33" s="51"/>
      <c r="D33" s="799"/>
      <c r="E33" s="22" t="s">
        <v>343</v>
      </c>
      <c r="F33" s="834">
        <v>72.53</v>
      </c>
      <c r="G33" s="790">
        <v>70.28</v>
      </c>
      <c r="H33" s="799">
        <v>50</v>
      </c>
      <c r="I33" s="790">
        <v>3514</v>
      </c>
      <c r="J33" s="361">
        <v>112.5</v>
      </c>
      <c r="K33" s="134">
        <v>3.2014797951052928E-2</v>
      </c>
      <c r="L33" s="361">
        <v>2172.9300000000003</v>
      </c>
      <c r="M33">
        <v>50</v>
      </c>
      <c r="N33" s="835" t="s">
        <v>1025</v>
      </c>
      <c r="O33" s="777">
        <v>4.3499999999999997E-2</v>
      </c>
      <c r="P33" s="742">
        <v>1.1000000000000001E-3</v>
      </c>
      <c r="Q33" s="837">
        <v>13.815238095238096</v>
      </c>
      <c r="R33" s="48"/>
      <c r="S33" s="48"/>
    </row>
    <row r="34" spans="1:22" ht="21.95" customHeight="1" x14ac:dyDescent="0.25">
      <c r="A34" s="50"/>
      <c r="B34" s="51"/>
      <c r="C34" s="51"/>
      <c r="D34" s="799"/>
      <c r="E34" s="22" t="s">
        <v>691</v>
      </c>
      <c r="F34" s="834">
        <v>196.51</v>
      </c>
      <c r="G34" s="790">
        <v>143.55999999999995</v>
      </c>
      <c r="H34" s="756">
        <v>20</v>
      </c>
      <c r="I34" s="790">
        <v>2871.1999999999989</v>
      </c>
      <c r="J34" s="361">
        <v>1059.0000000000009</v>
      </c>
      <c r="K34" s="134">
        <v>0.36883533017553682</v>
      </c>
      <c r="L34" s="361">
        <v>1202.0300000000011</v>
      </c>
      <c r="M34" s="29">
        <v>43213</v>
      </c>
      <c r="N34" s="835"/>
      <c r="O34" s="777">
        <v>2.5443997760928199E-3</v>
      </c>
      <c r="P34" s="836">
        <v>2.5999999999999999E-3</v>
      </c>
      <c r="Q34" s="837">
        <v>28.645772594752184</v>
      </c>
      <c r="R34" s="48"/>
      <c r="S34" s="48"/>
      <c r="T34" s="48"/>
      <c r="U34" s="48"/>
    </row>
    <row r="35" spans="1:22" ht="21.95" customHeight="1" x14ac:dyDescent="0.25">
      <c r="A35" s="50"/>
      <c r="B35" s="50"/>
      <c r="C35" s="51"/>
      <c r="D35" s="799"/>
      <c r="E35" s="22" t="s">
        <v>944</v>
      </c>
      <c r="F35" s="834">
        <v>74.319999999999993</v>
      </c>
      <c r="G35" s="790">
        <v>67.34</v>
      </c>
      <c r="H35" s="799">
        <v>40</v>
      </c>
      <c r="I35" s="790">
        <v>2693.6000000000004</v>
      </c>
      <c r="J35" s="361">
        <v>279.19999999999982</v>
      </c>
      <c r="K35" s="134">
        <v>0.1036531036531035</v>
      </c>
      <c r="L35" s="361">
        <v>279.19999999999982</v>
      </c>
      <c r="M35">
        <v>40</v>
      </c>
      <c r="N35" s="835" t="s">
        <v>1019</v>
      </c>
      <c r="O35" s="777">
        <v>1.2917115177610334E-2</v>
      </c>
      <c r="P35" s="742">
        <v>1.21E-2</v>
      </c>
      <c r="Q35" s="837">
        <v>20.935211267605634</v>
      </c>
      <c r="R35" s="48"/>
      <c r="S35" s="48"/>
      <c r="T35" s="48"/>
    </row>
    <row r="36" spans="1:22" ht="21.95" customHeight="1" x14ac:dyDescent="0.25">
      <c r="A36" s="50"/>
      <c r="B36" s="50"/>
      <c r="C36" s="51"/>
      <c r="D36" s="799"/>
      <c r="E36" s="22" t="s">
        <v>846</v>
      </c>
      <c r="F36" s="834">
        <v>90.799899999999994</v>
      </c>
      <c r="G36" s="790">
        <v>79.214333333333315</v>
      </c>
      <c r="H36" s="799">
        <v>30</v>
      </c>
      <c r="I36" s="790">
        <v>2376.4299999999994</v>
      </c>
      <c r="J36" s="361">
        <v>347.56700000000046</v>
      </c>
      <c r="K36" s="134">
        <v>0.14625593852964339</v>
      </c>
      <c r="L36" s="361">
        <v>347.56700000000046</v>
      </c>
      <c r="M36">
        <v>30</v>
      </c>
      <c r="N36" s="839"/>
      <c r="O36" s="777">
        <v>7.4889950319328557E-3</v>
      </c>
      <c r="P36" s="742">
        <v>1.0800000000000001E-2</v>
      </c>
      <c r="Q36" s="790">
        <v>19.115768421052632</v>
      </c>
      <c r="R36" s="48"/>
      <c r="S36" s="48"/>
      <c r="T36" s="48"/>
      <c r="U36" s="48"/>
    </row>
    <row r="37" spans="1:22" ht="21.95" customHeight="1" x14ac:dyDescent="0.25">
      <c r="A37" s="51"/>
      <c r="B37" s="51"/>
      <c r="C37" s="51"/>
      <c r="D37" s="799"/>
      <c r="E37" s="22" t="s">
        <v>62</v>
      </c>
      <c r="F37" s="843">
        <v>272.39999999999998</v>
      </c>
      <c r="G37" s="790">
        <v>272.39999999999998</v>
      </c>
      <c r="H37" s="799">
        <v>0</v>
      </c>
      <c r="I37" s="790">
        <v>0</v>
      </c>
      <c r="J37" s="361">
        <v>0</v>
      </c>
      <c r="K37" s="134">
        <v>0</v>
      </c>
      <c r="L37" s="361">
        <v>1659.3600000000079</v>
      </c>
      <c r="M37">
        <v>0</v>
      </c>
      <c r="N37" s="835"/>
      <c r="O37" s="777">
        <v>0</v>
      </c>
      <c r="P37" s="742">
        <v>2.2200000000000001E-2</v>
      </c>
      <c r="Q37" s="790"/>
      <c r="R37" s="48"/>
      <c r="S37" s="48"/>
      <c r="T37" s="48"/>
    </row>
    <row r="38" spans="1:22" ht="21.95" customHeight="1" x14ac:dyDescent="0.25">
      <c r="A38" s="51"/>
      <c r="B38" s="51"/>
      <c r="C38" s="51"/>
      <c r="D38" s="799"/>
      <c r="E38" s="22" t="s">
        <v>204</v>
      </c>
      <c r="F38" s="840">
        <v>40.799999999999997</v>
      </c>
      <c r="G38" s="790">
        <v>40.799999999999997</v>
      </c>
      <c r="H38" s="799">
        <v>0</v>
      </c>
      <c r="I38" s="790">
        <v>0</v>
      </c>
      <c r="J38" s="361">
        <v>0</v>
      </c>
      <c r="K38" s="134">
        <v>0</v>
      </c>
      <c r="L38" s="361">
        <v>555.54</v>
      </c>
      <c r="M38">
        <v>0</v>
      </c>
      <c r="N38" s="835"/>
      <c r="O38" s="777">
        <v>0</v>
      </c>
      <c r="P38" s="742">
        <v>1.0200000000000001E-2</v>
      </c>
      <c r="Q38" s="790"/>
      <c r="S38" s="48"/>
      <c r="T38" s="48"/>
    </row>
    <row r="39" spans="1:22" ht="21.95" customHeight="1" x14ac:dyDescent="0.25">
      <c r="A39" s="50"/>
      <c r="B39" s="51"/>
      <c r="C39" s="51"/>
      <c r="D39" s="799"/>
      <c r="E39" s="22" t="s">
        <v>203</v>
      </c>
      <c r="F39" s="834">
        <v>171.61</v>
      </c>
      <c r="G39" s="790">
        <v>171.61</v>
      </c>
      <c r="H39" s="799">
        <v>0</v>
      </c>
      <c r="I39" s="790">
        <v>0</v>
      </c>
      <c r="J39" s="361">
        <v>0</v>
      </c>
      <c r="K39" s="134">
        <v>0</v>
      </c>
      <c r="L39" s="361">
        <v>363.09999999999945</v>
      </c>
      <c r="M39">
        <v>0</v>
      </c>
      <c r="N39" s="835"/>
      <c r="O39" s="777">
        <v>1.5900000000000001E-2</v>
      </c>
      <c r="P39" s="742">
        <v>1.9099999999999999E-2</v>
      </c>
      <c r="Q39" s="790"/>
      <c r="R39" s="48"/>
      <c r="S39" s="48"/>
      <c r="T39" s="48"/>
    </row>
    <row r="40" spans="1:22" ht="21.95" customHeight="1" x14ac:dyDescent="0.25">
      <c r="A40" s="50"/>
      <c r="B40" s="50"/>
      <c r="C40" s="51"/>
      <c r="D40" s="799"/>
      <c r="E40" s="22" t="s">
        <v>226</v>
      </c>
      <c r="F40" s="834">
        <v>93.58</v>
      </c>
      <c r="G40" s="790">
        <v>93.58</v>
      </c>
      <c r="H40" s="799">
        <v>0</v>
      </c>
      <c r="I40" s="790">
        <v>0</v>
      </c>
      <c r="J40" s="361">
        <v>0</v>
      </c>
      <c r="K40" s="134">
        <v>0</v>
      </c>
      <c r="L40" s="790">
        <v>231.53999999999996</v>
      </c>
      <c r="M40">
        <v>0</v>
      </c>
      <c r="N40" s="835"/>
      <c r="O40" s="777">
        <v>1.6199999999999999E-2</v>
      </c>
      <c r="P40" s="742">
        <v>9.1000000000000004E-3</v>
      </c>
      <c r="Q40" s="790"/>
      <c r="R40" s="48"/>
      <c r="S40" s="48"/>
      <c r="T40" s="48"/>
      <c r="U40" s="48"/>
    </row>
    <row r="41" spans="1:22" ht="21.95" customHeight="1" x14ac:dyDescent="0.25">
      <c r="A41" s="50"/>
      <c r="B41" s="50"/>
      <c r="C41" s="51"/>
      <c r="D41" s="799"/>
      <c r="E41" s="22" t="s">
        <v>267</v>
      </c>
      <c r="F41" s="834">
        <v>95</v>
      </c>
      <c r="G41" s="790">
        <v>95</v>
      </c>
      <c r="H41" s="799">
        <v>0</v>
      </c>
      <c r="I41" s="790">
        <v>0</v>
      </c>
      <c r="J41" s="361">
        <v>0</v>
      </c>
      <c r="K41" s="134">
        <v>0</v>
      </c>
      <c r="L41" s="361">
        <v>1857.7799999999988</v>
      </c>
      <c r="M41">
        <v>0</v>
      </c>
      <c r="N41" s="835"/>
      <c r="O41" s="777">
        <v>1.49E-2</v>
      </c>
      <c r="P41" s="742">
        <v>1.8100000000000002E-2</v>
      </c>
      <c r="Q41" s="790"/>
      <c r="S41" s="48"/>
      <c r="T41" s="48"/>
    </row>
    <row r="42" spans="1:22" ht="21.95" customHeight="1" x14ac:dyDescent="0.25">
      <c r="A42" s="50"/>
      <c r="B42" s="50"/>
      <c r="C42" s="51"/>
      <c r="D42" s="799"/>
      <c r="E42" s="22" t="s">
        <v>23</v>
      </c>
      <c r="F42" s="834">
        <v>31.16</v>
      </c>
      <c r="G42" s="790">
        <v>31.16</v>
      </c>
      <c r="H42" s="799">
        <v>0</v>
      </c>
      <c r="I42" s="790">
        <v>0</v>
      </c>
      <c r="J42" s="361">
        <v>0</v>
      </c>
      <c r="K42" s="134">
        <v>0</v>
      </c>
      <c r="L42" s="361">
        <v>171.89999999999964</v>
      </c>
      <c r="M42">
        <v>0</v>
      </c>
      <c r="N42" s="839"/>
      <c r="O42" s="777">
        <v>0</v>
      </c>
      <c r="P42" s="742">
        <v>7.7999999999999996E-3</v>
      </c>
      <c r="Q42" s="790"/>
      <c r="U42" s="48"/>
    </row>
    <row r="43" spans="1:22" ht="21.95" customHeight="1" x14ac:dyDescent="0.25">
      <c r="A43" s="50"/>
      <c r="B43" s="50"/>
      <c r="C43" s="51"/>
      <c r="D43" s="799"/>
      <c r="E43" s="22" t="s">
        <v>268</v>
      </c>
      <c r="F43" s="834">
        <v>36.14</v>
      </c>
      <c r="G43" s="790">
        <v>36.14</v>
      </c>
      <c r="H43" s="756">
        <v>0</v>
      </c>
      <c r="I43" s="790">
        <v>0</v>
      </c>
      <c r="J43" s="361">
        <v>0</v>
      </c>
      <c r="K43" s="134">
        <v>0</v>
      </c>
      <c r="L43" s="361">
        <v>98.449999999999818</v>
      </c>
      <c r="M43">
        <v>0</v>
      </c>
      <c r="N43" s="835"/>
      <c r="O43" s="777">
        <v>1.11E-2</v>
      </c>
      <c r="P43" s="742">
        <v>0</v>
      </c>
      <c r="Q43" s="790"/>
      <c r="R43" s="48"/>
      <c r="S43" s="48"/>
      <c r="T43" s="48"/>
    </row>
    <row r="44" spans="1:22" ht="21.95" customHeight="1" x14ac:dyDescent="0.25">
      <c r="A44" s="51"/>
      <c r="B44" s="51"/>
      <c r="C44" s="51"/>
      <c r="D44" s="799"/>
      <c r="E44" s="22" t="s">
        <v>36</v>
      </c>
      <c r="F44" s="834">
        <v>56.36</v>
      </c>
      <c r="G44" s="790">
        <v>56.36</v>
      </c>
      <c r="H44" s="756">
        <v>0</v>
      </c>
      <c r="I44" s="790">
        <v>0</v>
      </c>
      <c r="J44" s="361">
        <v>0</v>
      </c>
      <c r="K44" s="134">
        <v>0</v>
      </c>
      <c r="L44" s="361">
        <v>117.73999999999978</v>
      </c>
      <c r="M44">
        <v>0</v>
      </c>
      <c r="N44" s="835"/>
      <c r="O44" s="777">
        <v>7.4000000000000003E-3</v>
      </c>
      <c r="P44" s="742">
        <v>7.0000000000000001E-3</v>
      </c>
      <c r="Q44" s="790"/>
      <c r="R44" s="48"/>
      <c r="S44" s="48"/>
      <c r="T44" s="48"/>
    </row>
    <row r="45" spans="1:22" ht="21.95" customHeight="1" x14ac:dyDescent="0.25">
      <c r="A45" s="50"/>
      <c r="B45" s="50"/>
      <c r="C45" s="51"/>
      <c r="D45" s="799"/>
      <c r="E45" s="22" t="s">
        <v>316</v>
      </c>
      <c r="F45" s="834">
        <v>41.48</v>
      </c>
      <c r="G45" s="790">
        <v>41.48</v>
      </c>
      <c r="H45" s="756">
        <v>0</v>
      </c>
      <c r="I45" s="790">
        <v>0</v>
      </c>
      <c r="J45" s="361">
        <v>0</v>
      </c>
      <c r="K45" s="134">
        <v>0</v>
      </c>
      <c r="L45" s="361">
        <v>264.92000000000007</v>
      </c>
      <c r="M45">
        <v>0</v>
      </c>
      <c r="N45" s="835"/>
      <c r="O45" s="777">
        <v>3.4200000000000001E-2</v>
      </c>
      <c r="P45" s="742">
        <v>1.0999999999999999E-2</v>
      </c>
      <c r="Q45" s="837"/>
      <c r="R45" s="48"/>
      <c r="S45" s="48"/>
      <c r="T45" s="48"/>
    </row>
    <row r="46" spans="1:22" ht="21.95" customHeight="1" x14ac:dyDescent="0.25">
      <c r="A46" s="50"/>
      <c r="B46" s="50"/>
      <c r="C46" s="51"/>
      <c r="D46" s="799"/>
      <c r="E46" s="22" t="s">
        <v>300</v>
      </c>
      <c r="F46" s="834">
        <v>62.98</v>
      </c>
      <c r="G46" s="790">
        <v>62.98</v>
      </c>
      <c r="H46" s="756">
        <v>0</v>
      </c>
      <c r="I46" s="790">
        <v>0</v>
      </c>
      <c r="J46" s="361">
        <v>0</v>
      </c>
      <c r="K46" s="134">
        <v>0</v>
      </c>
      <c r="L46" s="361">
        <v>910.79999999999927</v>
      </c>
      <c r="M46">
        <v>0</v>
      </c>
      <c r="N46" s="835"/>
      <c r="O46" s="777">
        <v>2.87E-2</v>
      </c>
      <c r="P46" s="134">
        <v>3.3E-3</v>
      </c>
      <c r="Q46" s="790"/>
      <c r="R46" s="48"/>
      <c r="T46" s="48"/>
      <c r="V46" s="48"/>
    </row>
    <row r="47" spans="1:22" ht="21.95" customHeight="1" x14ac:dyDescent="0.25">
      <c r="A47" s="50"/>
      <c r="B47" s="50"/>
      <c r="C47" s="51"/>
      <c r="D47" s="799"/>
      <c r="E47" s="22" t="s">
        <v>705</v>
      </c>
      <c r="F47" s="834">
        <v>31.88</v>
      </c>
      <c r="G47" s="790">
        <v>31.88</v>
      </c>
      <c r="H47" s="799">
        <v>0</v>
      </c>
      <c r="I47" s="790">
        <v>0</v>
      </c>
      <c r="J47" s="361">
        <v>0</v>
      </c>
      <c r="K47" s="134">
        <v>0</v>
      </c>
      <c r="L47" s="361">
        <v>557.94000000000005</v>
      </c>
      <c r="M47">
        <v>0</v>
      </c>
      <c r="N47" s="835"/>
      <c r="O47" s="777">
        <v>4.0599999999999997E-2</v>
      </c>
      <c r="P47" s="742">
        <v>2.23E-2</v>
      </c>
      <c r="Q47" s="790"/>
      <c r="R47" s="48"/>
    </row>
    <row r="48" spans="1:22" ht="21.95" customHeight="1" x14ac:dyDescent="0.25">
      <c r="A48" s="51"/>
      <c r="B48" s="51"/>
      <c r="C48" s="51"/>
      <c r="D48" s="799"/>
      <c r="E48" s="22" t="s">
        <v>249</v>
      </c>
      <c r="F48" s="834">
        <v>70.41</v>
      </c>
      <c r="G48" s="790">
        <v>70.41</v>
      </c>
      <c r="H48" s="799">
        <v>0</v>
      </c>
      <c r="I48" s="790">
        <v>0</v>
      </c>
      <c r="J48" s="361">
        <v>0</v>
      </c>
      <c r="K48" s="134">
        <v>0</v>
      </c>
      <c r="L48" s="361">
        <v>329.74000000000069</v>
      </c>
      <c r="M48">
        <v>0</v>
      </c>
      <c r="N48" s="835"/>
      <c r="O48" s="777">
        <v>0</v>
      </c>
      <c r="P48" s="742">
        <v>4.1000000000000003E-3</v>
      </c>
      <c r="Q48" s="790"/>
      <c r="R48" s="48"/>
      <c r="S48" s="48"/>
      <c r="T48" s="48"/>
    </row>
    <row r="49" spans="1:21" ht="21.95" customHeight="1" x14ac:dyDescent="0.25">
      <c r="A49" s="50"/>
      <c r="B49" s="50"/>
      <c r="C49" s="51"/>
      <c r="D49" s="799"/>
      <c r="E49" s="22" t="s">
        <v>682</v>
      </c>
      <c r="F49" s="834">
        <v>22.63</v>
      </c>
      <c r="G49" s="790">
        <v>22.63</v>
      </c>
      <c r="H49" s="841">
        <v>0</v>
      </c>
      <c r="I49" s="790">
        <v>0</v>
      </c>
      <c r="J49" s="361">
        <v>0</v>
      </c>
      <c r="K49" s="134">
        <v>0</v>
      </c>
      <c r="L49" s="361">
        <v>309.26000000000022</v>
      </c>
      <c r="M49">
        <v>0</v>
      </c>
      <c r="N49" s="835"/>
      <c r="O49" s="777">
        <v>8.8000000000000005E-3</v>
      </c>
      <c r="P49" s="742">
        <v>1.2500000000000001E-2</v>
      </c>
      <c r="Q49" s="790"/>
      <c r="R49" s="48"/>
      <c r="S49" s="48"/>
      <c r="T49" s="48"/>
    </row>
    <row r="50" spans="1:21" ht="21.95" customHeight="1" x14ac:dyDescent="0.25">
      <c r="A50" s="50"/>
      <c r="B50" s="51"/>
      <c r="C50" s="51"/>
      <c r="D50" s="799"/>
      <c r="E50" s="22" t="s">
        <v>276</v>
      </c>
      <c r="F50" s="834">
        <v>64.28</v>
      </c>
      <c r="G50" s="790">
        <v>64.28</v>
      </c>
      <c r="H50" s="799">
        <v>0</v>
      </c>
      <c r="I50" s="790">
        <v>0</v>
      </c>
      <c r="J50" s="361">
        <v>0</v>
      </c>
      <c r="K50" s="134">
        <v>0</v>
      </c>
      <c r="L50" s="361">
        <v>197.20999999999549</v>
      </c>
      <c r="M50">
        <v>0</v>
      </c>
      <c r="N50" s="835"/>
      <c r="O50" s="777">
        <v>2.5499999999999998E-2</v>
      </c>
      <c r="P50" s="836">
        <v>2.7300000000000001E-2</v>
      </c>
      <c r="Q50" s="790"/>
      <c r="R50" s="48"/>
      <c r="S50" s="48"/>
    </row>
    <row r="51" spans="1:21" ht="21.95" customHeight="1" x14ac:dyDescent="0.25">
      <c r="A51" s="60"/>
      <c r="B51" s="61"/>
      <c r="C51" s="60"/>
      <c r="D51" s="799"/>
      <c r="E51" s="22" t="s">
        <v>750</v>
      </c>
      <c r="F51" s="834">
        <v>225.05</v>
      </c>
      <c r="G51" s="790">
        <v>225.05</v>
      </c>
      <c r="H51" s="799">
        <v>0</v>
      </c>
      <c r="I51" s="790">
        <v>0</v>
      </c>
      <c r="J51" s="361">
        <v>0</v>
      </c>
      <c r="K51" s="134">
        <v>0</v>
      </c>
      <c r="L51" s="361">
        <v>843.18000000000029</v>
      </c>
      <c r="M51">
        <v>0</v>
      </c>
      <c r="N51" s="835"/>
      <c r="O51" s="777">
        <v>2.8E-3</v>
      </c>
      <c r="P51" s="742">
        <v>4.2200000000000001E-2</v>
      </c>
      <c r="Q51" s="837"/>
      <c r="R51" s="48"/>
      <c r="S51" s="48"/>
    </row>
    <row r="52" spans="1:21" ht="21.95" customHeight="1" x14ac:dyDescent="0.25">
      <c r="A52" s="50"/>
      <c r="B52" s="50"/>
      <c r="C52" s="51"/>
      <c r="D52" s="799"/>
      <c r="E52" s="22" t="s">
        <v>197</v>
      </c>
      <c r="F52" s="834">
        <v>11.33</v>
      </c>
      <c r="G52" s="790">
        <v>11.33</v>
      </c>
      <c r="H52" s="756">
        <v>0</v>
      </c>
      <c r="I52" s="790">
        <v>0</v>
      </c>
      <c r="J52" s="361">
        <v>0</v>
      </c>
      <c r="K52" s="134">
        <v>0</v>
      </c>
      <c r="L52" s="361">
        <v>495.20999999999913</v>
      </c>
      <c r="M52">
        <v>0</v>
      </c>
      <c r="N52" s="835"/>
      <c r="O52" s="777">
        <v>5.1499999999999997E-2</v>
      </c>
      <c r="P52" s="742">
        <v>1.52E-2</v>
      </c>
      <c r="Q52" s="790"/>
      <c r="S52" s="48"/>
    </row>
    <row r="53" spans="1:21" ht="21.95" customHeight="1" x14ac:dyDescent="0.25">
      <c r="A53" s="50"/>
      <c r="B53" s="50"/>
      <c r="C53" s="51"/>
      <c r="D53" s="799"/>
      <c r="E53" s="22" t="s">
        <v>271</v>
      </c>
      <c r="F53" s="834">
        <v>130.41</v>
      </c>
      <c r="G53" s="790">
        <v>130.41</v>
      </c>
      <c r="H53" s="799">
        <v>0</v>
      </c>
      <c r="I53" s="790">
        <v>0</v>
      </c>
      <c r="J53" s="361">
        <v>0</v>
      </c>
      <c r="K53" s="134">
        <v>0</v>
      </c>
      <c r="L53" s="361">
        <v>154.77999999999975</v>
      </c>
      <c r="M53">
        <v>0</v>
      </c>
      <c r="N53" s="839"/>
      <c r="O53" s="777">
        <v>2.5700000000000001E-2</v>
      </c>
      <c r="P53" s="742">
        <v>1.6E-2</v>
      </c>
      <c r="Q53" s="837"/>
    </row>
    <row r="54" spans="1:21" ht="21.95" customHeight="1" x14ac:dyDescent="0.25">
      <c r="A54" s="50"/>
      <c r="B54" s="50"/>
      <c r="C54" s="51"/>
      <c r="D54" s="799"/>
      <c r="E54" s="22" t="s">
        <v>17</v>
      </c>
      <c r="F54" s="834">
        <v>15.25</v>
      </c>
      <c r="G54" s="790">
        <v>15.25</v>
      </c>
      <c r="H54" s="799">
        <v>0</v>
      </c>
      <c r="I54" s="790">
        <v>0</v>
      </c>
      <c r="J54" s="361">
        <v>-20818.210000000079</v>
      </c>
      <c r="K54" s="134">
        <v>0</v>
      </c>
      <c r="L54" s="790">
        <v>-20818.210000000079</v>
      </c>
      <c r="M54">
        <v>0</v>
      </c>
      <c r="N54" s="835"/>
      <c r="O54" s="777">
        <v>0</v>
      </c>
      <c r="P54" s="836">
        <v>0</v>
      </c>
      <c r="Q54" s="790"/>
      <c r="R54" s="48"/>
      <c r="S54" s="48"/>
    </row>
    <row r="55" spans="1:21" ht="21.95" customHeight="1" x14ac:dyDescent="0.25">
      <c r="A55" s="50"/>
      <c r="B55" s="51"/>
      <c r="C55" s="51"/>
      <c r="D55" s="799"/>
      <c r="E55" s="22" t="s">
        <v>309</v>
      </c>
      <c r="F55" s="834">
        <v>138.76</v>
      </c>
      <c r="G55" s="790">
        <v>138.76</v>
      </c>
      <c r="H55" s="799">
        <v>0</v>
      </c>
      <c r="I55" s="790">
        <v>0</v>
      </c>
      <c r="J55" s="361">
        <v>0</v>
      </c>
      <c r="K55" s="134">
        <v>0</v>
      </c>
      <c r="L55" s="361">
        <v>720.56000000000131</v>
      </c>
      <c r="M55">
        <v>0</v>
      </c>
      <c r="N55" s="835"/>
      <c r="O55" s="777">
        <v>0</v>
      </c>
      <c r="P55" s="742">
        <v>1.4800000000000001E-2</v>
      </c>
      <c r="Q55" s="790"/>
    </row>
    <row r="56" spans="1:21" ht="21.95" customHeight="1" x14ac:dyDescent="0.25">
      <c r="A56" s="50"/>
      <c r="B56" s="50"/>
      <c r="C56" s="51"/>
      <c r="D56" s="799"/>
      <c r="E56" s="22" t="s">
        <v>703</v>
      </c>
      <c r="F56" s="840">
        <v>83.97</v>
      </c>
      <c r="G56" s="790">
        <v>83.97</v>
      </c>
      <c r="H56" s="799">
        <v>0</v>
      </c>
      <c r="I56" s="790">
        <v>0</v>
      </c>
      <c r="J56" s="361">
        <v>0</v>
      </c>
      <c r="K56" s="134">
        <v>0</v>
      </c>
      <c r="L56" s="361">
        <v>329.55999999999949</v>
      </c>
      <c r="M56">
        <v>0</v>
      </c>
      <c r="N56" s="835"/>
      <c r="O56" s="777">
        <v>1.78E-2</v>
      </c>
      <c r="P56" s="742">
        <v>1.9900000000000001E-2</v>
      </c>
      <c r="Q56" s="790"/>
      <c r="S56" s="48"/>
    </row>
    <row r="57" spans="1:21" ht="21.95" customHeight="1" x14ac:dyDescent="0.25">
      <c r="A57" s="50"/>
      <c r="B57" s="50"/>
      <c r="C57" s="51"/>
      <c r="D57" s="799"/>
      <c r="E57" s="22" t="s">
        <v>748</v>
      </c>
      <c r="F57" s="834">
        <v>628.65</v>
      </c>
      <c r="G57" s="790">
        <v>628.65</v>
      </c>
      <c r="H57" s="756">
        <v>0</v>
      </c>
      <c r="I57" s="790">
        <v>0</v>
      </c>
      <c r="J57" s="361">
        <v>0</v>
      </c>
      <c r="K57" s="134">
        <v>0</v>
      </c>
      <c r="L57" s="361">
        <v>559.89000000000033</v>
      </c>
      <c r="M57">
        <v>0</v>
      </c>
      <c r="N57" s="835"/>
      <c r="O57" s="777">
        <v>0</v>
      </c>
      <c r="P57" s="742">
        <v>1.52E-2</v>
      </c>
      <c r="Q57" s="790"/>
      <c r="R57" s="48"/>
      <c r="S57" s="48"/>
      <c r="U57" s="48"/>
    </row>
    <row r="58" spans="1:21" ht="21.95" customHeight="1" x14ac:dyDescent="0.25">
      <c r="A58" s="50"/>
      <c r="B58" s="50"/>
      <c r="C58" s="51"/>
      <c r="D58" s="799"/>
      <c r="E58" s="22" t="s">
        <v>195</v>
      </c>
      <c r="F58" s="834">
        <v>68.42</v>
      </c>
      <c r="G58" s="790">
        <v>68.42</v>
      </c>
      <c r="H58" s="756">
        <v>0</v>
      </c>
      <c r="I58" s="790">
        <v>0</v>
      </c>
      <c r="J58" s="361">
        <v>0</v>
      </c>
      <c r="K58" s="134">
        <v>0</v>
      </c>
      <c r="L58" s="361">
        <v>785.90999999999985</v>
      </c>
      <c r="M58">
        <v>0</v>
      </c>
      <c r="N58" s="835"/>
      <c r="O58" s="777">
        <v>1.29E-2</v>
      </c>
      <c r="P58" s="836">
        <v>2.58E-2</v>
      </c>
      <c r="Q58" s="837"/>
      <c r="S58" s="48"/>
      <c r="U58" s="48"/>
    </row>
    <row r="59" spans="1:21" ht="21.95" customHeight="1" x14ac:dyDescent="0.25">
      <c r="A59" s="50"/>
      <c r="B59" s="50"/>
      <c r="C59" s="51"/>
      <c r="D59" s="799"/>
      <c r="E59" s="22" t="s">
        <v>225</v>
      </c>
      <c r="F59" s="834">
        <v>57.9</v>
      </c>
      <c r="G59" s="790">
        <v>57.9</v>
      </c>
      <c r="H59" s="799">
        <v>0</v>
      </c>
      <c r="I59" s="790">
        <v>0</v>
      </c>
      <c r="J59" s="361">
        <v>0</v>
      </c>
      <c r="K59" s="134">
        <v>0</v>
      </c>
      <c r="L59" s="361">
        <v>257.64999999999964</v>
      </c>
      <c r="M59">
        <v>0</v>
      </c>
      <c r="N59" s="835"/>
      <c r="O59" s="777">
        <v>0</v>
      </c>
      <c r="P59" s="742">
        <v>1.9E-3</v>
      </c>
      <c r="Q59" s="790"/>
      <c r="R59" s="48"/>
      <c r="S59" s="48"/>
    </row>
    <row r="60" spans="1:21" ht="21.95" customHeight="1" x14ac:dyDescent="0.25">
      <c r="A60" s="50"/>
      <c r="B60" s="50"/>
      <c r="C60" s="51"/>
      <c r="D60" s="799"/>
      <c r="E60" s="22" t="s">
        <v>841</v>
      </c>
      <c r="F60" s="834">
        <v>325.83999999999997</v>
      </c>
      <c r="G60" s="790">
        <v>325.83999999999997</v>
      </c>
      <c r="H60" s="756">
        <v>0</v>
      </c>
      <c r="I60" s="790">
        <v>0</v>
      </c>
      <c r="J60" s="361">
        <v>0</v>
      </c>
      <c r="K60" s="134">
        <v>0</v>
      </c>
      <c r="L60" s="361">
        <v>1264.8599999999997</v>
      </c>
      <c r="M60">
        <v>0</v>
      </c>
      <c r="N60" s="835"/>
      <c r="O60" s="777">
        <v>0</v>
      </c>
      <c r="P60" s="742">
        <v>2.8799999999999999E-2</v>
      </c>
      <c r="Q60" s="790"/>
      <c r="R60" s="48"/>
      <c r="S60" s="48"/>
      <c r="T60" s="48"/>
    </row>
    <row r="61" spans="1:21" ht="21.95" customHeight="1" x14ac:dyDescent="0.25">
      <c r="A61" s="50"/>
      <c r="B61" s="50"/>
      <c r="C61" s="50"/>
      <c r="D61" s="799"/>
      <c r="E61" s="22" t="s">
        <v>34</v>
      </c>
      <c r="F61" s="840">
        <v>53.39</v>
      </c>
      <c r="G61" s="790">
        <v>53.39</v>
      </c>
      <c r="H61" s="799">
        <v>0</v>
      </c>
      <c r="I61" s="790">
        <v>0</v>
      </c>
      <c r="J61" s="361">
        <v>0</v>
      </c>
      <c r="K61" s="134">
        <v>0</v>
      </c>
      <c r="L61" s="361">
        <v>21137.586999999941</v>
      </c>
      <c r="M61">
        <v>0</v>
      </c>
      <c r="N61" s="835"/>
      <c r="O61" s="777">
        <v>0</v>
      </c>
      <c r="P61" s="742">
        <v>3.5700000000000003E-2</v>
      </c>
      <c r="Q61" s="790"/>
      <c r="S61" s="48"/>
    </row>
    <row r="62" spans="1:21" ht="21.95" customHeight="1" x14ac:dyDescent="0.25">
      <c r="A62" s="50"/>
      <c r="B62" s="50"/>
      <c r="C62" s="51"/>
      <c r="D62" s="799"/>
      <c r="E62" s="22" t="s">
        <v>172</v>
      </c>
      <c r="F62" s="834">
        <v>53.17</v>
      </c>
      <c r="G62" s="790">
        <v>53.17</v>
      </c>
      <c r="H62" s="799">
        <v>0</v>
      </c>
      <c r="I62" s="790">
        <v>0</v>
      </c>
      <c r="J62" s="361">
        <v>0</v>
      </c>
      <c r="K62" s="134">
        <v>0</v>
      </c>
      <c r="L62" s="361">
        <v>119.92000000000053</v>
      </c>
      <c r="M62">
        <v>0</v>
      </c>
      <c r="N62" s="839"/>
      <c r="O62" s="777">
        <v>3.6400000000000002E-2</v>
      </c>
      <c r="P62" s="742">
        <v>1.26E-2</v>
      </c>
      <c r="Q62" s="790"/>
      <c r="R62" s="48"/>
      <c r="S62" s="48"/>
      <c r="T62" s="48"/>
    </row>
    <row r="63" spans="1:21" ht="21.95" customHeight="1" x14ac:dyDescent="0.25">
      <c r="A63" s="50"/>
      <c r="B63" s="50"/>
      <c r="C63" s="51"/>
      <c r="D63" s="799"/>
      <c r="E63" s="22" t="s">
        <v>27</v>
      </c>
      <c r="F63" s="834">
        <v>49.99</v>
      </c>
      <c r="G63" s="790">
        <v>49.99</v>
      </c>
      <c r="H63" s="756">
        <v>0</v>
      </c>
      <c r="I63" s="790">
        <v>0</v>
      </c>
      <c r="J63" s="361">
        <v>0</v>
      </c>
      <c r="K63" s="134">
        <v>0</v>
      </c>
      <c r="L63" s="361">
        <v>1407.5400000000009</v>
      </c>
      <c r="M63">
        <v>0</v>
      </c>
      <c r="N63" s="835"/>
      <c r="O63" s="777">
        <v>3.0200000000000001E-2</v>
      </c>
      <c r="P63" s="742">
        <v>4.7999999999999996E-3</v>
      </c>
      <c r="Q63" s="790"/>
      <c r="R63" s="48"/>
      <c r="S63" s="48"/>
      <c r="T63" s="48"/>
      <c r="U63" s="48"/>
    </row>
    <row r="64" spans="1:21" ht="21.95" customHeight="1" x14ac:dyDescent="0.25">
      <c r="A64" s="50"/>
      <c r="B64" s="51"/>
      <c r="C64" s="51"/>
      <c r="D64" s="799"/>
      <c r="E64" s="22" t="s">
        <v>22</v>
      </c>
      <c r="F64" s="834">
        <v>51.01</v>
      </c>
      <c r="G64" s="790">
        <v>51.01</v>
      </c>
      <c r="H64" s="799">
        <v>0</v>
      </c>
      <c r="I64" s="790">
        <v>0</v>
      </c>
      <c r="J64" s="361">
        <v>0</v>
      </c>
      <c r="K64" s="134">
        <v>0</v>
      </c>
      <c r="L64" s="361">
        <v>3178.8000000000466</v>
      </c>
      <c r="M64">
        <v>0</v>
      </c>
      <c r="N64" s="835"/>
      <c r="O64" s="777">
        <v>2.07E-2</v>
      </c>
      <c r="P64" s="742">
        <v>1.11E-2</v>
      </c>
      <c r="Q64" s="837"/>
      <c r="T64" s="48"/>
    </row>
    <row r="65" spans="1:22" ht="21.95" customHeight="1" x14ac:dyDescent="0.25">
      <c r="A65" s="51"/>
      <c r="B65" s="51"/>
      <c r="C65" s="51"/>
      <c r="D65" s="799"/>
      <c r="E65" s="22" t="s">
        <v>42</v>
      </c>
      <c r="F65" s="842">
        <v>132.9</v>
      </c>
      <c r="G65" s="790">
        <v>132.9</v>
      </c>
      <c r="H65" s="756">
        <v>0</v>
      </c>
      <c r="I65" s="790">
        <v>0</v>
      </c>
      <c r="J65" s="361">
        <v>0</v>
      </c>
      <c r="K65" s="134">
        <v>0</v>
      </c>
      <c r="L65" s="361">
        <v>128.08999999999833</v>
      </c>
      <c r="M65">
        <v>0</v>
      </c>
      <c r="N65" s="835"/>
      <c r="O65" s="777">
        <v>2.18E-2</v>
      </c>
      <c r="P65" s="742">
        <v>-1.0699999999999999E-2</v>
      </c>
      <c r="Q65" s="837"/>
      <c r="R65" s="48"/>
      <c r="S65" s="48"/>
      <c r="T65" s="48"/>
      <c r="V65" s="48"/>
    </row>
    <row r="66" spans="1:22" ht="21.95" customHeight="1" x14ac:dyDescent="0.25">
      <c r="A66" s="50"/>
      <c r="B66" s="50"/>
      <c r="C66" s="51"/>
      <c r="D66" s="799"/>
      <c r="E66" s="22" t="s">
        <v>269</v>
      </c>
      <c r="F66" s="834">
        <v>53.04</v>
      </c>
      <c r="G66" s="790">
        <v>53.04</v>
      </c>
      <c r="H66" s="756">
        <v>0</v>
      </c>
      <c r="I66" s="790">
        <v>0</v>
      </c>
      <c r="J66" s="361">
        <v>0</v>
      </c>
      <c r="K66" s="134">
        <v>0</v>
      </c>
      <c r="L66" s="790">
        <v>427.92000000000007</v>
      </c>
      <c r="M66">
        <v>0</v>
      </c>
      <c r="N66" s="835"/>
      <c r="O66" s="777">
        <v>0</v>
      </c>
      <c r="P66" s="836">
        <v>1.24E-2</v>
      </c>
      <c r="Q66" s="790"/>
      <c r="R66" s="48"/>
      <c r="S66" s="48"/>
      <c r="T66" s="48"/>
    </row>
    <row r="67" spans="1:22" ht="21.95" customHeight="1" x14ac:dyDescent="0.25">
      <c r="A67" s="50"/>
      <c r="B67" s="50"/>
      <c r="C67" s="51"/>
      <c r="D67" s="799"/>
      <c r="E67" s="22" t="s">
        <v>170</v>
      </c>
      <c r="F67" s="834">
        <v>99.63</v>
      </c>
      <c r="G67" s="790">
        <v>99.63</v>
      </c>
      <c r="H67" s="799">
        <v>0</v>
      </c>
      <c r="I67" s="790">
        <v>0</v>
      </c>
      <c r="J67" s="361">
        <v>0</v>
      </c>
      <c r="K67" s="134">
        <v>0</v>
      </c>
      <c r="L67" s="361">
        <v>1368.9000000000015</v>
      </c>
      <c r="M67">
        <v>0</v>
      </c>
      <c r="N67" s="835"/>
      <c r="O67" s="777">
        <v>1.14E-2</v>
      </c>
      <c r="P67" s="742">
        <v>2.0500000000000001E-2</v>
      </c>
      <c r="Q67" s="790"/>
      <c r="R67" s="48"/>
      <c r="S67" s="48"/>
      <c r="U67" s="48"/>
    </row>
    <row r="68" spans="1:22" ht="21.95" customHeight="1" x14ac:dyDescent="0.25">
      <c r="A68" s="50"/>
      <c r="B68" s="50"/>
      <c r="C68" s="51"/>
      <c r="D68" s="799"/>
      <c r="E68" s="22" t="s">
        <v>8</v>
      </c>
      <c r="F68" s="834">
        <v>73.709999999999994</v>
      </c>
      <c r="G68" s="790">
        <v>73.709999999999994</v>
      </c>
      <c r="H68" s="756">
        <v>0</v>
      </c>
      <c r="I68" s="790">
        <v>0</v>
      </c>
      <c r="J68" s="361">
        <v>0</v>
      </c>
      <c r="K68" s="134">
        <v>0</v>
      </c>
      <c r="L68" s="361">
        <v>121.94999999999982</v>
      </c>
      <c r="M68">
        <v>0</v>
      </c>
      <c r="N68" s="835"/>
      <c r="O68" s="777">
        <v>1.67E-2</v>
      </c>
      <c r="P68" s="742">
        <v>3.7000000000000002E-3</v>
      </c>
      <c r="Q68" s="790"/>
      <c r="R68" s="48"/>
      <c r="S68" s="48"/>
      <c r="U68" s="48"/>
    </row>
    <row r="69" spans="1:22" ht="21.95" customHeight="1" x14ac:dyDescent="0.25">
      <c r="A69" s="51"/>
      <c r="B69" s="50"/>
      <c r="C69" s="51"/>
      <c r="D69" s="799"/>
      <c r="E69" s="22" t="s">
        <v>10</v>
      </c>
      <c r="F69" s="834">
        <v>46.92</v>
      </c>
      <c r="G69" s="790">
        <v>46.92</v>
      </c>
      <c r="H69" s="756">
        <v>0</v>
      </c>
      <c r="I69" s="790">
        <v>0</v>
      </c>
      <c r="J69" s="361">
        <v>0</v>
      </c>
      <c r="K69" s="134">
        <v>0</v>
      </c>
      <c r="L69" s="790">
        <v>1128.3800000000047</v>
      </c>
      <c r="M69">
        <v>0</v>
      </c>
      <c r="N69" s="839"/>
      <c r="O69" s="777">
        <v>1.2500000000000001E-2</v>
      </c>
      <c r="P69" s="742">
        <v>3.4599999999999999E-2</v>
      </c>
      <c r="Q69" s="790"/>
      <c r="R69" s="48"/>
      <c r="S69" s="48"/>
    </row>
    <row r="70" spans="1:22" ht="21.95" customHeight="1" x14ac:dyDescent="0.25">
      <c r="A70" s="50"/>
      <c r="B70" s="50"/>
      <c r="C70" s="51"/>
      <c r="D70" s="799"/>
      <c r="E70" s="22" t="s">
        <v>224</v>
      </c>
      <c r="F70" s="834">
        <v>37.11</v>
      </c>
      <c r="G70" s="790">
        <v>37.11</v>
      </c>
      <c r="H70" s="799">
        <v>0</v>
      </c>
      <c r="I70" s="790">
        <v>0</v>
      </c>
      <c r="J70" s="361">
        <v>0</v>
      </c>
      <c r="K70" s="134">
        <v>0</v>
      </c>
      <c r="L70" s="361">
        <v>4376.9599999999991</v>
      </c>
      <c r="M70">
        <v>0</v>
      </c>
      <c r="N70" s="835"/>
      <c r="O70" s="777">
        <v>4.0899999999999999E-2</v>
      </c>
      <c r="P70" s="742">
        <v>3.8E-3</v>
      </c>
      <c r="Q70" s="790"/>
      <c r="R70" s="48"/>
      <c r="S70" s="48"/>
      <c r="T70" s="48"/>
    </row>
    <row r="71" spans="1:22" ht="21.95" customHeight="1" x14ac:dyDescent="0.25">
      <c r="A71" s="50"/>
      <c r="B71" s="50"/>
      <c r="C71" s="51"/>
      <c r="D71" s="799"/>
      <c r="E71" s="22" t="s">
        <v>24</v>
      </c>
      <c r="F71" s="840">
        <v>64.31</v>
      </c>
      <c r="G71" s="790">
        <v>64.31</v>
      </c>
      <c r="H71" s="799">
        <v>0</v>
      </c>
      <c r="I71" s="790">
        <v>0</v>
      </c>
      <c r="J71" s="361">
        <v>0</v>
      </c>
      <c r="K71" s="134">
        <v>0</v>
      </c>
      <c r="L71" s="361">
        <v>937.36999999999534</v>
      </c>
      <c r="M71">
        <v>0</v>
      </c>
      <c r="N71" s="835"/>
      <c r="O71" s="777">
        <v>0</v>
      </c>
      <c r="P71" s="742">
        <v>2.3599999999999999E-2</v>
      </c>
      <c r="Q71" s="790"/>
      <c r="R71" s="48"/>
      <c r="S71" s="48"/>
      <c r="T71" s="48"/>
    </row>
    <row r="72" spans="1:22" ht="21.95" customHeight="1" x14ac:dyDescent="0.25">
      <c r="A72" s="50"/>
      <c r="B72" s="50"/>
      <c r="C72" s="51"/>
      <c r="D72" s="799"/>
      <c r="E72" s="22" t="s">
        <v>45</v>
      </c>
      <c r="F72" s="834">
        <v>96.53</v>
      </c>
      <c r="G72" s="790">
        <v>96.53</v>
      </c>
      <c r="H72" s="756">
        <v>0</v>
      </c>
      <c r="I72" s="790">
        <v>0</v>
      </c>
      <c r="J72" s="361">
        <v>0</v>
      </c>
      <c r="K72" s="134">
        <v>0</v>
      </c>
      <c r="L72" s="790">
        <v>523.61999999999898</v>
      </c>
      <c r="M72">
        <v>0</v>
      </c>
      <c r="N72" s="835"/>
      <c r="O72" s="777">
        <v>1.67E-2</v>
      </c>
      <c r="P72" s="742">
        <v>1.4800000000000001E-2</v>
      </c>
      <c r="Q72" s="790"/>
      <c r="R72" s="48"/>
      <c r="S72" s="48"/>
      <c r="T72" s="48"/>
    </row>
    <row r="73" spans="1:22" ht="21.95" customHeight="1" x14ac:dyDescent="0.25">
      <c r="A73" s="50"/>
      <c r="B73" s="50"/>
      <c r="C73" s="51"/>
      <c r="D73" s="799"/>
      <c r="E73" s="22" t="s">
        <v>47</v>
      </c>
      <c r="F73" s="834">
        <v>131.97999999999999</v>
      </c>
      <c r="G73" s="790">
        <v>131.97999999999999</v>
      </c>
      <c r="H73" s="799">
        <v>0</v>
      </c>
      <c r="I73" s="790">
        <v>0</v>
      </c>
      <c r="J73" s="361">
        <v>0</v>
      </c>
      <c r="K73" s="134">
        <v>0</v>
      </c>
      <c r="L73" s="361">
        <v>-168.6200000000008</v>
      </c>
      <c r="M73">
        <v>0</v>
      </c>
      <c r="N73" s="835"/>
      <c r="O73" s="777">
        <v>2.18E-2</v>
      </c>
      <c r="P73" s="742">
        <v>-1.06E-2</v>
      </c>
      <c r="Q73" s="837"/>
      <c r="T73" s="48"/>
    </row>
    <row r="74" spans="1:22" ht="21.95" customHeight="1" x14ac:dyDescent="0.25">
      <c r="A74" s="51"/>
      <c r="B74" s="51"/>
      <c r="C74" s="51"/>
      <c r="D74" s="799"/>
      <c r="E74" s="22" t="s">
        <v>33</v>
      </c>
      <c r="F74" s="834">
        <v>236.99</v>
      </c>
      <c r="G74" s="790">
        <v>236.99</v>
      </c>
      <c r="H74" s="799">
        <v>0</v>
      </c>
      <c r="I74" s="790">
        <v>0</v>
      </c>
      <c r="J74" s="361">
        <v>0</v>
      </c>
      <c r="K74" s="134">
        <v>0</v>
      </c>
      <c r="L74" s="361">
        <v>780.73999999999796</v>
      </c>
      <c r="M74">
        <v>0</v>
      </c>
      <c r="N74" s="839"/>
      <c r="O74" s="777">
        <v>1.8599999999999998E-2</v>
      </c>
      <c r="P74" s="742">
        <v>8.9999999999999998E-4</v>
      </c>
      <c r="Q74" s="790"/>
      <c r="R74" s="48"/>
      <c r="S74" s="48"/>
      <c r="T74" s="48"/>
      <c r="V74" s="48"/>
    </row>
    <row r="75" spans="1:22" ht="21.95" customHeight="1" x14ac:dyDescent="0.25">
      <c r="A75" s="50"/>
      <c r="B75" s="50"/>
      <c r="C75" s="51"/>
      <c r="D75" s="799"/>
      <c r="E75" s="22" t="s">
        <v>13</v>
      </c>
      <c r="F75" s="834">
        <v>69.989999999999995</v>
      </c>
      <c r="G75" s="790">
        <v>69.989999999999995</v>
      </c>
      <c r="H75" s="799">
        <v>0</v>
      </c>
      <c r="I75" s="790">
        <v>0</v>
      </c>
      <c r="J75" s="361">
        <v>0</v>
      </c>
      <c r="K75" s="134">
        <v>0</v>
      </c>
      <c r="L75" s="361">
        <v>1461.5600000000013</v>
      </c>
      <c r="M75">
        <v>0</v>
      </c>
      <c r="N75" s="835"/>
      <c r="O75" s="777">
        <v>0</v>
      </c>
      <c r="P75" s="742">
        <v>1.0800000000000001E-2</v>
      </c>
      <c r="Q75" s="790"/>
      <c r="R75" s="48"/>
      <c r="S75" s="48"/>
    </row>
    <row r="76" spans="1:22" ht="21.95" customHeight="1" x14ac:dyDescent="0.25">
      <c r="A76" s="50"/>
      <c r="B76" s="50"/>
      <c r="C76" s="51"/>
      <c r="D76" s="799"/>
      <c r="E76" s="22" t="s">
        <v>52</v>
      </c>
      <c r="F76" s="834">
        <v>62.94</v>
      </c>
      <c r="G76" s="790">
        <v>62.94</v>
      </c>
      <c r="H76" s="799">
        <v>0</v>
      </c>
      <c r="I76" s="790">
        <v>0</v>
      </c>
      <c r="J76" s="361">
        <v>0</v>
      </c>
      <c r="K76" s="134">
        <v>0</v>
      </c>
      <c r="L76" s="361">
        <v>1056.739999999998</v>
      </c>
      <c r="M76">
        <v>0</v>
      </c>
      <c r="N76" s="835"/>
      <c r="O76" s="777">
        <v>2.1999999999999999E-2</v>
      </c>
      <c r="P76" s="742">
        <v>2.6800000000000001E-2</v>
      </c>
      <c r="Q76" s="790"/>
      <c r="R76" s="48"/>
      <c r="S76" s="48"/>
      <c r="T76" s="348"/>
      <c r="U76" s="348"/>
    </row>
    <row r="77" spans="1:22" ht="21.95" customHeight="1" x14ac:dyDescent="0.25">
      <c r="A77" s="51"/>
      <c r="B77" s="51"/>
      <c r="C77" s="51"/>
      <c r="D77" s="799"/>
      <c r="E77" s="22" t="s">
        <v>63</v>
      </c>
      <c r="F77" s="840">
        <v>100.95</v>
      </c>
      <c r="G77" s="790">
        <v>100.95</v>
      </c>
      <c r="H77" s="841">
        <v>0</v>
      </c>
      <c r="I77" s="790">
        <v>0</v>
      </c>
      <c r="J77" s="361">
        <v>0</v>
      </c>
      <c r="K77" s="134">
        <v>0</v>
      </c>
      <c r="L77" s="790">
        <v>257.30999999999949</v>
      </c>
      <c r="M77">
        <v>0</v>
      </c>
      <c r="N77" s="835"/>
      <c r="O77" s="777">
        <v>1.38E-2</v>
      </c>
      <c r="P77" s="836">
        <v>1.54E-2</v>
      </c>
      <c r="Q77" s="837"/>
      <c r="R77" s="48"/>
      <c r="S77" s="48"/>
    </row>
    <row r="78" spans="1:22" ht="21.95" customHeight="1" x14ac:dyDescent="0.25">
      <c r="A78" s="50"/>
      <c r="B78" s="50"/>
      <c r="C78" s="51"/>
      <c r="D78" s="799"/>
      <c r="E78" s="22" t="s">
        <v>9</v>
      </c>
      <c r="F78" s="834">
        <v>7.88</v>
      </c>
      <c r="G78" s="790">
        <v>7.88</v>
      </c>
      <c r="H78" s="756">
        <v>0</v>
      </c>
      <c r="I78" s="790">
        <v>0</v>
      </c>
      <c r="J78" s="361">
        <v>-8332.1133333333346</v>
      </c>
      <c r="K78" s="134">
        <v>0</v>
      </c>
      <c r="L78" s="361">
        <v>-7897.1833333333343</v>
      </c>
      <c r="M78">
        <v>0</v>
      </c>
      <c r="N78" s="835"/>
      <c r="O78" s="777">
        <v>0.04</v>
      </c>
      <c r="P78" s="742">
        <v>0</v>
      </c>
      <c r="Q78" s="790"/>
    </row>
    <row r="79" spans="1:22" ht="21.95" customHeight="1" x14ac:dyDescent="0.25">
      <c r="A79" s="50"/>
      <c r="B79" s="50"/>
      <c r="C79" s="50"/>
      <c r="D79" s="799"/>
      <c r="E79" s="22" t="s">
        <v>53</v>
      </c>
      <c r="F79" s="840">
        <v>71.89</v>
      </c>
      <c r="G79" s="790">
        <v>71.89</v>
      </c>
      <c r="H79" s="756">
        <v>0</v>
      </c>
      <c r="I79" s="790">
        <v>0</v>
      </c>
      <c r="J79" s="361">
        <v>0</v>
      </c>
      <c r="K79" s="134">
        <v>0</v>
      </c>
      <c r="L79" s="361">
        <v>33.940000000000055</v>
      </c>
      <c r="M79">
        <v>0</v>
      </c>
      <c r="N79" s="839"/>
      <c r="O79" s="777">
        <v>7.4000000000000003E-3</v>
      </c>
      <c r="P79" s="742">
        <v>1.5E-3</v>
      </c>
      <c r="Q79" s="790"/>
    </row>
    <row r="80" spans="1:22" ht="21.95" customHeight="1" x14ac:dyDescent="0.25">
      <c r="A80" s="50"/>
      <c r="B80" s="50"/>
      <c r="C80" s="51"/>
      <c r="D80" s="799"/>
      <c r="E80" s="22" t="s">
        <v>56</v>
      </c>
      <c r="F80" s="834">
        <v>38.03</v>
      </c>
      <c r="G80" s="790">
        <v>38.03</v>
      </c>
      <c r="H80" s="756">
        <v>0</v>
      </c>
      <c r="I80" s="790">
        <v>0</v>
      </c>
      <c r="J80" s="361">
        <v>0</v>
      </c>
      <c r="K80" s="134">
        <v>0</v>
      </c>
      <c r="L80" s="361">
        <v>36.819999999999709</v>
      </c>
      <c r="M80">
        <v>0</v>
      </c>
      <c r="N80" s="835"/>
      <c r="O80" s="777">
        <v>4.2999999999999997E-2</v>
      </c>
      <c r="P80" s="836">
        <v>2.98E-2</v>
      </c>
      <c r="Q80" s="790"/>
    </row>
    <row r="81" spans="1:17" ht="21.95" customHeight="1" x14ac:dyDescent="0.25">
      <c r="A81" s="50"/>
      <c r="B81" s="50"/>
      <c r="C81" s="51"/>
      <c r="D81" s="799"/>
      <c r="E81" s="22" t="s">
        <v>0</v>
      </c>
      <c r="F81" s="834">
        <v>209.32</v>
      </c>
      <c r="G81" s="790">
        <v>209.32</v>
      </c>
      <c r="H81" s="756">
        <v>0</v>
      </c>
      <c r="I81" s="790">
        <v>0</v>
      </c>
      <c r="J81" s="361">
        <v>0</v>
      </c>
      <c r="K81" s="134">
        <v>0</v>
      </c>
      <c r="L81" s="361">
        <v>465.57999999999993</v>
      </c>
      <c r="M81">
        <v>0</v>
      </c>
      <c r="N81" s="835"/>
      <c r="O81" s="777">
        <v>3.8999999999999998E-3</v>
      </c>
      <c r="P81" s="836">
        <v>1.26E-2</v>
      </c>
      <c r="Q81" s="790"/>
    </row>
    <row r="82" spans="1:17" ht="21.95" customHeight="1" x14ac:dyDescent="0.25">
      <c r="A82" s="50"/>
      <c r="B82" s="50"/>
      <c r="C82" s="51"/>
      <c r="D82" s="799"/>
      <c r="E82" s="22" t="s">
        <v>39</v>
      </c>
      <c r="F82" s="834">
        <v>44.8</v>
      </c>
      <c r="G82" s="790">
        <v>44.8</v>
      </c>
      <c r="H82" s="799">
        <v>0</v>
      </c>
      <c r="I82" s="790">
        <v>0</v>
      </c>
      <c r="J82" s="361">
        <v>0</v>
      </c>
      <c r="K82" s="134">
        <v>0</v>
      </c>
      <c r="L82" s="361">
        <v>529.88000000000284</v>
      </c>
      <c r="M82">
        <v>0</v>
      </c>
      <c r="N82" s="839"/>
      <c r="O82" s="777">
        <v>2.3E-2</v>
      </c>
      <c r="P82" s="836">
        <v>6.7000000000000002E-3</v>
      </c>
      <c r="Q82" s="837"/>
    </row>
    <row r="83" spans="1:17" ht="21.95" customHeight="1" x14ac:dyDescent="0.25">
      <c r="A83" s="50"/>
      <c r="B83" s="50"/>
      <c r="C83" s="51"/>
      <c r="D83" s="799"/>
      <c r="E83" s="22" t="s">
        <v>54</v>
      </c>
      <c r="F83" s="834">
        <v>125.77</v>
      </c>
      <c r="G83" s="790">
        <v>125.77</v>
      </c>
      <c r="H83" s="799">
        <v>0</v>
      </c>
      <c r="I83" s="790">
        <v>0</v>
      </c>
      <c r="J83" s="361">
        <v>0</v>
      </c>
      <c r="K83" s="134">
        <v>0</v>
      </c>
      <c r="L83" s="361">
        <v>114.84999999999991</v>
      </c>
      <c r="M83">
        <v>0</v>
      </c>
      <c r="N83" s="835"/>
      <c r="O83" s="777">
        <v>2.35E-2</v>
      </c>
      <c r="P83" s="836">
        <v>7.4999999999999997E-3</v>
      </c>
      <c r="Q83" s="837"/>
    </row>
    <row r="84" spans="1:17" ht="21.95" customHeight="1" x14ac:dyDescent="0.25">
      <c r="A84" s="50"/>
      <c r="B84" s="50"/>
      <c r="C84" s="51"/>
      <c r="D84" s="799"/>
      <c r="E84" s="22" t="s">
        <v>51</v>
      </c>
      <c r="F84" s="834">
        <v>228.79</v>
      </c>
      <c r="G84" s="790">
        <v>228.79</v>
      </c>
      <c r="H84" s="756">
        <v>0</v>
      </c>
      <c r="I84" s="790">
        <v>0</v>
      </c>
      <c r="J84" s="361">
        <v>0</v>
      </c>
      <c r="K84" s="134">
        <v>0</v>
      </c>
      <c r="L84" s="361">
        <v>176.70000000000073</v>
      </c>
      <c r="M84">
        <v>0</v>
      </c>
      <c r="N84" s="835"/>
      <c r="O84" s="777">
        <v>1.52E-2</v>
      </c>
      <c r="P84" s="836">
        <v>1.9E-2</v>
      </c>
      <c r="Q84" s="837"/>
    </row>
    <row r="85" spans="1:17" ht="21.95" customHeight="1" x14ac:dyDescent="0.25">
      <c r="A85" s="50"/>
      <c r="B85" s="51"/>
      <c r="C85" s="51"/>
      <c r="F85" s="2"/>
      <c r="G85" s="2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695" priority="448">
      <formula>$O1=0</formula>
    </cfRule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694" priority="404">
      <formula>$H2=0</formula>
    </cfRule>
  </conditionalFormatting>
  <conditionalFormatting sqref="J2:K4 J70:K71 J6:K6 J21:K58 J12:K19 J85:K200">
    <cfRule type="expression" dxfId="2693" priority="405">
      <formula>$J2=0</formula>
    </cfRule>
  </conditionalFormatting>
  <conditionalFormatting sqref="L70:L71 L1:L6 L85:L1048576 L8:L58">
    <cfRule type="expression" dxfId="2692" priority="403">
      <formula>$L2=0</formula>
    </cfRule>
  </conditionalFormatting>
  <conditionalFormatting sqref="M1">
    <cfRule type="expression" dxfId="2691" priority="399">
      <formula>$L2=0</formula>
    </cfRule>
  </conditionalFormatting>
  <conditionalFormatting sqref="J2:K4 J6:K6 J21:K58 J12:K19">
    <cfRule type="expression" dxfId="2690" priority="447">
      <formula>$J2&gt;0</formula>
    </cfRule>
  </conditionalFormatting>
  <conditionalFormatting sqref="L2:L6 L8:L58">
    <cfRule type="expression" dxfId="2689" priority="401">
      <formula>$L2&lt;0</formula>
    </cfRule>
    <cfRule type="expression" dxfId="2688" priority="402">
      <formula>$L2&gt;0</formula>
    </cfRule>
  </conditionalFormatting>
  <conditionalFormatting sqref="J2:K4 J70:K71 J6:K6 J21:K58 J12:K19 J85:K458">
    <cfRule type="expression" dxfId="2687" priority="446">
      <formula>$J2&lt;0</formula>
    </cfRule>
  </conditionalFormatting>
  <conditionalFormatting sqref="E59 I59">
    <cfRule type="expression" dxfId="2686" priority="375">
      <formula>$H59=0</formula>
    </cfRule>
  </conditionalFormatting>
  <conditionalFormatting sqref="J59:K59">
    <cfRule type="expression" dxfId="2685" priority="376">
      <formula>$J59=0</formula>
    </cfRule>
  </conditionalFormatting>
  <conditionalFormatting sqref="L59">
    <cfRule type="expression" dxfId="2684" priority="374">
      <formula>$L60=0</formula>
    </cfRule>
  </conditionalFormatting>
  <conditionalFormatting sqref="J59:K59">
    <cfRule type="expression" dxfId="2683" priority="378">
      <formula>$J59&gt;0</formula>
    </cfRule>
  </conditionalFormatting>
  <conditionalFormatting sqref="L59">
    <cfRule type="expression" dxfId="2682" priority="372">
      <formula>$L59&lt;0</formula>
    </cfRule>
    <cfRule type="expression" dxfId="2681" priority="373">
      <formula>$L59&gt;0</formula>
    </cfRule>
  </conditionalFormatting>
  <conditionalFormatting sqref="J59:K59">
    <cfRule type="expression" dxfId="2680" priority="377">
      <formula>$J59&lt;0</formula>
    </cfRule>
  </conditionalFormatting>
  <conditionalFormatting sqref="E5 I5">
    <cfRule type="expression" dxfId="2679" priority="353">
      <formula>$H5=0</formula>
    </cfRule>
  </conditionalFormatting>
  <conditionalFormatting sqref="J5:K5">
    <cfRule type="expression" dxfId="2678" priority="354">
      <formula>$J5=0</formula>
    </cfRule>
  </conditionalFormatting>
  <conditionalFormatting sqref="J5:K5">
    <cfRule type="expression" dxfId="2677" priority="356">
      <formula>$J5&gt;0</formula>
    </cfRule>
  </conditionalFormatting>
  <conditionalFormatting sqref="J5:K5">
    <cfRule type="expression" dxfId="2676" priority="355">
      <formula>$J5&lt;0</formula>
    </cfRule>
  </conditionalFormatting>
  <conditionalFormatting sqref="E60 I60">
    <cfRule type="expression" dxfId="2675" priority="331">
      <formula>$H60=0</formula>
    </cfRule>
  </conditionalFormatting>
  <conditionalFormatting sqref="J60:K60">
    <cfRule type="expression" dxfId="2674" priority="332">
      <formula>$J60=0</formula>
    </cfRule>
  </conditionalFormatting>
  <conditionalFormatting sqref="L60">
    <cfRule type="expression" dxfId="2673" priority="330">
      <formula>$L61=0</formula>
    </cfRule>
  </conditionalFormatting>
  <conditionalFormatting sqref="J60:K60">
    <cfRule type="expression" dxfId="2672" priority="334">
      <formula>$J60&gt;0</formula>
    </cfRule>
  </conditionalFormatting>
  <conditionalFormatting sqref="L60">
    <cfRule type="expression" dxfId="2671" priority="328">
      <formula>$L60&lt;0</formula>
    </cfRule>
    <cfRule type="expression" dxfId="2670" priority="329">
      <formula>$L60&gt;0</formula>
    </cfRule>
  </conditionalFormatting>
  <conditionalFormatting sqref="J60:K60">
    <cfRule type="expression" dxfId="2669" priority="333">
      <formula>$J60&lt;0</formula>
    </cfRule>
  </conditionalFormatting>
  <conditionalFormatting sqref="E62 I62">
    <cfRule type="expression" dxfId="2668" priority="320">
      <formula>$H62=0</formula>
    </cfRule>
  </conditionalFormatting>
  <conditionalFormatting sqref="J62:K62">
    <cfRule type="expression" dxfId="2667" priority="321">
      <formula>$J62=0</formula>
    </cfRule>
  </conditionalFormatting>
  <conditionalFormatting sqref="L62">
    <cfRule type="expression" dxfId="2666" priority="319">
      <formula>$L63=0</formula>
    </cfRule>
  </conditionalFormatting>
  <conditionalFormatting sqref="J62:K62">
    <cfRule type="expression" dxfId="2665" priority="323">
      <formula>$J62&gt;0</formula>
    </cfRule>
  </conditionalFormatting>
  <conditionalFormatting sqref="L62">
    <cfRule type="expression" dxfId="2664" priority="317">
      <formula>$L62&lt;0</formula>
    </cfRule>
    <cfRule type="expression" dxfId="2663" priority="318">
      <formula>$L62&gt;0</formula>
    </cfRule>
  </conditionalFormatting>
  <conditionalFormatting sqref="J62:K62">
    <cfRule type="expression" dxfId="2662" priority="322">
      <formula>$J62&lt;0</formula>
    </cfRule>
  </conditionalFormatting>
  <conditionalFormatting sqref="E61 I61">
    <cfRule type="expression" dxfId="2661" priority="309">
      <formula>$H61=0</formula>
    </cfRule>
  </conditionalFormatting>
  <conditionalFormatting sqref="J61:K61">
    <cfRule type="expression" dxfId="2660" priority="310">
      <formula>$J61=0</formula>
    </cfRule>
  </conditionalFormatting>
  <conditionalFormatting sqref="L61">
    <cfRule type="expression" dxfId="2659" priority="308">
      <formula>$L62=0</formula>
    </cfRule>
  </conditionalFormatting>
  <conditionalFormatting sqref="J61:K61">
    <cfRule type="expression" dxfId="2658" priority="312">
      <formula>$J61&gt;0</formula>
    </cfRule>
  </conditionalFormatting>
  <conditionalFormatting sqref="L61">
    <cfRule type="expression" dxfId="2657" priority="306">
      <formula>$L61&lt;0</formula>
    </cfRule>
    <cfRule type="expression" dxfId="2656" priority="307">
      <formula>$L61&gt;0</formula>
    </cfRule>
  </conditionalFormatting>
  <conditionalFormatting sqref="J61:K61">
    <cfRule type="expression" dxfId="2655" priority="311">
      <formula>$J61&lt;0</formula>
    </cfRule>
  </conditionalFormatting>
  <conditionalFormatting sqref="E8 I8">
    <cfRule type="expression" dxfId="2654" priority="294">
      <formula>$H8=0</formula>
    </cfRule>
  </conditionalFormatting>
  <conditionalFormatting sqref="J8:K8">
    <cfRule type="expression" dxfId="2653" priority="295">
      <formula>$J8=0</formula>
    </cfRule>
  </conditionalFormatting>
  <conditionalFormatting sqref="J8:K8">
    <cfRule type="expression" dxfId="2652" priority="297">
      <formula>$J8&gt;0</formula>
    </cfRule>
  </conditionalFormatting>
  <conditionalFormatting sqref="J8:K8">
    <cfRule type="expression" dxfId="2651" priority="296">
      <formula>$J8&lt;0</formula>
    </cfRule>
  </conditionalFormatting>
  <conditionalFormatting sqref="E63 I63">
    <cfRule type="expression" dxfId="2650" priority="284">
      <formula>$H63=0</formula>
    </cfRule>
  </conditionalFormatting>
  <conditionalFormatting sqref="J63:K63">
    <cfRule type="expression" dxfId="2649" priority="285">
      <formula>$J63=0</formula>
    </cfRule>
  </conditionalFormatting>
  <conditionalFormatting sqref="L63">
    <cfRule type="expression" dxfId="2648" priority="283">
      <formula>$L64=0</formula>
    </cfRule>
  </conditionalFormatting>
  <conditionalFormatting sqref="J63:K63">
    <cfRule type="expression" dxfId="2647" priority="287">
      <formula>$J63&gt;0</formula>
    </cfRule>
  </conditionalFormatting>
  <conditionalFormatting sqref="L63">
    <cfRule type="expression" dxfId="2646" priority="281">
      <formula>$L63&lt;0</formula>
    </cfRule>
    <cfRule type="expression" dxfId="2645" priority="282">
      <formula>$L63&gt;0</formula>
    </cfRule>
  </conditionalFormatting>
  <conditionalFormatting sqref="J63:K63">
    <cfRule type="expression" dxfId="2644" priority="286">
      <formula>$J63&lt;0</formula>
    </cfRule>
  </conditionalFormatting>
  <conditionalFormatting sqref="E20 I20">
    <cfRule type="expression" dxfId="2643" priority="274">
      <formula>$H20=0</formula>
    </cfRule>
  </conditionalFormatting>
  <conditionalFormatting sqref="J20:K20">
    <cfRule type="expression" dxfId="2642" priority="275">
      <formula>$J20=0</formula>
    </cfRule>
  </conditionalFormatting>
  <conditionalFormatting sqref="J20:K20">
    <cfRule type="expression" dxfId="2641" priority="277">
      <formula>$J20&gt;0</formula>
    </cfRule>
  </conditionalFormatting>
  <conditionalFormatting sqref="J20:K20">
    <cfRule type="expression" dxfId="2640" priority="276">
      <formula>$J20&lt;0</formula>
    </cfRule>
  </conditionalFormatting>
  <conditionalFormatting sqref="E64 I64">
    <cfRule type="expression" dxfId="2639" priority="265">
      <formula>$H64=0</formula>
    </cfRule>
  </conditionalFormatting>
  <conditionalFormatting sqref="J64:K64">
    <cfRule type="expression" dxfId="2638" priority="266">
      <formula>$J64=0</formula>
    </cfRule>
  </conditionalFormatting>
  <conditionalFormatting sqref="L64">
    <cfRule type="expression" dxfId="2637" priority="264">
      <formula>$L65=0</formula>
    </cfRule>
  </conditionalFormatting>
  <conditionalFormatting sqref="J64:K64">
    <cfRule type="expression" dxfId="2636" priority="268">
      <formula>$J64&gt;0</formula>
    </cfRule>
  </conditionalFormatting>
  <conditionalFormatting sqref="L64">
    <cfRule type="expression" dxfId="2635" priority="262">
      <formula>$L64&lt;0</formula>
    </cfRule>
    <cfRule type="expression" dxfId="2634" priority="263">
      <formula>$L64&gt;0</formula>
    </cfRule>
  </conditionalFormatting>
  <conditionalFormatting sqref="J64:K64">
    <cfRule type="expression" dxfId="2633" priority="267">
      <formula>$J64&lt;0</formula>
    </cfRule>
  </conditionalFormatting>
  <conditionalFormatting sqref="E65 I65">
    <cfRule type="expression" dxfId="2632" priority="258">
      <formula>$H65=0</formula>
    </cfRule>
  </conditionalFormatting>
  <conditionalFormatting sqref="J65:K65">
    <cfRule type="expression" dxfId="2631" priority="259">
      <formula>$J65=0</formula>
    </cfRule>
  </conditionalFormatting>
  <conditionalFormatting sqref="L65">
    <cfRule type="expression" dxfId="2630" priority="257">
      <formula>$L66=0</formula>
    </cfRule>
  </conditionalFormatting>
  <conditionalFormatting sqref="J65:K65">
    <cfRule type="expression" dxfId="2629" priority="261">
      <formula>$J65&gt;0</formula>
    </cfRule>
  </conditionalFormatting>
  <conditionalFormatting sqref="L65">
    <cfRule type="expression" dxfId="2628" priority="255">
      <formula>$L65&lt;0</formula>
    </cfRule>
    <cfRule type="expression" dxfId="2627" priority="256">
      <formula>$L65&gt;0</formula>
    </cfRule>
  </conditionalFormatting>
  <conditionalFormatting sqref="J65:K65">
    <cfRule type="expression" dxfId="2626" priority="260">
      <formula>$J65&lt;0</formula>
    </cfRule>
  </conditionalFormatting>
  <conditionalFormatting sqref="E11 I11">
    <cfRule type="expression" dxfId="2625" priority="249">
      <formula>$H11=0</formula>
    </cfRule>
  </conditionalFormatting>
  <conditionalFormatting sqref="J11:K11">
    <cfRule type="expression" dxfId="2624" priority="250">
      <formula>$J11=0</formula>
    </cfRule>
  </conditionalFormatting>
  <conditionalFormatting sqref="J11:K11">
    <cfRule type="expression" dxfId="2623" priority="252">
      <formula>$J11&gt;0</formula>
    </cfRule>
  </conditionalFormatting>
  <conditionalFormatting sqref="J11:K11">
    <cfRule type="expression" dxfId="2622" priority="251">
      <formula>$J11&lt;0</formula>
    </cfRule>
  </conditionalFormatting>
  <conditionalFormatting sqref="E9 I9">
    <cfRule type="expression" dxfId="2621" priority="242">
      <formula>$H9=0</formula>
    </cfRule>
  </conditionalFormatting>
  <conditionalFormatting sqref="J9:K9">
    <cfRule type="expression" dxfId="2620" priority="243">
      <formula>$J9=0</formula>
    </cfRule>
  </conditionalFormatting>
  <conditionalFormatting sqref="J9:K9">
    <cfRule type="expression" dxfId="2619" priority="245">
      <formula>$J9&gt;0</formula>
    </cfRule>
  </conditionalFormatting>
  <conditionalFormatting sqref="J9:K9">
    <cfRule type="expression" dxfId="2618" priority="244">
      <formula>$J9&lt;0</formula>
    </cfRule>
  </conditionalFormatting>
  <conditionalFormatting sqref="E66 I66">
    <cfRule type="expression" dxfId="2617" priority="233">
      <formula>$H66=0</formula>
    </cfRule>
  </conditionalFormatting>
  <conditionalFormatting sqref="J66:K66">
    <cfRule type="expression" dxfId="2616" priority="234">
      <formula>$J66=0</formula>
    </cfRule>
  </conditionalFormatting>
  <conditionalFormatting sqref="L66">
    <cfRule type="expression" dxfId="2615" priority="232">
      <formula>$L67=0</formula>
    </cfRule>
  </conditionalFormatting>
  <conditionalFormatting sqref="J66:K66">
    <cfRule type="expression" dxfId="2614" priority="236">
      <formula>$J66&gt;0</formula>
    </cfRule>
  </conditionalFormatting>
  <conditionalFormatting sqref="L66">
    <cfRule type="expression" dxfId="2613" priority="230">
      <formula>$L66&lt;0</formula>
    </cfRule>
    <cfRule type="expression" dxfId="2612" priority="231">
      <formula>$L66&gt;0</formula>
    </cfRule>
  </conditionalFormatting>
  <conditionalFormatting sqref="J66:K66">
    <cfRule type="expression" dxfId="2611" priority="235">
      <formula>$J66&lt;0</formula>
    </cfRule>
  </conditionalFormatting>
  <conditionalFormatting sqref="O2:O6 O8:O6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10" priority="224">
      <formula>$H10=0</formula>
    </cfRule>
  </conditionalFormatting>
  <conditionalFormatting sqref="J10:K10">
    <cfRule type="expression" dxfId="2609" priority="225">
      <formula>$J10=0</formula>
    </cfRule>
  </conditionalFormatting>
  <conditionalFormatting sqref="J10:K10">
    <cfRule type="expression" dxfId="2608" priority="227">
      <formula>$J10&gt;0</formula>
    </cfRule>
  </conditionalFormatting>
  <conditionalFormatting sqref="J10:K10">
    <cfRule type="expression" dxfId="2607" priority="226">
      <formula>$J10&lt;0</formula>
    </cfRule>
  </conditionalFormatting>
  <conditionalFormatting sqref="E26:E28 E30 E45:E49 E36:E43">
    <cfRule type="expression" dxfId="2606" priority="220">
      <formula>$H26=0</formula>
    </cfRule>
  </conditionalFormatting>
  <conditionalFormatting sqref="E29">
    <cfRule type="expression" dxfId="2605" priority="219">
      <formula>$H29=0</formula>
    </cfRule>
  </conditionalFormatting>
  <conditionalFormatting sqref="E31">
    <cfRule type="expression" dxfId="2604" priority="218">
      <formula>$H31=0</formula>
    </cfRule>
  </conditionalFormatting>
  <conditionalFormatting sqref="E32">
    <cfRule type="expression" dxfId="2603" priority="217">
      <formula>$H32=0</formula>
    </cfRule>
  </conditionalFormatting>
  <conditionalFormatting sqref="E44">
    <cfRule type="expression" dxfId="2602" priority="216">
      <formula>$H44=0</formula>
    </cfRule>
  </conditionalFormatting>
  <conditionalFormatting sqref="E35">
    <cfRule type="expression" dxfId="2601" priority="215">
      <formula>$H35=0</formula>
    </cfRule>
  </conditionalFormatting>
  <conditionalFormatting sqref="E33">
    <cfRule type="expression" dxfId="2600" priority="214">
      <formula>$H33=0</formula>
    </cfRule>
  </conditionalFormatting>
  <conditionalFormatting sqref="E34">
    <cfRule type="expression" dxfId="2599" priority="213">
      <formula>$H34=0</formula>
    </cfRule>
  </conditionalFormatting>
  <conditionalFormatting sqref="E67 I67">
    <cfRule type="expression" dxfId="2598" priority="209">
      <formula>$H67=0</formula>
    </cfRule>
  </conditionalFormatting>
  <conditionalFormatting sqref="J67:K67">
    <cfRule type="expression" dxfId="2597" priority="210">
      <formula>$J67=0</formula>
    </cfRule>
  </conditionalFormatting>
  <conditionalFormatting sqref="L67">
    <cfRule type="expression" dxfId="2596" priority="208">
      <formula>$L68=0</formula>
    </cfRule>
  </conditionalFormatting>
  <conditionalFormatting sqref="J67:K67">
    <cfRule type="expression" dxfId="2595" priority="212">
      <formula>$J67&gt;0</formula>
    </cfRule>
  </conditionalFormatting>
  <conditionalFormatting sqref="L67">
    <cfRule type="expression" dxfId="2594" priority="206">
      <formula>$L67&lt;0</formula>
    </cfRule>
    <cfRule type="expression" dxfId="2593" priority="207">
      <formula>$L67&gt;0</formula>
    </cfRule>
  </conditionalFormatting>
  <conditionalFormatting sqref="J67:K67">
    <cfRule type="expression" dxfId="2592" priority="211">
      <formula>$J67&lt;0</formula>
    </cfRule>
  </conditionalFormatting>
  <conditionalFormatting sqref="E69 I69">
    <cfRule type="expression" dxfId="2591" priority="202">
      <formula>$H69=0</formula>
    </cfRule>
  </conditionalFormatting>
  <conditionalFormatting sqref="J69:K69">
    <cfRule type="expression" dxfId="2590" priority="203">
      <formula>$J69=0</formula>
    </cfRule>
  </conditionalFormatting>
  <conditionalFormatting sqref="L69">
    <cfRule type="expression" dxfId="2589" priority="201">
      <formula>$L70=0</formula>
    </cfRule>
  </conditionalFormatting>
  <conditionalFormatting sqref="J69:K69">
    <cfRule type="expression" dxfId="2588" priority="205">
      <formula>$J69&gt;0</formula>
    </cfRule>
  </conditionalFormatting>
  <conditionalFormatting sqref="L69">
    <cfRule type="expression" dxfId="2587" priority="199">
      <formula>$L69&lt;0</formula>
    </cfRule>
    <cfRule type="expression" dxfId="2586" priority="200">
      <formula>$L69&gt;0</formula>
    </cfRule>
  </conditionalFormatting>
  <conditionalFormatting sqref="J69:K69">
    <cfRule type="expression" dxfId="2585" priority="204">
      <formula>$J69&lt;0</formula>
    </cfRule>
  </conditionalFormatting>
  <conditionalFormatting sqref="E68 I68">
    <cfRule type="expression" dxfId="2584" priority="195">
      <formula>$H68=0</formula>
    </cfRule>
  </conditionalFormatting>
  <conditionalFormatting sqref="J68:K68">
    <cfRule type="expression" dxfId="2583" priority="196">
      <formula>$J68=0</formula>
    </cfRule>
  </conditionalFormatting>
  <conditionalFormatting sqref="L68">
    <cfRule type="expression" dxfId="2582" priority="194">
      <formula>$L69=0</formula>
    </cfRule>
  </conditionalFormatting>
  <conditionalFormatting sqref="J68:K68">
    <cfRule type="expression" dxfId="2581" priority="198">
      <formula>$J68&gt;0</formula>
    </cfRule>
  </conditionalFormatting>
  <conditionalFormatting sqref="L68">
    <cfRule type="expression" dxfId="2580" priority="192">
      <formula>$L68&lt;0</formula>
    </cfRule>
    <cfRule type="expression" dxfId="2579" priority="193">
      <formula>$L68&gt;0</formula>
    </cfRule>
  </conditionalFormatting>
  <conditionalFormatting sqref="J68:K68">
    <cfRule type="expression" dxfId="2578" priority="197">
      <formula>$J68&lt;0</formula>
    </cfRule>
  </conditionalFormatting>
  <conditionalFormatting sqref="O67:O7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577" priority="187">
      <formula>$H69=0</formula>
    </cfRule>
  </conditionalFormatting>
  <conditionalFormatting sqref="J69:K69">
    <cfRule type="expression" dxfId="2576" priority="188">
      <formula>$J69=0</formula>
    </cfRule>
  </conditionalFormatting>
  <conditionalFormatting sqref="L69">
    <cfRule type="expression" dxfId="2575" priority="186">
      <formula>$L70=0</formula>
    </cfRule>
  </conditionalFormatting>
  <conditionalFormatting sqref="J69:K69">
    <cfRule type="expression" dxfId="2574" priority="190">
      <formula>$J69&gt;0</formula>
    </cfRule>
  </conditionalFormatting>
  <conditionalFormatting sqref="L69">
    <cfRule type="expression" dxfId="2573" priority="184">
      <formula>$L69&lt;0</formula>
    </cfRule>
    <cfRule type="expression" dxfId="2572" priority="185">
      <formula>$L69&gt;0</formula>
    </cfRule>
  </conditionalFormatting>
  <conditionalFormatting sqref="J69:K69">
    <cfRule type="expression" dxfId="2571" priority="189">
      <formula>$J69&lt;0</formula>
    </cfRule>
  </conditionalFormatting>
  <conditionalFormatting sqref="E71 I71">
    <cfRule type="expression" dxfId="2570" priority="180">
      <formula>$H71=0</formula>
    </cfRule>
  </conditionalFormatting>
  <conditionalFormatting sqref="J71:K71">
    <cfRule type="expression" dxfId="2569" priority="181">
      <formula>$J71=0</formula>
    </cfRule>
  </conditionalFormatting>
  <conditionalFormatting sqref="L71">
    <cfRule type="expression" dxfId="2568" priority="179">
      <formula>$L72=0</formula>
    </cfRule>
  </conditionalFormatting>
  <conditionalFormatting sqref="J71:K71">
    <cfRule type="expression" dxfId="2567" priority="183">
      <formula>$J71&gt;0</formula>
    </cfRule>
  </conditionalFormatting>
  <conditionalFormatting sqref="L71">
    <cfRule type="expression" dxfId="2566" priority="177">
      <formula>$L71&lt;0</formula>
    </cfRule>
    <cfRule type="expression" dxfId="2565" priority="178">
      <formula>$L71&gt;0</formula>
    </cfRule>
  </conditionalFormatting>
  <conditionalFormatting sqref="J71:K71">
    <cfRule type="expression" dxfId="2564" priority="182">
      <formula>$J71&lt;0</formula>
    </cfRule>
  </conditionalFormatting>
  <conditionalFormatting sqref="E70 I70">
    <cfRule type="expression" dxfId="2563" priority="173">
      <formula>$H70=0</formula>
    </cfRule>
  </conditionalFormatting>
  <conditionalFormatting sqref="J70:K70">
    <cfRule type="expression" dxfId="2562" priority="174">
      <formula>$J70=0</formula>
    </cfRule>
  </conditionalFormatting>
  <conditionalFormatting sqref="L70">
    <cfRule type="expression" dxfId="2561" priority="172">
      <formula>$L71=0</formula>
    </cfRule>
  </conditionalFormatting>
  <conditionalFormatting sqref="J70:K70">
    <cfRule type="expression" dxfId="2560" priority="176">
      <formula>$J70&gt;0</formula>
    </cfRule>
  </conditionalFormatting>
  <conditionalFormatting sqref="L70">
    <cfRule type="expression" dxfId="2559" priority="170">
      <formula>$L70&lt;0</formula>
    </cfRule>
    <cfRule type="expression" dxfId="2558" priority="171">
      <formula>$L70&gt;0</formula>
    </cfRule>
  </conditionalFormatting>
  <conditionalFormatting sqref="J70:K70">
    <cfRule type="expression" dxfId="2557" priority="175">
      <formula>$J70&lt;0</formula>
    </cfRule>
  </conditionalFormatting>
  <conditionalFormatting sqref="O73:O74">
    <cfRule type="expression" dxfId="2556" priority="164">
      <formula>$O73=0</formula>
    </cfRule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55" priority="162">
      <formula>$J73=0</formula>
    </cfRule>
  </conditionalFormatting>
  <conditionalFormatting sqref="L73:L74">
    <cfRule type="expression" dxfId="2554" priority="161">
      <formula>$L74=0</formula>
    </cfRule>
  </conditionalFormatting>
  <conditionalFormatting sqref="J73:K74">
    <cfRule type="expression" dxfId="2553" priority="163">
      <formula>$J73&lt;0</formula>
    </cfRule>
  </conditionalFormatting>
  <conditionalFormatting sqref="E72 I72">
    <cfRule type="expression" dxfId="2552" priority="157">
      <formula>$H72=0</formula>
    </cfRule>
  </conditionalFormatting>
  <conditionalFormatting sqref="J72:K72">
    <cfRule type="expression" dxfId="2551" priority="158">
      <formula>$J72=0</formula>
    </cfRule>
  </conditionalFormatting>
  <conditionalFormatting sqref="L72">
    <cfRule type="expression" dxfId="2550" priority="156">
      <formula>$L73=0</formula>
    </cfRule>
  </conditionalFormatting>
  <conditionalFormatting sqref="J72:K72">
    <cfRule type="expression" dxfId="2549" priority="160">
      <formula>$J72&gt;0</formula>
    </cfRule>
  </conditionalFormatting>
  <conditionalFormatting sqref="L72">
    <cfRule type="expression" dxfId="2548" priority="154">
      <formula>$L72&lt;0</formula>
    </cfRule>
    <cfRule type="expression" dxfId="2547" priority="155">
      <formula>$L72&gt;0</formula>
    </cfRule>
  </conditionalFormatting>
  <conditionalFormatting sqref="J72:K72">
    <cfRule type="expression" dxfId="2546" priority="159">
      <formula>$J72&lt;0</formula>
    </cfRule>
  </conditionalFormatting>
  <conditionalFormatting sqref="O72:O7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45" priority="149">
      <formula>$H72=0</formula>
    </cfRule>
  </conditionalFormatting>
  <conditionalFormatting sqref="J72:K72">
    <cfRule type="expression" dxfId="2544" priority="150">
      <formula>$J72=0</formula>
    </cfRule>
  </conditionalFormatting>
  <conditionalFormatting sqref="L72">
    <cfRule type="expression" dxfId="2543" priority="148">
      <formula>$L73=0</formula>
    </cfRule>
  </conditionalFormatting>
  <conditionalFormatting sqref="J72:K72">
    <cfRule type="expression" dxfId="2542" priority="152">
      <formula>$J72&gt;0</formula>
    </cfRule>
  </conditionalFormatting>
  <conditionalFormatting sqref="L72">
    <cfRule type="expression" dxfId="2541" priority="146">
      <formula>$L72&lt;0</formula>
    </cfRule>
    <cfRule type="expression" dxfId="2540" priority="147">
      <formula>$L72&gt;0</formula>
    </cfRule>
  </conditionalFormatting>
  <conditionalFormatting sqref="J72:K72">
    <cfRule type="expression" dxfId="2539" priority="151">
      <formula>$J72&lt;0</formula>
    </cfRule>
  </conditionalFormatting>
  <conditionalFormatting sqref="E74 I74">
    <cfRule type="expression" dxfId="2538" priority="142">
      <formula>$H74=0</formula>
    </cfRule>
  </conditionalFormatting>
  <conditionalFormatting sqref="J74:K74">
    <cfRule type="expression" dxfId="2537" priority="143">
      <formula>$J74=0</formula>
    </cfRule>
  </conditionalFormatting>
  <conditionalFormatting sqref="L74">
    <cfRule type="expression" dxfId="2536" priority="141">
      <formula>$L75=0</formula>
    </cfRule>
  </conditionalFormatting>
  <conditionalFormatting sqref="J74:K74">
    <cfRule type="expression" dxfId="2535" priority="145">
      <formula>$J74&gt;0</formula>
    </cfRule>
  </conditionalFormatting>
  <conditionalFormatting sqref="L74">
    <cfRule type="expression" dxfId="2534" priority="139">
      <formula>$L74&lt;0</formula>
    </cfRule>
    <cfRule type="expression" dxfId="2533" priority="140">
      <formula>$L74&gt;0</formula>
    </cfRule>
  </conditionalFormatting>
  <conditionalFormatting sqref="J74:K74">
    <cfRule type="expression" dxfId="2532" priority="144">
      <formula>$J74&lt;0</formula>
    </cfRule>
  </conditionalFormatting>
  <conditionalFormatting sqref="E73 I73">
    <cfRule type="expression" dxfId="2531" priority="135">
      <formula>$H73=0</formula>
    </cfRule>
  </conditionalFormatting>
  <conditionalFormatting sqref="J73:K73">
    <cfRule type="expression" dxfId="2530" priority="136">
      <formula>$J73=0</formula>
    </cfRule>
  </conditionalFormatting>
  <conditionalFormatting sqref="L73">
    <cfRule type="expression" dxfId="2529" priority="134">
      <formula>$L74=0</formula>
    </cfRule>
  </conditionalFormatting>
  <conditionalFormatting sqref="J73:K73">
    <cfRule type="expression" dxfId="2528" priority="138">
      <formula>$J73&gt;0</formula>
    </cfRule>
  </conditionalFormatting>
  <conditionalFormatting sqref="L73">
    <cfRule type="expression" dxfId="2527" priority="132">
      <formula>$L73&lt;0</formula>
    </cfRule>
    <cfRule type="expression" dxfId="2526" priority="133">
      <formula>$L73&gt;0</formula>
    </cfRule>
  </conditionalFormatting>
  <conditionalFormatting sqref="J73:K73">
    <cfRule type="expression" dxfId="2525" priority="137">
      <formula>$J73&lt;0</formula>
    </cfRule>
  </conditionalFormatting>
  <conditionalFormatting sqref="O75">
    <cfRule type="expression" dxfId="2524" priority="126">
      <formula>$O75=0</formula>
    </cfRule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23" priority="124">
      <formula>$J75=0</formula>
    </cfRule>
  </conditionalFormatting>
  <conditionalFormatting sqref="L75">
    <cfRule type="expression" dxfId="2522" priority="123">
      <formula>$L76=0</formula>
    </cfRule>
  </conditionalFormatting>
  <conditionalFormatting sqref="J75:K75">
    <cfRule type="expression" dxfId="2521" priority="125">
      <formula>$J75&lt;0</formula>
    </cfRule>
  </conditionalFormatting>
  <conditionalFormatting sqref="O75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20" priority="118">
      <formula>$H75=0</formula>
    </cfRule>
  </conditionalFormatting>
  <conditionalFormatting sqref="J75:K75">
    <cfRule type="expression" dxfId="2519" priority="119">
      <formula>$J75=0</formula>
    </cfRule>
  </conditionalFormatting>
  <conditionalFormatting sqref="L75">
    <cfRule type="expression" dxfId="2518" priority="117">
      <formula>$L76=0</formula>
    </cfRule>
  </conditionalFormatting>
  <conditionalFormatting sqref="J75:K75">
    <cfRule type="expression" dxfId="2517" priority="121">
      <formula>$J75&gt;0</formula>
    </cfRule>
  </conditionalFormatting>
  <conditionalFormatting sqref="L75">
    <cfRule type="expression" dxfId="2516" priority="115">
      <formula>$L75&lt;0</formula>
    </cfRule>
    <cfRule type="expression" dxfId="2515" priority="116">
      <formula>$L75&gt;0</formula>
    </cfRule>
  </conditionalFormatting>
  <conditionalFormatting sqref="J75:K75">
    <cfRule type="expression" dxfId="2514" priority="120">
      <formula>$J75&lt;0</formula>
    </cfRule>
  </conditionalFormatting>
  <conditionalFormatting sqref="E7 I7">
    <cfRule type="expression" dxfId="2513" priority="110">
      <formula>$H7=0</formula>
    </cfRule>
  </conditionalFormatting>
  <conditionalFormatting sqref="J7:K7">
    <cfRule type="expression" dxfId="2512" priority="111">
      <formula>$J7=0</formula>
    </cfRule>
  </conditionalFormatting>
  <conditionalFormatting sqref="L7">
    <cfRule type="expression" dxfId="2511" priority="109">
      <formula>$L8=0</formula>
    </cfRule>
  </conditionalFormatting>
  <conditionalFormatting sqref="J7:K7">
    <cfRule type="expression" dxfId="2510" priority="113">
      <formula>$J7&gt;0</formula>
    </cfRule>
  </conditionalFormatting>
  <conditionalFormatting sqref="L7">
    <cfRule type="expression" dxfId="2509" priority="107">
      <formula>$L7&lt;0</formula>
    </cfRule>
    <cfRule type="expression" dxfId="2508" priority="108">
      <formula>$L7&gt;0</formula>
    </cfRule>
  </conditionalFormatting>
  <conditionalFormatting sqref="J7:K7">
    <cfRule type="expression" dxfId="2507" priority="112">
      <formula>$J7&lt;0</formula>
    </cfRule>
  </conditionalFormatting>
  <conditionalFormatting sqref="O7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06" priority="102">
      <formula>$O76=0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05" priority="100">
      <formula>$J76=0</formula>
    </cfRule>
  </conditionalFormatting>
  <conditionalFormatting sqref="L76">
    <cfRule type="expression" dxfId="2504" priority="99">
      <formula>$L77=0</formula>
    </cfRule>
  </conditionalFormatting>
  <conditionalFormatting sqref="J76:K76">
    <cfRule type="expression" dxfId="2503" priority="101">
      <formula>$J76&lt;0</formula>
    </cfRule>
  </conditionalFormatting>
  <conditionalFormatting sqref="O7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02" priority="94">
      <formula>$H76=0</formula>
    </cfRule>
  </conditionalFormatting>
  <conditionalFormatting sqref="J76:K76">
    <cfRule type="expression" dxfId="2501" priority="95">
      <formula>$J76=0</formula>
    </cfRule>
  </conditionalFormatting>
  <conditionalFormatting sqref="L76">
    <cfRule type="expression" dxfId="2500" priority="93">
      <formula>$L77=0</formula>
    </cfRule>
  </conditionalFormatting>
  <conditionalFormatting sqref="J76:K76">
    <cfRule type="expression" dxfId="2499" priority="97">
      <formula>$J76&gt;0</formula>
    </cfRule>
  </conditionalFormatting>
  <conditionalFormatting sqref="L76">
    <cfRule type="expression" dxfId="2498" priority="91">
      <formula>$L76&lt;0</formula>
    </cfRule>
    <cfRule type="expression" dxfId="2497" priority="92">
      <formula>$L76&gt;0</formula>
    </cfRule>
  </conditionalFormatting>
  <conditionalFormatting sqref="J76:K76">
    <cfRule type="expression" dxfId="2496" priority="96">
      <formula>$J76&lt;0</formula>
    </cfRule>
  </conditionalFormatting>
  <conditionalFormatting sqref="O77">
    <cfRule type="expression" dxfId="2495" priority="89">
      <formula>$O77=0</formula>
    </cfRule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494" priority="87">
      <formula>$J77=0</formula>
    </cfRule>
  </conditionalFormatting>
  <conditionalFormatting sqref="L77">
    <cfRule type="expression" dxfId="2493" priority="86">
      <formula>$L78=0</formula>
    </cfRule>
  </conditionalFormatting>
  <conditionalFormatting sqref="J77:K77">
    <cfRule type="expression" dxfId="2492" priority="88">
      <formula>$J77&lt;0</formula>
    </cfRule>
  </conditionalFormatting>
  <conditionalFormatting sqref="O7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491" priority="81">
      <formula>$H77=0</formula>
    </cfRule>
  </conditionalFormatting>
  <conditionalFormatting sqref="J77:K77">
    <cfRule type="expression" dxfId="2490" priority="82">
      <formula>$J77=0</formula>
    </cfRule>
  </conditionalFormatting>
  <conditionalFormatting sqref="L77">
    <cfRule type="expression" dxfId="2489" priority="80">
      <formula>$L78=0</formula>
    </cfRule>
  </conditionalFormatting>
  <conditionalFormatting sqref="J77:K77">
    <cfRule type="expression" dxfId="2488" priority="84">
      <formula>$J77&gt;0</formula>
    </cfRule>
  </conditionalFormatting>
  <conditionalFormatting sqref="L77">
    <cfRule type="expression" dxfId="2487" priority="78">
      <formula>$L77&lt;0</formula>
    </cfRule>
    <cfRule type="expression" dxfId="2486" priority="79">
      <formula>$L77&gt;0</formula>
    </cfRule>
  </conditionalFormatting>
  <conditionalFormatting sqref="J77:K77">
    <cfRule type="expression" dxfId="2485" priority="83">
      <formula>$J77&lt;0</formula>
    </cfRule>
  </conditionalFormatting>
  <conditionalFormatting sqref="P7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84" priority="75">
      <formula>$O78=0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83" priority="73">
      <formula>$J78=0</formula>
    </cfRule>
  </conditionalFormatting>
  <conditionalFormatting sqref="L78">
    <cfRule type="expression" dxfId="2482" priority="72">
      <formula>$L79=0</formula>
    </cfRule>
  </conditionalFormatting>
  <conditionalFormatting sqref="J78:K78">
    <cfRule type="expression" dxfId="2481" priority="74">
      <formula>$J78&lt;0</formula>
    </cfRule>
  </conditionalFormatting>
  <conditionalFormatting sqref="O7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480" priority="67">
      <formula>$H78=0</formula>
    </cfRule>
  </conditionalFormatting>
  <conditionalFormatting sqref="J78:K78">
    <cfRule type="expression" dxfId="2479" priority="68">
      <formula>$J78=0</formula>
    </cfRule>
  </conditionalFormatting>
  <conditionalFormatting sqref="L78">
    <cfRule type="expression" dxfId="2478" priority="66">
      <formula>$L79=0</formula>
    </cfRule>
  </conditionalFormatting>
  <conditionalFormatting sqref="J78:K78">
    <cfRule type="expression" dxfId="2477" priority="70">
      <formula>$J78&gt;0</formula>
    </cfRule>
  </conditionalFormatting>
  <conditionalFormatting sqref="L78">
    <cfRule type="expression" dxfId="2476" priority="64">
      <formula>$L78&lt;0</formula>
    </cfRule>
    <cfRule type="expression" dxfId="2475" priority="65">
      <formula>$L78&gt;0</formula>
    </cfRule>
  </conditionalFormatting>
  <conditionalFormatting sqref="J78:K78">
    <cfRule type="expression" dxfId="2474" priority="69">
      <formula>$J78&lt;0</formula>
    </cfRule>
  </conditionalFormatting>
  <conditionalFormatting sqref="P1:P104857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73" priority="60">
      <formula>$J79=0</formula>
    </cfRule>
  </conditionalFormatting>
  <conditionalFormatting sqref="L79">
    <cfRule type="expression" dxfId="2472" priority="59">
      <formula>$L80=0</formula>
    </cfRule>
  </conditionalFormatting>
  <conditionalFormatting sqref="J79:K79">
    <cfRule type="expression" dxfId="2471" priority="61">
      <formula>$J79&lt;0</formula>
    </cfRule>
  </conditionalFormatting>
  <conditionalFormatting sqref="E79 I79">
    <cfRule type="expression" dxfId="2470" priority="55">
      <formula>$H79=0</formula>
    </cfRule>
  </conditionalFormatting>
  <conditionalFormatting sqref="J79:K79">
    <cfRule type="expression" dxfId="2469" priority="56">
      <formula>$J79=0</formula>
    </cfRule>
  </conditionalFormatting>
  <conditionalFormatting sqref="L79">
    <cfRule type="expression" dxfId="2468" priority="54">
      <formula>$L80=0</formula>
    </cfRule>
  </conditionalFormatting>
  <conditionalFormatting sqref="J79:K79">
    <cfRule type="expression" dxfId="2467" priority="58">
      <formula>$J79&gt;0</formula>
    </cfRule>
  </conditionalFormatting>
  <conditionalFormatting sqref="L79">
    <cfRule type="expression" dxfId="2466" priority="52">
      <formula>$L79&lt;0</formula>
    </cfRule>
    <cfRule type="expression" dxfId="2465" priority="53">
      <formula>$L79&gt;0</formula>
    </cfRule>
  </conditionalFormatting>
  <conditionalFormatting sqref="J79:K79">
    <cfRule type="expression" dxfId="2464" priority="57">
      <formula>$J79&lt;0</formula>
    </cfRule>
  </conditionalFormatting>
  <conditionalFormatting sqref="J80:K80">
    <cfRule type="expression" dxfId="2463" priority="50">
      <formula>$J80=0</formula>
    </cfRule>
  </conditionalFormatting>
  <conditionalFormatting sqref="L80">
    <cfRule type="expression" dxfId="2462" priority="49">
      <formula>$L81=0</formula>
    </cfRule>
  </conditionalFormatting>
  <conditionalFormatting sqref="J80:K80">
    <cfRule type="expression" dxfId="2461" priority="51">
      <formula>$J80&lt;0</formula>
    </cfRule>
  </conditionalFormatting>
  <conditionalFormatting sqref="E80 I80">
    <cfRule type="expression" dxfId="2460" priority="45">
      <formula>$H80=0</formula>
    </cfRule>
  </conditionalFormatting>
  <conditionalFormatting sqref="J80:K80">
    <cfRule type="expression" dxfId="2459" priority="46">
      <formula>$J80=0</formula>
    </cfRule>
  </conditionalFormatting>
  <conditionalFormatting sqref="L80">
    <cfRule type="expression" dxfId="2458" priority="44">
      <formula>$L81=0</formula>
    </cfRule>
  </conditionalFormatting>
  <conditionalFormatting sqref="J80:K80">
    <cfRule type="expression" dxfId="2457" priority="48">
      <formula>$J80&gt;0</formula>
    </cfRule>
  </conditionalFormatting>
  <conditionalFormatting sqref="L80">
    <cfRule type="expression" dxfId="2456" priority="42">
      <formula>$L80&lt;0</formula>
    </cfRule>
    <cfRule type="expression" dxfId="2455" priority="43">
      <formula>$L80&gt;0</formula>
    </cfRule>
  </conditionalFormatting>
  <conditionalFormatting sqref="J80:K80">
    <cfRule type="expression" dxfId="2454" priority="47">
      <formula>$J80&lt;0</formula>
    </cfRule>
  </conditionalFormatting>
  <conditionalFormatting sqref="J81:K81">
    <cfRule type="expression" dxfId="2453" priority="40">
      <formula>$J81=0</formula>
    </cfRule>
  </conditionalFormatting>
  <conditionalFormatting sqref="L81">
    <cfRule type="expression" dxfId="2452" priority="39">
      <formula>$L82=0</formula>
    </cfRule>
  </conditionalFormatting>
  <conditionalFormatting sqref="J81:K81">
    <cfRule type="expression" dxfId="2451" priority="41">
      <formula>$J81&lt;0</formula>
    </cfRule>
  </conditionalFormatting>
  <conditionalFormatting sqref="E81 I81">
    <cfRule type="expression" dxfId="2450" priority="35">
      <formula>$H81=0</formula>
    </cfRule>
  </conditionalFormatting>
  <conditionalFormatting sqref="J81:K81">
    <cfRule type="expression" dxfId="2449" priority="36">
      <formula>$J81=0</formula>
    </cfRule>
  </conditionalFormatting>
  <conditionalFormatting sqref="L81">
    <cfRule type="expression" dxfId="2448" priority="34">
      <formula>$L82=0</formula>
    </cfRule>
  </conditionalFormatting>
  <conditionalFormatting sqref="J81:K81">
    <cfRule type="expression" dxfId="2447" priority="38">
      <formula>$J81&gt;0</formula>
    </cfRule>
  </conditionalFormatting>
  <conditionalFormatting sqref="L81">
    <cfRule type="expression" dxfId="2446" priority="32">
      <formula>$L81&lt;0</formula>
    </cfRule>
    <cfRule type="expression" dxfId="2445" priority="33">
      <formula>$L81&gt;0</formula>
    </cfRule>
  </conditionalFormatting>
  <conditionalFormatting sqref="J81:K81">
    <cfRule type="expression" dxfId="2444" priority="37">
      <formula>$J81&lt;0</formula>
    </cfRule>
  </conditionalFormatting>
  <conditionalFormatting sqref="J82:K82">
    <cfRule type="expression" dxfId="2443" priority="30">
      <formula>$J82=0</formula>
    </cfRule>
  </conditionalFormatting>
  <conditionalFormatting sqref="L82">
    <cfRule type="expression" dxfId="2442" priority="29">
      <formula>$L83=0</formula>
    </cfRule>
  </conditionalFormatting>
  <conditionalFormatting sqref="J82:K82">
    <cfRule type="expression" dxfId="2441" priority="31">
      <formula>$J82&lt;0</formula>
    </cfRule>
  </conditionalFormatting>
  <conditionalFormatting sqref="E82 I82">
    <cfRule type="expression" dxfId="2440" priority="25">
      <formula>$H82=0</formula>
    </cfRule>
  </conditionalFormatting>
  <conditionalFormatting sqref="J82:K82">
    <cfRule type="expression" dxfId="2439" priority="26">
      <formula>$J82=0</formula>
    </cfRule>
  </conditionalFormatting>
  <conditionalFormatting sqref="L82">
    <cfRule type="expression" dxfId="2438" priority="24">
      <formula>$L83=0</formula>
    </cfRule>
  </conditionalFormatting>
  <conditionalFormatting sqref="J82:K82">
    <cfRule type="expression" dxfId="2437" priority="28">
      <formula>$J82&gt;0</formula>
    </cfRule>
  </conditionalFormatting>
  <conditionalFormatting sqref="L82">
    <cfRule type="expression" dxfId="2436" priority="22">
      <formula>$L82&lt;0</formula>
    </cfRule>
    <cfRule type="expression" dxfId="2435" priority="23">
      <formula>$L82&gt;0</formula>
    </cfRule>
  </conditionalFormatting>
  <conditionalFormatting sqref="J82:K82">
    <cfRule type="expression" dxfId="2434" priority="27">
      <formula>$J82&lt;0</formula>
    </cfRule>
  </conditionalFormatting>
  <conditionalFormatting sqref="J83:K83">
    <cfRule type="expression" dxfId="2433" priority="20">
      <formula>$J83=0</formula>
    </cfRule>
  </conditionalFormatting>
  <conditionalFormatting sqref="L83">
    <cfRule type="expression" dxfId="2432" priority="19">
      <formula>$L84=0</formula>
    </cfRule>
  </conditionalFormatting>
  <conditionalFormatting sqref="J83:K83">
    <cfRule type="expression" dxfId="2431" priority="21">
      <formula>$J83&lt;0</formula>
    </cfRule>
  </conditionalFormatting>
  <conditionalFormatting sqref="E83 I83">
    <cfRule type="expression" dxfId="2430" priority="15">
      <formula>$H83=0</formula>
    </cfRule>
  </conditionalFormatting>
  <conditionalFormatting sqref="J83:K83">
    <cfRule type="expression" dxfId="2429" priority="16">
      <formula>$J83=0</formula>
    </cfRule>
  </conditionalFormatting>
  <conditionalFormatting sqref="L83">
    <cfRule type="expression" dxfId="2428" priority="14">
      <formula>$L84=0</formula>
    </cfRule>
  </conditionalFormatting>
  <conditionalFormatting sqref="J83:K83">
    <cfRule type="expression" dxfId="2427" priority="18">
      <formula>$J83&gt;0</formula>
    </cfRule>
  </conditionalFormatting>
  <conditionalFormatting sqref="L83">
    <cfRule type="expression" dxfId="2426" priority="12">
      <formula>$L83&lt;0</formula>
    </cfRule>
    <cfRule type="expression" dxfId="2425" priority="13">
      <formula>$L83&gt;0</formula>
    </cfRule>
  </conditionalFormatting>
  <conditionalFormatting sqref="J83:K83">
    <cfRule type="expression" dxfId="2424" priority="17">
      <formula>$J83&lt;0</formula>
    </cfRule>
  </conditionalFormatting>
  <conditionalFormatting sqref="J84:K84">
    <cfRule type="expression" dxfId="2423" priority="10">
      <formula>$J84=0</formula>
    </cfRule>
  </conditionalFormatting>
  <conditionalFormatting sqref="L84">
    <cfRule type="expression" dxfId="2422" priority="9">
      <formula>$L85=0</formula>
    </cfRule>
  </conditionalFormatting>
  <conditionalFormatting sqref="J84:K84">
    <cfRule type="expression" dxfId="2421" priority="11">
      <formula>$J84&lt;0</formula>
    </cfRule>
  </conditionalFormatting>
  <conditionalFormatting sqref="E84 I84">
    <cfRule type="expression" dxfId="2420" priority="5">
      <formula>$H84=0</formula>
    </cfRule>
  </conditionalFormatting>
  <conditionalFormatting sqref="J84:K84">
    <cfRule type="expression" dxfId="2419" priority="6">
      <formula>$J84=0</formula>
    </cfRule>
  </conditionalFormatting>
  <conditionalFormatting sqref="L84">
    <cfRule type="expression" dxfId="2418" priority="4">
      <formula>$L85=0</formula>
    </cfRule>
  </conditionalFormatting>
  <conditionalFormatting sqref="J84:K84">
    <cfRule type="expression" dxfId="2417" priority="8">
      <formula>$J84&gt;0</formula>
    </cfRule>
  </conditionalFormatting>
  <conditionalFormatting sqref="L84">
    <cfRule type="expression" dxfId="2416" priority="2">
      <formula>$L84&lt;0</formula>
    </cfRule>
    <cfRule type="expression" dxfId="2415" priority="3">
      <formula>$L84&gt;0</formula>
    </cfRule>
  </conditionalFormatting>
  <conditionalFormatting sqref="J84:K84">
    <cfRule type="expression" dxfId="2414" priority="7">
      <formula>$J84&lt;0</formula>
    </cfRule>
  </conditionalFormatting>
  <conditionalFormatting sqref="Q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hyperlinks>
    <hyperlink ref="E37" location="BIIB!A1" display="BIIB"/>
    <hyperlink ref="E38" location="MYL!A1" display="MYL"/>
    <hyperlink ref="E7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27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2" location="MRO!A1" display="MRO"/>
    <hyperlink ref="E22" location="GE!A1" display="GE"/>
    <hyperlink ref="E26" location="XRAY!A1" display="XRAY"/>
    <hyperlink ref="E3" location="KR!A1" display="KR"/>
    <hyperlink ref="E52" location="F!A1" display="F"/>
    <hyperlink ref="E53" location="JNJ!A1" display="JNJ"/>
    <hyperlink ref="E8" location="ULTA!A1" display="ULTA"/>
    <hyperlink ref="E36" location="FRC!A1" display="FRC"/>
    <hyperlink ref="E20" location="AAP!A1" display="AAP"/>
    <hyperlink ref="E25" location="CMCSA!A1" display="CMCSA"/>
    <hyperlink ref="E29" location="XEC!A1" display="XEC"/>
    <hyperlink ref="E23" location="MO!A1" display="MO"/>
    <hyperlink ref="E31" location="T!A1" display="T"/>
    <hyperlink ref="E34" location="COST!A1" display="COST"/>
    <hyperlink ref="E54" location="CPN!A1" display="CPN"/>
    <hyperlink ref="E55" location="EW!A1" display="EW"/>
    <hyperlink ref="E56" location="TJX!A1" display="TJX"/>
    <hyperlink ref="E14" location="QQQ!A1" display="QQQ"/>
    <hyperlink ref="E6" location="WBA!A1" display="WBA"/>
    <hyperlink ref="E57" location="AZO!A1" display="AZO"/>
    <hyperlink ref="E16" location="FL!A1" display="FL"/>
    <hyperlink ref="E30" location="MLM!A1" display="MLM"/>
    <hyperlink ref="E21" location="KHC!A1" display="KHC"/>
    <hyperlink ref="E24" location="KBWY!A1" display="KBWY"/>
    <hyperlink ref="E18" location="AYI!A1" display="AYI"/>
    <hyperlink ref="E19" location="DIA!A1" display="DIA"/>
    <hyperlink ref="E35" location="ICE!A1" display="ICE"/>
    <hyperlink ref="E58" location="NKE!A1" display="NKE"/>
    <hyperlink ref="E9" location="MOS!A1" display="MOS"/>
    <hyperlink ref="E59" location="VGK!A1" display="VGK"/>
    <hyperlink ref="E60" location="CMG!A1" display="CMG"/>
    <hyperlink ref="E13" location="HAS!A1" display="HAS"/>
    <hyperlink ref="E5" location="HSIC!A1" display="HSIC"/>
    <hyperlink ref="E4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2" location="SPY!A1" display="SPY"/>
    <hyperlink ref="E67" location="SWKS!A1" display="SWKS"/>
    <hyperlink ref="E68" location="CNI!A1" display="CNI"/>
    <hyperlink ref="E11" location="WFC!A1" display="WFC"/>
    <hyperlink ref="E69" location="AA!A1" display="AA"/>
    <hyperlink ref="E70" location="CF!A1" display="CF"/>
    <hyperlink ref="E33" location="TGT!A1" display="TGT"/>
    <hyperlink ref="E10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8" location="DAL!A1" display="DAL"/>
    <hyperlink ref="E17" location="TEVA!A1" display="TEVA"/>
    <hyperlink ref="E77" location="DIS!A1" display="DIS"/>
    <hyperlink ref="E78" location="FTR!A1" display="FTR"/>
    <hyperlink ref="E32" location="GILD!A1" display="GILD"/>
    <hyperlink ref="E79" location="WWD!A1" display="WWD"/>
    <hyperlink ref="E15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J1" workbookViewId="0">
      <pane ySplit="1" topLeftCell="A247" activePane="bottomLeft" state="frozen"/>
      <selection activeCell="E5" sqref="E5"/>
      <selection pane="bottomLeft" activeCell="AB267" sqref="AB267"/>
    </sheetView>
  </sheetViews>
  <sheetFormatPr defaultColWidth="9.140625" defaultRowHeight="18" customHeight="1" x14ac:dyDescent="0.25"/>
  <cols>
    <col min="1" max="1" width="9.5703125" style="279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3" t="s">
        <v>1</v>
      </c>
      <c r="B1" s="304" t="s">
        <v>2</v>
      </c>
      <c r="C1" s="305" t="s">
        <v>4</v>
      </c>
      <c r="D1" s="304" t="s">
        <v>5</v>
      </c>
      <c r="E1" s="304" t="s">
        <v>94</v>
      </c>
      <c r="F1" s="306" t="s">
        <v>60</v>
      </c>
      <c r="G1" s="304" t="s">
        <v>3</v>
      </c>
      <c r="H1" s="305" t="s">
        <v>6</v>
      </c>
      <c r="I1" s="304" t="s">
        <v>7</v>
      </c>
      <c r="J1" s="305" t="s">
        <v>95</v>
      </c>
      <c r="K1" s="306" t="s">
        <v>61</v>
      </c>
      <c r="L1" s="304" t="s">
        <v>77</v>
      </c>
      <c r="M1" s="306" t="s">
        <v>38</v>
      </c>
      <c r="N1" s="305" t="s">
        <v>59</v>
      </c>
      <c r="O1" s="305" t="s">
        <v>76</v>
      </c>
      <c r="P1" s="23" t="s">
        <v>132</v>
      </c>
    </row>
    <row r="2" spans="1:17" ht="18" customHeight="1" x14ac:dyDescent="0.25">
      <c r="A2" s="292" t="s">
        <v>12</v>
      </c>
      <c r="B2" s="293">
        <v>42151</v>
      </c>
      <c r="C2" s="294">
        <v>5</v>
      </c>
      <c r="D2" s="295">
        <v>42.7</v>
      </c>
      <c r="E2" s="296"/>
      <c r="F2" s="295">
        <f>C2*D2</f>
        <v>213.5</v>
      </c>
      <c r="G2" s="293">
        <v>42181</v>
      </c>
      <c r="H2" s="294">
        <v>5</v>
      </c>
      <c r="I2" s="295">
        <v>43.35</v>
      </c>
      <c r="J2" s="294">
        <v>0.01</v>
      </c>
      <c r="K2" s="295">
        <f>H2*I2-J2</f>
        <v>216.74</v>
      </c>
      <c r="L2" s="296"/>
      <c r="M2" s="295"/>
      <c r="N2" s="295"/>
      <c r="O2" s="297"/>
    </row>
    <row r="3" spans="1:17" ht="18" customHeight="1" x14ac:dyDescent="0.25">
      <c r="A3" s="739" t="s">
        <v>71</v>
      </c>
      <c r="B3" s="293">
        <v>42153</v>
      </c>
      <c r="C3" s="294">
        <v>25</v>
      </c>
      <c r="D3" s="295">
        <v>41.6</v>
      </c>
      <c r="E3" s="296"/>
      <c r="F3" s="295">
        <f>C3*D3</f>
        <v>1040</v>
      </c>
      <c r="G3" s="293">
        <v>42200</v>
      </c>
      <c r="H3" s="294">
        <v>10</v>
      </c>
      <c r="I3" s="295">
        <v>41.64</v>
      </c>
      <c r="J3" s="294">
        <v>0.01</v>
      </c>
      <c r="K3" s="295">
        <f>H3*I3-J3</f>
        <v>416.39</v>
      </c>
      <c r="L3" s="296"/>
      <c r="M3" s="295"/>
      <c r="N3" s="295"/>
      <c r="O3" s="297"/>
    </row>
    <row r="4" spans="1:17" ht="18" customHeight="1" x14ac:dyDescent="0.25">
      <c r="A4" s="292"/>
      <c r="B4" s="293">
        <v>42166</v>
      </c>
      <c r="C4" s="294">
        <v>10</v>
      </c>
      <c r="D4" s="295">
        <v>40</v>
      </c>
      <c r="E4" s="296"/>
      <c r="F4" s="295">
        <f>C4*D4</f>
        <v>400</v>
      </c>
      <c r="G4" s="293">
        <v>42201</v>
      </c>
      <c r="H4" s="294">
        <v>125</v>
      </c>
      <c r="I4" s="295">
        <v>42.6</v>
      </c>
      <c r="J4" s="294">
        <v>0.1</v>
      </c>
      <c r="K4" s="295">
        <f>H4*I4-J4</f>
        <v>5324.9</v>
      </c>
      <c r="L4" s="296"/>
      <c r="M4" s="295"/>
      <c r="N4" s="295"/>
      <c r="O4" s="297"/>
      <c r="Q4" s="148"/>
    </row>
    <row r="5" spans="1:17" ht="18" customHeight="1" x14ac:dyDescent="0.25">
      <c r="A5" s="292"/>
      <c r="B5" s="293">
        <v>42166</v>
      </c>
      <c r="C5" s="294">
        <v>100</v>
      </c>
      <c r="D5" s="295">
        <v>39.799999999999997</v>
      </c>
      <c r="E5" s="296"/>
      <c r="F5" s="295">
        <f>C5*D5</f>
        <v>3979.9999999999995</v>
      </c>
      <c r="G5" s="296"/>
      <c r="H5" s="294"/>
      <c r="I5" s="295"/>
      <c r="J5" s="294"/>
      <c r="K5" s="295"/>
      <c r="L5" s="296"/>
      <c r="M5" s="295"/>
      <c r="N5" s="295"/>
      <c r="O5" s="297"/>
    </row>
    <row r="6" spans="1:17" ht="17.25" customHeight="1" x14ac:dyDescent="0.25">
      <c r="A6" s="292"/>
      <c r="B6" s="298"/>
      <c r="C6" s="299">
        <f>SUM(C2:C5)</f>
        <v>140</v>
      </c>
      <c r="D6" s="300"/>
      <c r="E6" s="301"/>
      <c r="F6" s="300">
        <f>SUM(F2:F5)</f>
        <v>5633.5</v>
      </c>
      <c r="G6" s="301"/>
      <c r="H6" s="299">
        <f>SUM(H2:H5)</f>
        <v>140</v>
      </c>
      <c r="I6" s="300"/>
      <c r="J6" s="299"/>
      <c r="K6" s="300">
        <f>SUM(K2:K5)</f>
        <v>5958.03</v>
      </c>
      <c r="L6" s="301"/>
      <c r="M6" s="300"/>
      <c r="N6" s="300">
        <f>K6-F6</f>
        <v>324.52999999999975</v>
      </c>
      <c r="O6" s="302">
        <f>(N6+M6)/F6</f>
        <v>5.7607171385461925E-2</v>
      </c>
      <c r="P6" s="139" t="s">
        <v>133</v>
      </c>
    </row>
    <row r="7" spans="1:17" ht="17.25" customHeight="1" x14ac:dyDescent="0.25">
      <c r="A7" s="280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1" t="s">
        <v>18</v>
      </c>
      <c r="B8" s="282">
        <v>42153</v>
      </c>
      <c r="C8" s="283">
        <v>50</v>
      </c>
      <c r="D8" s="284">
        <v>36.4</v>
      </c>
      <c r="E8" s="284">
        <v>0</v>
      </c>
      <c r="F8" s="284">
        <f t="shared" ref="F8:F15" si="0">C8*D8</f>
        <v>1820</v>
      </c>
      <c r="G8" s="282">
        <v>42333</v>
      </c>
      <c r="H8" s="285">
        <v>80</v>
      </c>
      <c r="I8" s="284">
        <v>8.7200000000000006</v>
      </c>
      <c r="J8" s="284">
        <v>0.01</v>
      </c>
      <c r="K8" s="284">
        <f>I8*H8-J8</f>
        <v>697.59</v>
      </c>
      <c r="L8" s="283"/>
      <c r="M8" s="283"/>
      <c r="N8" s="283"/>
      <c r="O8" s="286"/>
      <c r="P8" s="4"/>
      <c r="Q8" s="179"/>
    </row>
    <row r="9" spans="1:17" ht="17.25" customHeight="1" x14ac:dyDescent="0.25">
      <c r="A9" s="287"/>
      <c r="B9" s="282">
        <v>42173</v>
      </c>
      <c r="C9" s="283">
        <v>5</v>
      </c>
      <c r="D9" s="284">
        <v>22.95</v>
      </c>
      <c r="E9" s="284">
        <v>0</v>
      </c>
      <c r="F9" s="284">
        <f t="shared" si="0"/>
        <v>114.75</v>
      </c>
      <c r="G9" s="282">
        <v>42335</v>
      </c>
      <c r="H9" s="285">
        <v>80</v>
      </c>
      <c r="I9" s="284">
        <v>8.98</v>
      </c>
      <c r="J9" s="284">
        <v>0.01</v>
      </c>
      <c r="K9" s="284">
        <f>I9*H9-J9</f>
        <v>718.3900000000001</v>
      </c>
      <c r="L9" s="283"/>
      <c r="M9" s="283"/>
      <c r="N9" s="283"/>
      <c r="O9" s="286"/>
      <c r="P9" s="4"/>
      <c r="Q9" s="3"/>
    </row>
    <row r="10" spans="1:17" ht="17.25" customHeight="1" x14ac:dyDescent="0.25">
      <c r="A10" s="288"/>
      <c r="B10" s="282">
        <v>42173</v>
      </c>
      <c r="C10" s="283">
        <v>10</v>
      </c>
      <c r="D10" s="284">
        <v>22.8</v>
      </c>
      <c r="E10" s="284">
        <v>0</v>
      </c>
      <c r="F10" s="284">
        <f t="shared" si="0"/>
        <v>228</v>
      </c>
      <c r="G10" s="282">
        <v>42362</v>
      </c>
      <c r="H10" s="285">
        <v>80</v>
      </c>
      <c r="I10" s="284">
        <v>9.4499999999999993</v>
      </c>
      <c r="J10" s="284">
        <v>0.01</v>
      </c>
      <c r="K10" s="284">
        <f>I10*H10-J10</f>
        <v>755.99</v>
      </c>
      <c r="L10" s="283"/>
      <c r="M10" s="283"/>
      <c r="N10" s="283"/>
      <c r="O10" s="286"/>
      <c r="P10" s="4"/>
      <c r="Q10" s="277"/>
    </row>
    <row r="11" spans="1:17" ht="18" customHeight="1" x14ac:dyDescent="0.25">
      <c r="A11" s="288"/>
      <c r="B11" s="282">
        <v>42234</v>
      </c>
      <c r="C11" s="283">
        <v>15</v>
      </c>
      <c r="D11" s="284">
        <v>13.9</v>
      </c>
      <c r="E11" s="284">
        <v>0</v>
      </c>
      <c r="F11" s="284">
        <f t="shared" si="0"/>
        <v>208.5</v>
      </c>
      <c r="G11" s="282">
        <v>42398</v>
      </c>
      <c r="H11" s="285">
        <v>3</v>
      </c>
      <c r="I11" s="284">
        <v>5.81</v>
      </c>
      <c r="J11" s="284">
        <v>0.01</v>
      </c>
      <c r="K11" s="284">
        <f>I11*H11-J11</f>
        <v>17.419999999999998</v>
      </c>
      <c r="L11" s="283"/>
      <c r="M11" s="283"/>
      <c r="N11" s="283"/>
      <c r="O11" s="286"/>
      <c r="P11" s="4"/>
      <c r="Q11" s="3"/>
    </row>
    <row r="12" spans="1:17" ht="18" customHeight="1" x14ac:dyDescent="0.25">
      <c r="A12" s="288"/>
      <c r="B12" s="846">
        <v>42328</v>
      </c>
      <c r="C12" s="283">
        <v>1</v>
      </c>
      <c r="D12" s="284">
        <v>8.59</v>
      </c>
      <c r="E12" s="284">
        <v>0</v>
      </c>
      <c r="F12" s="284">
        <f t="shared" si="0"/>
        <v>8.59</v>
      </c>
      <c r="G12" s="283"/>
      <c r="H12" s="285"/>
      <c r="I12" s="284"/>
      <c r="J12" s="284"/>
      <c r="K12" s="284"/>
      <c r="L12" s="283"/>
      <c r="M12" s="283"/>
      <c r="N12" s="283"/>
      <c r="O12" s="286"/>
      <c r="P12" s="4"/>
      <c r="Q12" s="3"/>
    </row>
    <row r="13" spans="1:17" ht="18" customHeight="1" x14ac:dyDescent="0.25">
      <c r="A13" s="288"/>
      <c r="B13" s="846"/>
      <c r="C13" s="283">
        <v>80</v>
      </c>
      <c r="D13" s="284">
        <v>8.59</v>
      </c>
      <c r="E13" s="284">
        <v>0</v>
      </c>
      <c r="F13" s="284">
        <f t="shared" si="0"/>
        <v>687.2</v>
      </c>
      <c r="G13" s="283"/>
      <c r="H13" s="285"/>
      <c r="I13" s="284"/>
      <c r="J13" s="284"/>
      <c r="K13" s="284"/>
      <c r="L13" s="283"/>
      <c r="M13" s="283"/>
      <c r="N13" s="283"/>
      <c r="O13" s="286"/>
      <c r="P13" s="4"/>
      <c r="Q13" s="3"/>
    </row>
    <row r="14" spans="1:17" ht="18" customHeight="1" x14ac:dyDescent="0.25">
      <c r="A14" s="288"/>
      <c r="B14" s="846">
        <v>42354</v>
      </c>
      <c r="C14" s="283">
        <v>2</v>
      </c>
      <c r="D14" s="284">
        <v>8.73</v>
      </c>
      <c r="E14" s="284">
        <v>0</v>
      </c>
      <c r="F14" s="284">
        <f t="shared" si="0"/>
        <v>17.46</v>
      </c>
      <c r="G14" s="283"/>
      <c r="H14" s="285"/>
      <c r="I14" s="284"/>
      <c r="J14" s="284"/>
      <c r="K14" s="284"/>
      <c r="L14" s="283"/>
      <c r="M14" s="283"/>
      <c r="N14" s="283"/>
      <c r="O14" s="286"/>
      <c r="P14" s="4"/>
      <c r="Q14" s="278"/>
    </row>
    <row r="15" spans="1:17" ht="18" customHeight="1" x14ac:dyDescent="0.25">
      <c r="A15" s="288"/>
      <c r="B15" s="846"/>
      <c r="C15" s="283">
        <v>80</v>
      </c>
      <c r="D15" s="284">
        <v>8.73</v>
      </c>
      <c r="E15" s="284">
        <v>0</v>
      </c>
      <c r="F15" s="284">
        <f t="shared" si="0"/>
        <v>698.40000000000009</v>
      </c>
      <c r="G15" s="283"/>
      <c r="H15" s="283"/>
      <c r="I15" s="284"/>
      <c r="J15" s="284"/>
      <c r="K15" s="284"/>
      <c r="L15" s="283"/>
      <c r="M15" s="283"/>
      <c r="N15" s="283"/>
      <c r="O15" s="283"/>
      <c r="P15" s="4"/>
      <c r="Q15" s="4"/>
    </row>
    <row r="16" spans="1:17" ht="18" customHeight="1" x14ac:dyDescent="0.25">
      <c r="A16" s="281"/>
      <c r="B16" s="286"/>
      <c r="C16" s="286">
        <f>SUM(C8:C15)</f>
        <v>243</v>
      </c>
      <c r="D16" s="289"/>
      <c r="E16" s="289"/>
      <c r="F16" s="289">
        <f>SUM(F8:F15)</f>
        <v>3782.9</v>
      </c>
      <c r="G16" s="289"/>
      <c r="H16" s="290">
        <f>SUM(H8:H12)</f>
        <v>243</v>
      </c>
      <c r="I16" s="289"/>
      <c r="J16" s="289"/>
      <c r="K16" s="289">
        <f>SUM(K8:K12)</f>
        <v>2189.3900000000003</v>
      </c>
      <c r="L16" s="289"/>
      <c r="M16" s="289"/>
      <c r="N16" s="289">
        <f>K16-F16</f>
        <v>-1593.5099999999998</v>
      </c>
      <c r="O16" s="291">
        <f>N16/F16</f>
        <v>-0.42124031827433972</v>
      </c>
      <c r="P16" s="4"/>
      <c r="Q16" s="4"/>
    </row>
    <row r="17" spans="1:20" ht="18" customHeight="1" x14ac:dyDescent="0.25">
      <c r="A17" s="24"/>
      <c r="B17" s="307"/>
      <c r="C17" s="308"/>
      <c r="D17" s="309"/>
      <c r="E17" s="309"/>
      <c r="F17" s="309"/>
      <c r="G17" s="307"/>
      <c r="H17" s="308"/>
      <c r="I17" s="309"/>
      <c r="J17" s="309"/>
      <c r="K17" s="309"/>
      <c r="L17" s="307"/>
      <c r="M17" s="309"/>
      <c r="N17" s="309"/>
      <c r="O17" s="310"/>
    </row>
    <row r="18" spans="1:20" ht="18" customHeight="1" x14ac:dyDescent="0.25">
      <c r="A18" s="292" t="s">
        <v>48</v>
      </c>
      <c r="B18" s="293">
        <v>42186</v>
      </c>
      <c r="C18" s="294">
        <v>10</v>
      </c>
      <c r="D18" s="295">
        <v>101.7</v>
      </c>
      <c r="E18" s="295"/>
      <c r="F18" s="295">
        <f>C18*D18</f>
        <v>1017</v>
      </c>
      <c r="G18" s="293">
        <v>42186</v>
      </c>
      <c r="H18" s="294">
        <v>10</v>
      </c>
      <c r="I18" s="295">
        <v>103</v>
      </c>
      <c r="J18" s="295">
        <v>0.02</v>
      </c>
      <c r="K18" s="295">
        <f>H18*I18-J18</f>
        <v>1029.98</v>
      </c>
      <c r="L18" s="296"/>
      <c r="M18" s="295"/>
      <c r="N18" s="295"/>
      <c r="O18" s="297"/>
    </row>
    <row r="19" spans="1:20" ht="18" customHeight="1" x14ac:dyDescent="0.25">
      <c r="A19" s="292"/>
      <c r="B19" s="298"/>
      <c r="C19" s="299">
        <f>SUM(C18)</f>
        <v>10</v>
      </c>
      <c r="D19" s="300"/>
      <c r="E19" s="300"/>
      <c r="F19" s="300">
        <f>SUM(F18)</f>
        <v>1017</v>
      </c>
      <c r="G19" s="301"/>
      <c r="H19" s="299">
        <f>SUM(H18)</f>
        <v>10</v>
      </c>
      <c r="I19" s="300"/>
      <c r="J19" s="300"/>
      <c r="K19" s="300">
        <f>SUM(K18)</f>
        <v>1029.98</v>
      </c>
      <c r="L19" s="301"/>
      <c r="M19" s="300"/>
      <c r="N19" s="300">
        <f>K19-F19</f>
        <v>12.980000000000018</v>
      </c>
      <c r="O19" s="302">
        <f>(N19+M19)/F19</f>
        <v>1.2763028515240922E-2</v>
      </c>
      <c r="P19" s="139" t="s">
        <v>133</v>
      </c>
    </row>
    <row r="20" spans="1:20" ht="18" customHeight="1" x14ac:dyDescent="0.25">
      <c r="A20" s="24"/>
      <c r="B20" s="307"/>
      <c r="C20" s="308"/>
      <c r="D20" s="309"/>
      <c r="E20" s="24"/>
      <c r="F20" s="309"/>
      <c r="G20" s="307"/>
      <c r="H20" s="308"/>
      <c r="I20" s="309"/>
      <c r="K20" s="309"/>
      <c r="L20" s="307"/>
      <c r="M20" s="309"/>
      <c r="N20" s="309"/>
      <c r="O20" s="310"/>
      <c r="R20" s="307"/>
      <c r="S20" s="308"/>
      <c r="T20" s="309"/>
    </row>
    <row r="21" spans="1:20" ht="18" customHeight="1" x14ac:dyDescent="0.25">
      <c r="A21" s="292" t="s">
        <v>68</v>
      </c>
      <c r="B21" s="293">
        <v>42164</v>
      </c>
      <c r="C21" s="294">
        <v>20</v>
      </c>
      <c r="D21" s="295">
        <v>11.25</v>
      </c>
      <c r="E21" s="296">
        <v>0</v>
      </c>
      <c r="F21" s="295">
        <f t="shared" ref="F21:F26" si="1">C21*D21+E21</f>
        <v>225</v>
      </c>
      <c r="G21" s="293">
        <v>42235</v>
      </c>
      <c r="H21" s="294">
        <v>110</v>
      </c>
      <c r="I21" s="295">
        <v>8.69</v>
      </c>
      <c r="J21" s="294">
        <v>0.02</v>
      </c>
      <c r="K21" s="295">
        <f>H21*I21-J21</f>
        <v>955.88</v>
      </c>
      <c r="L21" s="296">
        <v>42346</v>
      </c>
      <c r="M21" s="295">
        <f>21.93-0.91-2.19-4.38</f>
        <v>14.45</v>
      </c>
      <c r="N21" s="295"/>
      <c r="O21" s="297"/>
      <c r="R21" s="146"/>
      <c r="S21" s="144"/>
      <c r="T21" s="145"/>
    </row>
    <row r="22" spans="1:20" ht="18" customHeight="1" x14ac:dyDescent="0.25">
      <c r="A22" s="292" t="s">
        <v>123</v>
      </c>
      <c r="B22" s="293">
        <v>42187</v>
      </c>
      <c r="C22" s="294">
        <v>20</v>
      </c>
      <c r="D22" s="295">
        <v>10.28</v>
      </c>
      <c r="E22" s="296">
        <v>0</v>
      </c>
      <c r="F22" s="295">
        <f t="shared" si="1"/>
        <v>205.6</v>
      </c>
      <c r="G22" s="293">
        <v>42331</v>
      </c>
      <c r="H22" s="294">
        <v>150</v>
      </c>
      <c r="I22" s="295">
        <v>8.7100000000000009</v>
      </c>
      <c r="J22" s="294">
        <v>0.51</v>
      </c>
      <c r="K22" s="295">
        <f>H22*I22-J22</f>
        <v>1305.9900000000002</v>
      </c>
      <c r="L22" s="296"/>
      <c r="M22" s="295"/>
      <c r="N22" s="295"/>
      <c r="O22" s="297"/>
      <c r="R22" s="146"/>
      <c r="S22" s="144"/>
      <c r="T22" s="145"/>
    </row>
    <row r="23" spans="1:20" ht="18" customHeight="1" x14ac:dyDescent="0.25">
      <c r="A23" s="292"/>
      <c r="B23" s="293">
        <v>42198</v>
      </c>
      <c r="C23" s="294">
        <v>40</v>
      </c>
      <c r="D23" s="295">
        <v>10.119999999999999</v>
      </c>
      <c r="E23" s="296">
        <v>0</v>
      </c>
      <c r="F23" s="295">
        <f t="shared" si="1"/>
        <v>404.79999999999995</v>
      </c>
      <c r="G23" s="293">
        <v>42332</v>
      </c>
      <c r="H23" s="294">
        <v>120</v>
      </c>
      <c r="I23" s="295">
        <v>9.0500000000000007</v>
      </c>
      <c r="J23" s="294">
        <v>0.02</v>
      </c>
      <c r="K23" s="295">
        <f>H23*I23-J23</f>
        <v>1085.98</v>
      </c>
      <c r="L23" s="296"/>
      <c r="M23" s="295"/>
      <c r="N23" s="295"/>
      <c r="O23" s="297"/>
      <c r="R23" s="146"/>
      <c r="S23" s="144"/>
      <c r="T23" s="145"/>
    </row>
    <row r="24" spans="1:20" ht="18" customHeight="1" x14ac:dyDescent="0.25">
      <c r="A24" s="292"/>
      <c r="B24" s="293">
        <v>42198</v>
      </c>
      <c r="C24" s="294">
        <v>40</v>
      </c>
      <c r="D24" s="295">
        <v>9.94</v>
      </c>
      <c r="E24" s="296">
        <v>0</v>
      </c>
      <c r="F24" s="295">
        <f t="shared" si="1"/>
        <v>397.59999999999997</v>
      </c>
      <c r="G24" s="293"/>
      <c r="H24" s="294"/>
      <c r="I24" s="295"/>
      <c r="J24" s="294"/>
      <c r="K24" s="295"/>
      <c r="L24" s="296"/>
      <c r="M24" s="295"/>
      <c r="N24" s="295"/>
      <c r="O24" s="297"/>
    </row>
    <row r="25" spans="1:20" ht="18" customHeight="1" x14ac:dyDescent="0.25">
      <c r="A25" s="292"/>
      <c r="B25" s="293">
        <v>42233</v>
      </c>
      <c r="C25" s="294">
        <v>110</v>
      </c>
      <c r="D25" s="295">
        <v>8.48</v>
      </c>
      <c r="E25" s="296">
        <v>0</v>
      </c>
      <c r="F25" s="295">
        <f t="shared" si="1"/>
        <v>932.80000000000007</v>
      </c>
      <c r="G25" s="293"/>
      <c r="H25" s="294"/>
      <c r="I25" s="295"/>
      <c r="J25" s="294"/>
      <c r="K25" s="295"/>
      <c r="L25" s="296"/>
      <c r="M25" s="295"/>
      <c r="N25" s="295"/>
      <c r="O25" s="297"/>
    </row>
    <row r="26" spans="1:20" ht="18" customHeight="1" x14ac:dyDescent="0.25">
      <c r="A26" s="292"/>
      <c r="B26" s="293">
        <v>42270</v>
      </c>
      <c r="C26" s="294">
        <v>150</v>
      </c>
      <c r="D26" s="295">
        <v>7.73</v>
      </c>
      <c r="E26" s="296">
        <v>0</v>
      </c>
      <c r="F26" s="295">
        <f t="shared" si="1"/>
        <v>1159.5</v>
      </c>
      <c r="G26" s="293"/>
      <c r="H26" s="294"/>
      <c r="I26" s="295"/>
      <c r="J26" s="294"/>
      <c r="K26" s="295"/>
      <c r="L26" s="296"/>
      <c r="M26" s="295"/>
      <c r="N26" s="295"/>
      <c r="O26" s="297"/>
    </row>
    <row r="27" spans="1:20" ht="18" customHeight="1" x14ac:dyDescent="0.25">
      <c r="A27" s="292"/>
      <c r="B27" s="298"/>
      <c r="C27" s="299">
        <f>SUM(C21:C26)</f>
        <v>380</v>
      </c>
      <c r="D27" s="300"/>
      <c r="E27" s="301"/>
      <c r="F27" s="300">
        <f>SUM(F21:F26)</f>
        <v>3325.3</v>
      </c>
      <c r="G27" s="301"/>
      <c r="H27" s="299">
        <f>SUM(H21:H26)</f>
        <v>380</v>
      </c>
      <c r="I27" s="300"/>
      <c r="J27" s="299"/>
      <c r="K27" s="300">
        <f>SUM(K21:K26)</f>
        <v>3347.8500000000004</v>
      </c>
      <c r="L27" s="301"/>
      <c r="M27" s="300">
        <f>SUM(M21:M26)</f>
        <v>14.45</v>
      </c>
      <c r="N27" s="300">
        <f>K27-F27</f>
        <v>22.550000000000182</v>
      </c>
      <c r="O27" s="302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2" t="s">
        <v>29</v>
      </c>
      <c r="B29" s="293">
        <v>42164</v>
      </c>
      <c r="C29" s="294">
        <v>5</v>
      </c>
      <c r="D29" s="295">
        <v>45.9</v>
      </c>
      <c r="E29" s="296"/>
      <c r="F29" s="295">
        <f>C29*D29</f>
        <v>229.5</v>
      </c>
      <c r="G29" s="293">
        <v>42195</v>
      </c>
      <c r="H29" s="294">
        <v>20</v>
      </c>
      <c r="I29" s="295">
        <v>46.15</v>
      </c>
      <c r="J29" s="294">
        <v>0.02</v>
      </c>
      <c r="K29" s="295">
        <f>H29*I29-J29</f>
        <v>922.98</v>
      </c>
      <c r="L29" s="296"/>
      <c r="M29" s="295"/>
      <c r="N29" s="295"/>
      <c r="O29" s="297"/>
    </row>
    <row r="30" spans="1:20" ht="18" customHeight="1" x14ac:dyDescent="0.25">
      <c r="A30" s="292"/>
      <c r="B30" s="293">
        <v>42184</v>
      </c>
      <c r="C30" s="294">
        <v>5</v>
      </c>
      <c r="D30" s="295">
        <v>44.5</v>
      </c>
      <c r="E30" s="296"/>
      <c r="F30" s="295">
        <f>C30*D30</f>
        <v>222.5</v>
      </c>
      <c r="G30" s="296"/>
      <c r="H30" s="294"/>
      <c r="I30" s="295"/>
      <c r="J30" s="294"/>
      <c r="K30" s="295"/>
      <c r="L30" s="296"/>
      <c r="M30" s="295"/>
      <c r="N30" s="295"/>
      <c r="O30" s="297"/>
    </row>
    <row r="31" spans="1:20" ht="18" customHeight="1" x14ac:dyDescent="0.25">
      <c r="A31" s="292"/>
      <c r="B31" s="293">
        <v>42184</v>
      </c>
      <c r="C31" s="294">
        <v>10</v>
      </c>
      <c r="D31" s="295">
        <v>44.35</v>
      </c>
      <c r="E31" s="296"/>
      <c r="F31" s="295">
        <f>C31*D31</f>
        <v>443.5</v>
      </c>
      <c r="G31" s="296"/>
      <c r="H31" s="294"/>
      <c r="I31" s="295"/>
      <c r="J31" s="294"/>
      <c r="K31" s="295"/>
      <c r="L31" s="296"/>
      <c r="M31" s="295"/>
      <c r="N31" s="295"/>
      <c r="O31" s="297"/>
    </row>
    <row r="32" spans="1:20" ht="18" customHeight="1" x14ac:dyDescent="0.25">
      <c r="A32" s="292"/>
      <c r="B32" s="298"/>
      <c r="C32" s="299">
        <f>SUM(C29:C31)</f>
        <v>20</v>
      </c>
      <c r="D32" s="300"/>
      <c r="E32" s="301"/>
      <c r="F32" s="300">
        <f>SUM(F29:F31)</f>
        <v>895.5</v>
      </c>
      <c r="G32" s="301"/>
      <c r="H32" s="299">
        <f>SUM(H29:H31)</f>
        <v>20</v>
      </c>
      <c r="I32" s="300"/>
      <c r="J32" s="299"/>
      <c r="K32" s="300">
        <f>SUM(K29:K31)</f>
        <v>922.98</v>
      </c>
      <c r="L32" s="301"/>
      <c r="M32" s="300"/>
      <c r="N32" s="300">
        <f>K32-F32</f>
        <v>27.480000000000018</v>
      </c>
      <c r="O32" s="302">
        <f>(N32+M32)/F32</f>
        <v>3.0686767169179251E-2</v>
      </c>
    </row>
    <row r="33" spans="1:16" ht="18" customHeight="1" x14ac:dyDescent="0.25">
      <c r="A33" s="24"/>
      <c r="B33" s="307"/>
      <c r="C33" s="308"/>
      <c r="D33" s="309"/>
      <c r="E33" s="24"/>
      <c r="F33" s="309"/>
      <c r="G33" s="307"/>
      <c r="H33" s="308"/>
      <c r="I33" s="309"/>
      <c r="K33" s="309"/>
      <c r="L33" s="307"/>
      <c r="M33" s="309"/>
      <c r="N33" s="309"/>
      <c r="O33" s="310"/>
    </row>
    <row r="34" spans="1:16" ht="18" customHeight="1" x14ac:dyDescent="0.25">
      <c r="A34" s="281" t="s">
        <v>11</v>
      </c>
      <c r="B34" s="282">
        <v>42150</v>
      </c>
      <c r="C34" s="283">
        <v>5</v>
      </c>
      <c r="D34" s="284">
        <v>169</v>
      </c>
      <c r="E34" s="284">
        <v>0</v>
      </c>
      <c r="F34" s="284">
        <f>C34*D34+E34</f>
        <v>845</v>
      </c>
      <c r="G34" s="282">
        <v>42186</v>
      </c>
      <c r="H34" s="283">
        <v>100</v>
      </c>
      <c r="I34" s="284">
        <v>167</v>
      </c>
      <c r="J34" s="284">
        <v>0.31</v>
      </c>
      <c r="K34" s="284">
        <f t="shared" ref="K34:K49" si="2">H34*I34-J34</f>
        <v>16699.689999999999</v>
      </c>
      <c r="L34" s="283"/>
      <c r="M34" s="283"/>
      <c r="N34" s="283"/>
      <c r="O34" s="286"/>
    </row>
    <row r="35" spans="1:16" ht="18" customHeight="1" x14ac:dyDescent="0.25">
      <c r="A35" s="327"/>
      <c r="B35" s="282">
        <v>42150</v>
      </c>
      <c r="C35" s="283">
        <v>10</v>
      </c>
      <c r="D35" s="284">
        <v>166.5</v>
      </c>
      <c r="E35" s="284">
        <v>0</v>
      </c>
      <c r="F35" s="284">
        <f t="shared" ref="F35:F54" si="3">C35*D35+E35</f>
        <v>1665</v>
      </c>
      <c r="G35" s="282">
        <v>42186</v>
      </c>
      <c r="H35" s="283">
        <v>100</v>
      </c>
      <c r="I35" s="284">
        <v>167</v>
      </c>
      <c r="J35" s="284">
        <v>0.31</v>
      </c>
      <c r="K35" s="284">
        <f t="shared" si="2"/>
        <v>16699.689999999999</v>
      </c>
      <c r="L35" s="283"/>
      <c r="M35" s="283"/>
      <c r="N35" s="283"/>
      <c r="O35" s="286"/>
    </row>
    <row r="36" spans="1:16" ht="18" customHeight="1" x14ac:dyDescent="0.25">
      <c r="A36" s="283"/>
      <c r="B36" s="282">
        <v>42150</v>
      </c>
      <c r="C36" s="283">
        <v>30</v>
      </c>
      <c r="D36" s="284">
        <v>165.4</v>
      </c>
      <c r="E36" s="284">
        <v>0</v>
      </c>
      <c r="F36" s="284">
        <f t="shared" si="3"/>
        <v>4962</v>
      </c>
      <c r="G36" s="282">
        <v>42186</v>
      </c>
      <c r="H36" s="283">
        <v>50</v>
      </c>
      <c r="I36" s="284">
        <v>168.5</v>
      </c>
      <c r="J36" s="284">
        <v>0.16</v>
      </c>
      <c r="K36" s="284">
        <f t="shared" si="2"/>
        <v>8424.84</v>
      </c>
      <c r="L36" s="283"/>
      <c r="M36" s="283"/>
      <c r="N36" s="283"/>
      <c r="O36" s="286"/>
    </row>
    <row r="37" spans="1:16" ht="18" customHeight="1" x14ac:dyDescent="0.25">
      <c r="A37" s="283"/>
      <c r="B37" s="282">
        <v>42150</v>
      </c>
      <c r="C37" s="283">
        <v>10</v>
      </c>
      <c r="D37" s="284">
        <v>164.85</v>
      </c>
      <c r="E37" s="284">
        <v>0</v>
      </c>
      <c r="F37" s="284">
        <f t="shared" si="3"/>
        <v>1648.5</v>
      </c>
      <c r="G37" s="282">
        <v>42236</v>
      </c>
      <c r="H37" s="283">
        <v>10</v>
      </c>
      <c r="I37" s="284">
        <v>133.19999999999999</v>
      </c>
      <c r="J37" s="284">
        <v>0.02</v>
      </c>
      <c r="K37" s="284">
        <f t="shared" si="2"/>
        <v>1331.98</v>
      </c>
      <c r="L37" s="283"/>
      <c r="M37" s="283"/>
      <c r="N37" s="283"/>
      <c r="O37" s="286"/>
    </row>
    <row r="38" spans="1:16" ht="18" customHeight="1" x14ac:dyDescent="0.25">
      <c r="A38" s="283"/>
      <c r="B38" s="282">
        <v>42186</v>
      </c>
      <c r="C38" s="283">
        <v>145</v>
      </c>
      <c r="D38" s="284">
        <v>166</v>
      </c>
      <c r="E38" s="284">
        <v>0</v>
      </c>
      <c r="F38" s="284">
        <f t="shared" si="3"/>
        <v>24070</v>
      </c>
      <c r="G38" s="282">
        <v>42240</v>
      </c>
      <c r="H38" s="283">
        <v>20</v>
      </c>
      <c r="I38" s="284">
        <v>130</v>
      </c>
      <c r="J38" s="284">
        <v>0.05</v>
      </c>
      <c r="K38" s="284">
        <f t="shared" si="2"/>
        <v>2599.9499999999998</v>
      </c>
      <c r="L38" s="283"/>
      <c r="M38" s="283"/>
      <c r="N38" s="283"/>
      <c r="O38" s="286"/>
    </row>
    <row r="39" spans="1:16" ht="18" customHeight="1" x14ac:dyDescent="0.25">
      <c r="A39" s="283"/>
      <c r="B39" s="282">
        <v>42186</v>
      </c>
      <c r="C39" s="283">
        <v>100</v>
      </c>
      <c r="D39" s="284">
        <v>164</v>
      </c>
      <c r="E39" s="284">
        <v>0</v>
      </c>
      <c r="F39" s="284">
        <f t="shared" si="3"/>
        <v>16400</v>
      </c>
      <c r="G39" s="282">
        <v>42270</v>
      </c>
      <c r="H39" s="283">
        <v>50</v>
      </c>
      <c r="I39" s="284">
        <v>141.19999999999999</v>
      </c>
      <c r="J39" s="284">
        <v>0.13</v>
      </c>
      <c r="K39" s="284">
        <f t="shared" si="2"/>
        <v>7059.869999999999</v>
      </c>
      <c r="L39" s="283"/>
      <c r="M39" s="283"/>
      <c r="N39" s="283"/>
      <c r="O39" s="286"/>
    </row>
    <row r="40" spans="1:16" ht="18" customHeight="1" x14ac:dyDescent="0.25">
      <c r="A40" s="283"/>
      <c r="B40" s="282">
        <v>42235</v>
      </c>
      <c r="C40" s="283">
        <v>10</v>
      </c>
      <c r="D40" s="284">
        <v>124</v>
      </c>
      <c r="E40" s="284">
        <v>0</v>
      </c>
      <c r="F40" s="284">
        <f t="shared" si="3"/>
        <v>1240</v>
      </c>
      <c r="G40" s="282">
        <v>42305</v>
      </c>
      <c r="H40" s="283">
        <v>150</v>
      </c>
      <c r="I40" s="284">
        <v>82</v>
      </c>
      <c r="J40" s="284">
        <v>0.23</v>
      </c>
      <c r="K40" s="284">
        <f t="shared" si="2"/>
        <v>12299.77</v>
      </c>
      <c r="L40" s="283"/>
      <c r="M40" s="283"/>
      <c r="N40" s="283"/>
      <c r="O40" s="286"/>
    </row>
    <row r="41" spans="1:16" ht="18" customHeight="1" x14ac:dyDescent="0.25">
      <c r="A41" s="283"/>
      <c r="B41" s="282">
        <v>42240</v>
      </c>
      <c r="C41" s="283">
        <v>20</v>
      </c>
      <c r="D41" s="284">
        <v>123</v>
      </c>
      <c r="E41" s="284">
        <v>0</v>
      </c>
      <c r="F41" s="284">
        <f t="shared" si="3"/>
        <v>2460</v>
      </c>
      <c r="G41" s="282">
        <v>42307</v>
      </c>
      <c r="H41" s="283">
        <v>120</v>
      </c>
      <c r="I41" s="284">
        <v>85.8</v>
      </c>
      <c r="J41" s="284">
        <v>7.14</v>
      </c>
      <c r="K41" s="284">
        <f t="shared" si="2"/>
        <v>10288.86</v>
      </c>
      <c r="L41" s="283"/>
      <c r="M41" s="283"/>
      <c r="N41" s="283"/>
      <c r="O41" s="283"/>
    </row>
    <row r="42" spans="1:16" ht="18" customHeight="1" x14ac:dyDescent="0.25">
      <c r="A42" s="283"/>
      <c r="B42" s="282">
        <v>42271</v>
      </c>
      <c r="C42" s="283">
        <v>50</v>
      </c>
      <c r="D42" s="284">
        <v>123.05</v>
      </c>
      <c r="E42" s="284">
        <v>0</v>
      </c>
      <c r="F42" s="284">
        <f t="shared" si="3"/>
        <v>6152.5</v>
      </c>
      <c r="G42" s="282">
        <v>42313</v>
      </c>
      <c r="H42" s="283">
        <v>80</v>
      </c>
      <c r="I42" s="284">
        <v>83</v>
      </c>
      <c r="J42" s="284">
        <v>0.12</v>
      </c>
      <c r="K42" s="284">
        <f t="shared" si="2"/>
        <v>6639.88</v>
      </c>
      <c r="L42" s="283"/>
      <c r="M42" s="283"/>
      <c r="N42" s="283"/>
      <c r="O42" s="283"/>
    </row>
    <row r="43" spans="1:16" ht="18" customHeight="1" x14ac:dyDescent="0.25">
      <c r="A43" s="283"/>
      <c r="B43" s="282">
        <v>42271</v>
      </c>
      <c r="C43" s="283">
        <v>50</v>
      </c>
      <c r="D43" s="284">
        <v>138.5</v>
      </c>
      <c r="E43" s="284">
        <v>0</v>
      </c>
      <c r="F43" s="284">
        <f t="shared" si="3"/>
        <v>6925</v>
      </c>
      <c r="G43" s="282">
        <v>42320</v>
      </c>
      <c r="H43" s="283">
        <v>200</v>
      </c>
      <c r="I43" s="284">
        <v>73.5</v>
      </c>
      <c r="J43" s="284">
        <v>0.27</v>
      </c>
      <c r="K43" s="284">
        <f t="shared" si="2"/>
        <v>14699.73</v>
      </c>
      <c r="L43" s="283"/>
      <c r="M43" s="283"/>
      <c r="N43" s="283"/>
      <c r="O43" s="283"/>
    </row>
    <row r="44" spans="1:16" ht="18" customHeight="1" x14ac:dyDescent="0.25">
      <c r="A44" s="283"/>
      <c r="B44" s="282">
        <v>42277</v>
      </c>
      <c r="C44" s="283">
        <v>10</v>
      </c>
      <c r="D44" s="284">
        <v>101.5</v>
      </c>
      <c r="E44" s="284">
        <v>0</v>
      </c>
      <c r="F44" s="284">
        <f t="shared" si="3"/>
        <v>1015</v>
      </c>
      <c r="G44" s="282">
        <v>42327</v>
      </c>
      <c r="H44" s="283">
        <v>200</v>
      </c>
      <c r="I44" s="284">
        <v>73.95</v>
      </c>
      <c r="J44" s="284">
        <v>0.27</v>
      </c>
      <c r="K44" s="284">
        <f t="shared" si="2"/>
        <v>14789.73</v>
      </c>
      <c r="L44" s="283"/>
      <c r="M44" s="283"/>
      <c r="N44" s="283"/>
      <c r="O44" s="283"/>
    </row>
    <row r="45" spans="1:16" ht="18" customHeight="1" x14ac:dyDescent="0.25">
      <c r="A45" s="283"/>
      <c r="B45" s="282">
        <v>42278</v>
      </c>
      <c r="C45" s="283">
        <v>10</v>
      </c>
      <c r="D45" s="284">
        <v>93.95</v>
      </c>
      <c r="E45" s="284">
        <v>0</v>
      </c>
      <c r="F45" s="284">
        <f t="shared" si="3"/>
        <v>939.5</v>
      </c>
      <c r="G45" s="282">
        <v>42339</v>
      </c>
      <c r="H45" s="283">
        <v>60</v>
      </c>
      <c r="I45" s="284">
        <v>89.49</v>
      </c>
      <c r="J45" s="284">
        <v>0.1</v>
      </c>
      <c r="K45" s="284">
        <f t="shared" si="2"/>
        <v>5369.2999999999993</v>
      </c>
      <c r="L45" s="283"/>
      <c r="M45" s="283"/>
      <c r="N45" s="283"/>
      <c r="O45" s="283"/>
    </row>
    <row r="46" spans="1:16" ht="18" customHeight="1" x14ac:dyDescent="0.25">
      <c r="A46" s="283"/>
      <c r="B46" s="282">
        <v>42286</v>
      </c>
      <c r="C46" s="283">
        <v>30</v>
      </c>
      <c r="D46" s="284">
        <v>89.5</v>
      </c>
      <c r="E46" s="284">
        <v>0</v>
      </c>
      <c r="F46" s="284">
        <f t="shared" si="3"/>
        <v>2685</v>
      </c>
      <c r="G46" s="282">
        <v>42340</v>
      </c>
      <c r="H46" s="283">
        <v>60</v>
      </c>
      <c r="I46" s="284">
        <v>93.79</v>
      </c>
      <c r="J46" s="284">
        <v>0.1</v>
      </c>
      <c r="K46" s="284">
        <f t="shared" si="2"/>
        <v>5627.3</v>
      </c>
      <c r="L46" s="283"/>
      <c r="M46" s="283"/>
      <c r="N46" s="283"/>
      <c r="O46" s="283"/>
    </row>
    <row r="47" spans="1:16" ht="18" customHeight="1" x14ac:dyDescent="0.25">
      <c r="A47" s="283"/>
      <c r="B47" s="282">
        <v>42299</v>
      </c>
      <c r="C47" s="283">
        <v>50</v>
      </c>
      <c r="D47" s="284">
        <v>74.3</v>
      </c>
      <c r="E47" s="284">
        <v>0</v>
      </c>
      <c r="F47" s="284">
        <f t="shared" si="3"/>
        <v>3715</v>
      </c>
      <c r="G47" s="282">
        <v>42347</v>
      </c>
      <c r="H47" s="283">
        <v>60</v>
      </c>
      <c r="I47" s="284">
        <v>81.849999999999994</v>
      </c>
      <c r="J47" s="284">
        <v>0.09</v>
      </c>
      <c r="K47" s="284">
        <f t="shared" si="2"/>
        <v>4910.91</v>
      </c>
      <c r="L47" s="283"/>
      <c r="M47" s="283"/>
      <c r="N47" s="283"/>
      <c r="O47" s="283"/>
    </row>
    <row r="48" spans="1:16" ht="18" customHeight="1" x14ac:dyDescent="0.25">
      <c r="A48" s="283"/>
      <c r="B48" s="282">
        <v>42305</v>
      </c>
      <c r="C48" s="283">
        <v>150</v>
      </c>
      <c r="D48" s="284">
        <v>79.5</v>
      </c>
      <c r="E48" s="284">
        <v>0</v>
      </c>
      <c r="F48" s="284">
        <f t="shared" si="3"/>
        <v>11925</v>
      </c>
      <c r="G48" s="282">
        <v>42349</v>
      </c>
      <c r="H48" s="283">
        <v>220</v>
      </c>
      <c r="I48" s="284">
        <v>53.95</v>
      </c>
      <c r="J48" s="284">
        <v>0.22</v>
      </c>
      <c r="K48" s="284">
        <f t="shared" si="2"/>
        <v>11868.78</v>
      </c>
      <c r="L48" s="283"/>
      <c r="M48" s="284"/>
      <c r="N48" s="283"/>
      <c r="O48" s="283"/>
      <c r="P48" s="139"/>
    </row>
    <row r="49" spans="1:16" ht="18" customHeight="1" x14ac:dyDescent="0.25">
      <c r="A49" s="283"/>
      <c r="B49" s="282">
        <v>42310</v>
      </c>
      <c r="C49" s="283">
        <v>120</v>
      </c>
      <c r="D49" s="284">
        <v>82</v>
      </c>
      <c r="E49" s="284">
        <v>6.95</v>
      </c>
      <c r="F49" s="284">
        <f t="shared" si="3"/>
        <v>9846.9500000000007</v>
      </c>
      <c r="G49" s="282">
        <v>42354</v>
      </c>
      <c r="H49" s="283">
        <v>220</v>
      </c>
      <c r="I49" s="284">
        <v>59.47</v>
      </c>
      <c r="J49" s="284">
        <v>0.24</v>
      </c>
      <c r="K49" s="284">
        <f t="shared" si="2"/>
        <v>13083.16</v>
      </c>
      <c r="L49" s="283"/>
      <c r="M49" s="283"/>
      <c r="N49" s="283"/>
      <c r="O49" s="283"/>
      <c r="P49" s="139"/>
    </row>
    <row r="50" spans="1:16" ht="18" customHeight="1" x14ac:dyDescent="0.25">
      <c r="A50" s="283"/>
      <c r="B50" s="282">
        <v>42318</v>
      </c>
      <c r="C50" s="283">
        <v>80</v>
      </c>
      <c r="D50" s="284">
        <v>77.12</v>
      </c>
      <c r="E50" s="284">
        <v>0</v>
      </c>
      <c r="F50" s="284">
        <f t="shared" si="3"/>
        <v>6169.6</v>
      </c>
      <c r="G50" s="282"/>
      <c r="H50" s="283"/>
      <c r="I50" s="284"/>
      <c r="J50" s="284"/>
      <c r="K50" s="284"/>
      <c r="L50" s="283"/>
      <c r="M50" s="283"/>
      <c r="N50" s="283"/>
      <c r="O50" s="283"/>
      <c r="P50" s="139" t="s">
        <v>133</v>
      </c>
    </row>
    <row r="51" spans="1:16" ht="18" customHeight="1" x14ac:dyDescent="0.25">
      <c r="A51" s="283"/>
      <c r="B51" s="282">
        <v>42320</v>
      </c>
      <c r="C51" s="283">
        <v>200</v>
      </c>
      <c r="D51" s="284">
        <v>73.010000000000005</v>
      </c>
      <c r="E51" s="284">
        <v>0</v>
      </c>
      <c r="F51" s="284">
        <f t="shared" si="3"/>
        <v>14602.000000000002</v>
      </c>
      <c r="G51" s="282"/>
      <c r="H51" s="283"/>
      <c r="I51" s="284"/>
      <c r="J51" s="284"/>
      <c r="K51" s="284"/>
      <c r="L51" s="283"/>
      <c r="M51" s="283"/>
      <c r="N51" s="283"/>
      <c r="O51" s="283"/>
    </row>
    <row r="52" spans="1:16" ht="18" customHeight="1" x14ac:dyDescent="0.25">
      <c r="A52" s="283"/>
      <c r="B52" s="282">
        <v>42327</v>
      </c>
      <c r="C52" s="283">
        <v>200</v>
      </c>
      <c r="D52" s="284">
        <v>73.11</v>
      </c>
      <c r="E52" s="284">
        <v>0</v>
      </c>
      <c r="F52" s="284">
        <f t="shared" si="3"/>
        <v>14622</v>
      </c>
      <c r="G52" s="283"/>
      <c r="H52" s="283"/>
      <c r="I52" s="284"/>
      <c r="J52" s="284"/>
      <c r="K52" s="284"/>
      <c r="L52" s="283"/>
      <c r="M52" s="283"/>
      <c r="N52" s="283"/>
      <c r="O52" s="283"/>
    </row>
    <row r="53" spans="1:16" ht="18" customHeight="1" x14ac:dyDescent="0.25">
      <c r="A53" s="283"/>
      <c r="B53" s="282">
        <v>42339</v>
      </c>
      <c r="C53" s="283">
        <v>60</v>
      </c>
      <c r="D53" s="284">
        <v>89.38</v>
      </c>
      <c r="E53" s="284">
        <v>0</v>
      </c>
      <c r="F53" s="284">
        <f t="shared" si="3"/>
        <v>5362.7999999999993</v>
      </c>
      <c r="G53" s="283"/>
      <c r="H53" s="283"/>
      <c r="I53" s="284"/>
      <c r="J53" s="284"/>
      <c r="K53" s="284"/>
      <c r="L53" s="283"/>
      <c r="M53" s="283"/>
      <c r="N53" s="283"/>
      <c r="O53" s="283"/>
    </row>
    <row r="54" spans="1:16" ht="18" customHeight="1" x14ac:dyDescent="0.25">
      <c r="A54" s="283"/>
      <c r="B54" s="282">
        <v>42340</v>
      </c>
      <c r="C54" s="283">
        <v>60</v>
      </c>
      <c r="D54" s="284">
        <v>93.06</v>
      </c>
      <c r="E54" s="284">
        <v>0</v>
      </c>
      <c r="F54" s="284">
        <f t="shared" si="3"/>
        <v>5583.6</v>
      </c>
      <c r="G54" s="283"/>
      <c r="H54" s="283"/>
      <c r="I54" s="284"/>
      <c r="J54" s="284"/>
      <c r="K54" s="284"/>
      <c r="L54" s="283"/>
      <c r="M54" s="283"/>
      <c r="N54" s="283"/>
      <c r="O54" s="283"/>
    </row>
    <row r="55" spans="1:16" ht="18" customHeight="1" x14ac:dyDescent="0.25">
      <c r="A55" s="283"/>
      <c r="B55" s="282">
        <v>42342</v>
      </c>
      <c r="C55" s="283">
        <v>10</v>
      </c>
      <c r="D55" s="284">
        <v>80.989999999999995</v>
      </c>
      <c r="E55" s="284">
        <v>0</v>
      </c>
      <c r="F55" s="284">
        <f>C55*D55+E55</f>
        <v>809.9</v>
      </c>
      <c r="G55" s="283"/>
      <c r="H55" s="283"/>
      <c r="I55" s="284"/>
      <c r="J55" s="284"/>
      <c r="K55" s="284"/>
      <c r="L55" s="283"/>
      <c r="M55" s="283"/>
      <c r="N55" s="283"/>
      <c r="O55" s="283"/>
    </row>
    <row r="56" spans="1:16" ht="18" customHeight="1" x14ac:dyDescent="0.25">
      <c r="A56" s="283"/>
      <c r="B56" s="282">
        <v>42348</v>
      </c>
      <c r="C56" s="283">
        <v>70</v>
      </c>
      <c r="D56" s="284">
        <v>58.01</v>
      </c>
      <c r="E56" s="284">
        <v>0</v>
      </c>
      <c r="F56" s="284">
        <f>C56*D56+E56</f>
        <v>4060.7</v>
      </c>
      <c r="G56" s="283"/>
      <c r="H56" s="283"/>
      <c r="I56" s="284"/>
      <c r="J56" s="284"/>
      <c r="K56" s="284"/>
      <c r="L56" s="283"/>
      <c r="M56" s="283"/>
      <c r="N56" s="283"/>
      <c r="O56" s="283"/>
    </row>
    <row r="57" spans="1:16" ht="18" customHeight="1" x14ac:dyDescent="0.25">
      <c r="A57" s="283"/>
      <c r="B57" s="282">
        <v>42354</v>
      </c>
      <c r="C57" s="283">
        <v>220</v>
      </c>
      <c r="D57" s="284">
        <v>59.15</v>
      </c>
      <c r="E57" s="284">
        <v>0</v>
      </c>
      <c r="F57" s="284">
        <f>C57*D57+E57</f>
        <v>13013</v>
      </c>
      <c r="G57" s="283"/>
      <c r="H57" s="283"/>
      <c r="I57" s="284"/>
      <c r="J57" s="284"/>
      <c r="K57" s="284"/>
      <c r="L57" s="283"/>
      <c r="M57" s="283"/>
      <c r="N57" s="283"/>
      <c r="O57" s="283"/>
    </row>
    <row r="58" spans="1:16" ht="18" customHeight="1" x14ac:dyDescent="0.25">
      <c r="A58" s="286"/>
      <c r="B58" s="286"/>
      <c r="C58" s="286">
        <f>SUM(C34:C57)</f>
        <v>1700</v>
      </c>
      <c r="D58" s="289"/>
      <c r="E58" s="289"/>
      <c r="F58" s="289">
        <f>SUM(F34:F57)</f>
        <v>160718.04999999999</v>
      </c>
      <c r="G58" s="286"/>
      <c r="H58" s="286">
        <f>SUM(H34:H53)</f>
        <v>1700</v>
      </c>
      <c r="I58" s="289"/>
      <c r="J58" s="289"/>
      <c r="K58" s="289">
        <f>SUM(K34:K53)</f>
        <v>152393.44000000003</v>
      </c>
      <c r="L58" s="286"/>
      <c r="M58" s="286"/>
      <c r="N58" s="289">
        <f>K58-F58</f>
        <v>-8324.6099999999569</v>
      </c>
      <c r="O58" s="291">
        <f>N58/F58</f>
        <v>-5.1796360147475393E-2</v>
      </c>
    </row>
    <row r="59" spans="1:16" ht="18" customHeight="1" x14ac:dyDescent="0.25">
      <c r="B59" s="307"/>
      <c r="C59" s="308"/>
      <c r="D59" s="309"/>
      <c r="E59" s="309"/>
      <c r="F59" s="309"/>
      <c r="G59" s="307"/>
      <c r="H59" s="308"/>
      <c r="I59" s="309"/>
      <c r="K59" s="309"/>
      <c r="L59" s="307"/>
      <c r="M59" s="309"/>
      <c r="N59" s="309"/>
      <c r="O59" s="310"/>
      <c r="P59" s="139" t="s">
        <v>133</v>
      </c>
    </row>
    <row r="60" spans="1:16" ht="18" customHeight="1" x14ac:dyDescent="0.25">
      <c r="A60" s="292" t="s">
        <v>30</v>
      </c>
      <c r="B60" s="293">
        <v>42164</v>
      </c>
      <c r="C60" s="294">
        <v>10</v>
      </c>
      <c r="D60" s="295">
        <v>141.4</v>
      </c>
      <c r="E60" s="295"/>
      <c r="F60" s="295">
        <f>C60*D60</f>
        <v>1414</v>
      </c>
      <c r="G60" s="293">
        <v>42216</v>
      </c>
      <c r="H60" s="294">
        <v>10</v>
      </c>
      <c r="I60" s="295">
        <v>143.35</v>
      </c>
      <c r="J60" s="295">
        <v>0.03</v>
      </c>
      <c r="K60" s="295">
        <f>H60*I60-J60</f>
        <v>1433.47</v>
      </c>
      <c r="L60" s="296"/>
      <c r="M60" s="295"/>
      <c r="N60" s="295"/>
      <c r="O60" s="297"/>
    </row>
    <row r="61" spans="1:16" ht="18" customHeight="1" x14ac:dyDescent="0.25">
      <c r="A61" s="311"/>
      <c r="B61" s="312"/>
      <c r="C61" s="313">
        <f>SUM(C60)</f>
        <v>10</v>
      </c>
      <c r="D61" s="314"/>
      <c r="E61" s="314"/>
      <c r="F61" s="314">
        <f>SUM(F60)</f>
        <v>1414</v>
      </c>
      <c r="G61" s="315"/>
      <c r="H61" s="313">
        <f>SUM(H60)</f>
        <v>10</v>
      </c>
      <c r="I61" s="314"/>
      <c r="J61" s="313"/>
      <c r="K61" s="314">
        <f>SUM(K60)</f>
        <v>1433.47</v>
      </c>
      <c r="L61" s="315"/>
      <c r="M61" s="314"/>
      <c r="N61" s="314">
        <f>K61-F61</f>
        <v>19.470000000000027</v>
      </c>
      <c r="O61" s="316">
        <f>(N61+M61)/F61</f>
        <v>1.3769448373408788E-2</v>
      </c>
    </row>
    <row r="62" spans="1:16" ht="18" customHeight="1" x14ac:dyDescent="0.25">
      <c r="B62" s="307"/>
      <c r="C62" s="308"/>
      <c r="D62" s="309"/>
      <c r="E62" s="24"/>
      <c r="F62" s="309"/>
      <c r="G62" s="307"/>
      <c r="H62" s="308"/>
      <c r="I62" s="309"/>
      <c r="K62" s="309"/>
      <c r="L62" s="307"/>
      <c r="M62" s="309"/>
      <c r="N62" s="309"/>
      <c r="O62" s="310"/>
    </row>
    <row r="63" spans="1:16" ht="18" customHeight="1" x14ac:dyDescent="0.25">
      <c r="A63" s="292" t="s">
        <v>52</v>
      </c>
      <c r="B63" s="293">
        <v>42213</v>
      </c>
      <c r="C63" s="294">
        <v>25</v>
      </c>
      <c r="D63" s="295">
        <v>84.9</v>
      </c>
      <c r="E63" s="296"/>
      <c r="F63" s="295">
        <v>2122.5</v>
      </c>
      <c r="G63" s="293">
        <v>42221</v>
      </c>
      <c r="H63" s="294">
        <v>30</v>
      </c>
      <c r="I63" s="295">
        <v>84.23</v>
      </c>
      <c r="J63" s="295">
        <v>0</v>
      </c>
      <c r="K63" s="295">
        <v>2526.85</v>
      </c>
      <c r="L63" s="296"/>
      <c r="M63" s="295"/>
      <c r="N63" s="295"/>
      <c r="O63" s="297"/>
    </row>
    <row r="64" spans="1:16" ht="18" customHeight="1" x14ac:dyDescent="0.25">
      <c r="A64" s="292"/>
      <c r="B64" s="293">
        <v>42213</v>
      </c>
      <c r="C64" s="294">
        <v>5</v>
      </c>
      <c r="D64" s="295">
        <v>84.25</v>
      </c>
      <c r="E64" s="296"/>
      <c r="F64" s="295">
        <v>421.25</v>
      </c>
      <c r="G64" s="293">
        <v>42263</v>
      </c>
      <c r="H64" s="294">
        <v>40</v>
      </c>
      <c r="I64" s="295">
        <v>85</v>
      </c>
      <c r="J64" s="294">
        <v>0.06</v>
      </c>
      <c r="K64" s="295">
        <v>3399.94</v>
      </c>
      <c r="L64" s="296"/>
      <c r="M64" s="295"/>
      <c r="N64" s="295"/>
      <c r="O64" s="297"/>
    </row>
    <row r="65" spans="1:16" ht="18" customHeight="1" x14ac:dyDescent="0.25">
      <c r="A65" s="292"/>
      <c r="B65" s="293">
        <v>42214</v>
      </c>
      <c r="C65" s="294">
        <v>10</v>
      </c>
      <c r="D65" s="295">
        <v>83.2</v>
      </c>
      <c r="E65" s="296"/>
      <c r="F65" s="295">
        <v>832</v>
      </c>
      <c r="G65" s="296"/>
      <c r="H65" s="294"/>
      <c r="I65" s="295"/>
      <c r="J65" s="294"/>
      <c r="K65" s="295"/>
      <c r="L65" s="296"/>
      <c r="M65" s="295"/>
      <c r="N65" s="295"/>
      <c r="O65" s="297"/>
    </row>
    <row r="66" spans="1:16" ht="18" customHeight="1" x14ac:dyDescent="0.25">
      <c r="A66" s="292"/>
      <c r="B66" s="293">
        <v>42215</v>
      </c>
      <c r="C66" s="294">
        <v>5</v>
      </c>
      <c r="D66" s="295">
        <v>82.25</v>
      </c>
      <c r="E66" s="296"/>
      <c r="F66" s="295">
        <v>411.25</v>
      </c>
      <c r="G66" s="296"/>
      <c r="H66" s="294"/>
      <c r="I66" s="295"/>
      <c r="J66" s="294"/>
      <c r="K66" s="295"/>
      <c r="L66" s="296"/>
      <c r="M66" s="295"/>
      <c r="N66" s="295"/>
      <c r="O66" s="297"/>
    </row>
    <row r="67" spans="1:16" ht="18" customHeight="1" x14ac:dyDescent="0.25">
      <c r="A67" s="292"/>
      <c r="B67" s="293">
        <v>42220</v>
      </c>
      <c r="C67" s="294">
        <v>10</v>
      </c>
      <c r="D67" s="295">
        <v>81.349999999999994</v>
      </c>
      <c r="E67" s="296"/>
      <c r="F67" s="295">
        <v>813.5</v>
      </c>
      <c r="G67" s="296"/>
      <c r="H67" s="294"/>
      <c r="I67" s="295"/>
      <c r="J67" s="294"/>
      <c r="K67" s="295"/>
      <c r="L67" s="296"/>
      <c r="M67" s="295"/>
      <c r="N67" s="295"/>
      <c r="O67" s="297"/>
    </row>
    <row r="68" spans="1:16" ht="18" customHeight="1" x14ac:dyDescent="0.25">
      <c r="A68" s="292"/>
      <c r="B68" s="293">
        <v>42220</v>
      </c>
      <c r="C68" s="294">
        <v>5</v>
      </c>
      <c r="D68" s="295">
        <v>82.4</v>
      </c>
      <c r="E68" s="296"/>
      <c r="F68" s="295">
        <v>412</v>
      </c>
      <c r="G68" s="296"/>
      <c r="H68" s="294"/>
      <c r="I68" s="295"/>
      <c r="J68" s="294"/>
      <c r="K68" s="295"/>
      <c r="L68" s="296"/>
      <c r="M68" s="295"/>
      <c r="N68" s="295"/>
      <c r="O68" s="297"/>
    </row>
    <row r="69" spans="1:16" ht="18" customHeight="1" x14ac:dyDescent="0.25">
      <c r="A69" s="292"/>
      <c r="B69" s="293">
        <v>42221</v>
      </c>
      <c r="C69" s="294">
        <v>10</v>
      </c>
      <c r="D69" s="295">
        <v>80.7</v>
      </c>
      <c r="E69" s="296"/>
      <c r="F69" s="295">
        <v>807</v>
      </c>
      <c r="G69" s="296"/>
      <c r="H69" s="294"/>
      <c r="I69" s="295"/>
      <c r="J69" s="294"/>
      <c r="K69" s="295"/>
      <c r="L69" s="296"/>
      <c r="M69" s="295"/>
      <c r="N69" s="295"/>
      <c r="O69" s="297"/>
    </row>
    <row r="70" spans="1:16" ht="18" customHeight="1" x14ac:dyDescent="0.25">
      <c r="A70" s="311"/>
      <c r="B70" s="315"/>
      <c r="C70" s="313">
        <v>70</v>
      </c>
      <c r="D70" s="314"/>
      <c r="E70" s="315"/>
      <c r="F70" s="314">
        <f>SUM(F63:F69)</f>
        <v>5819.5</v>
      </c>
      <c r="G70" s="315"/>
      <c r="H70" s="313">
        <v>70</v>
      </c>
      <c r="I70" s="314"/>
      <c r="J70" s="313"/>
      <c r="K70" s="314">
        <f>SUM(K63:K64)</f>
        <v>5926.79</v>
      </c>
      <c r="L70" s="315"/>
      <c r="M70" s="314"/>
      <c r="N70" s="314">
        <f>K70-F70</f>
        <v>107.28999999999996</v>
      </c>
      <c r="O70" s="316">
        <f>N70/F70</f>
        <v>1.843629177764412E-2</v>
      </c>
    </row>
    <row r="71" spans="1:16" ht="18" customHeight="1" x14ac:dyDescent="0.25">
      <c r="B71" s="307"/>
      <c r="C71" s="308"/>
      <c r="D71" s="309"/>
      <c r="E71" s="309"/>
      <c r="F71" s="309"/>
      <c r="G71" s="307"/>
      <c r="H71" s="308"/>
      <c r="I71" s="309"/>
      <c r="K71" s="309"/>
      <c r="L71" s="307"/>
      <c r="M71" s="309"/>
      <c r="N71" s="309"/>
      <c r="O71" s="310"/>
    </row>
    <row r="72" spans="1:16" ht="18" customHeight="1" x14ac:dyDescent="0.25">
      <c r="A72" s="292" t="s">
        <v>8</v>
      </c>
      <c r="B72" s="293">
        <v>42145</v>
      </c>
      <c r="C72" s="294">
        <v>50</v>
      </c>
      <c r="D72" s="295">
        <v>61.7</v>
      </c>
      <c r="E72" s="295"/>
      <c r="F72" s="295">
        <f t="shared" ref="F72:F82" si="4">C72*D72</f>
        <v>3085</v>
      </c>
      <c r="G72" s="293">
        <v>42187</v>
      </c>
      <c r="H72" s="294">
        <v>300</v>
      </c>
      <c r="I72" s="295">
        <v>57.78</v>
      </c>
      <c r="J72" s="295">
        <v>0.32</v>
      </c>
      <c r="K72" s="295">
        <f>H72*I72-J72</f>
        <v>17333.68</v>
      </c>
      <c r="L72" s="293">
        <v>42185</v>
      </c>
      <c r="M72" s="295">
        <v>44.61</v>
      </c>
      <c r="N72" s="295"/>
      <c r="O72" s="297"/>
      <c r="P72" s="139" t="s">
        <v>133</v>
      </c>
    </row>
    <row r="73" spans="1:16" ht="18" customHeight="1" x14ac:dyDescent="0.25">
      <c r="A73" s="292"/>
      <c r="B73" s="293">
        <v>42146</v>
      </c>
      <c r="C73" s="294">
        <v>10</v>
      </c>
      <c r="D73" s="295">
        <v>61.37</v>
      </c>
      <c r="E73" s="295"/>
      <c r="F73" s="295">
        <f t="shared" si="4"/>
        <v>613.69999999999993</v>
      </c>
      <c r="G73" s="293">
        <v>42216</v>
      </c>
      <c r="H73" s="294">
        <v>300</v>
      </c>
      <c r="I73" s="295">
        <v>62</v>
      </c>
      <c r="J73" s="294">
        <v>0.34</v>
      </c>
      <c r="K73" s="295">
        <f>H73*I73-J73</f>
        <v>18599.66</v>
      </c>
      <c r="L73" s="296"/>
      <c r="M73" s="295"/>
      <c r="N73" s="295"/>
      <c r="O73" s="297"/>
    </row>
    <row r="74" spans="1:16" ht="18" customHeight="1" x14ac:dyDescent="0.25">
      <c r="A74" s="292"/>
      <c r="B74" s="293">
        <v>42146</v>
      </c>
      <c r="C74" s="294">
        <v>20</v>
      </c>
      <c r="D74" s="295">
        <v>61.12</v>
      </c>
      <c r="E74" s="295"/>
      <c r="F74" s="295">
        <f t="shared" si="4"/>
        <v>1222.3999999999999</v>
      </c>
      <c r="G74" s="296"/>
      <c r="H74" s="294"/>
      <c r="I74" s="295"/>
      <c r="J74" s="295"/>
      <c r="K74" s="295"/>
      <c r="L74" s="296"/>
      <c r="M74" s="295"/>
      <c r="N74" s="295"/>
      <c r="O74" s="297"/>
    </row>
    <row r="75" spans="1:16" ht="18" customHeight="1" x14ac:dyDescent="0.25">
      <c r="A75" s="292"/>
      <c r="B75" s="293">
        <v>42146</v>
      </c>
      <c r="C75" s="294">
        <v>20</v>
      </c>
      <c r="D75" s="295">
        <v>61.1</v>
      </c>
      <c r="E75" s="295"/>
      <c r="F75" s="295">
        <f t="shared" si="4"/>
        <v>1222</v>
      </c>
      <c r="G75" s="296"/>
      <c r="H75" s="294"/>
      <c r="I75" s="295"/>
      <c r="J75" s="294"/>
      <c r="K75" s="295"/>
      <c r="L75" s="296"/>
      <c r="M75" s="295"/>
      <c r="N75" s="295"/>
      <c r="O75" s="297"/>
    </row>
    <row r="76" spans="1:16" ht="18" customHeight="1" x14ac:dyDescent="0.25">
      <c r="A76" s="292"/>
      <c r="B76" s="293">
        <v>42146</v>
      </c>
      <c r="C76" s="294">
        <v>10</v>
      </c>
      <c r="D76" s="295">
        <v>60.8</v>
      </c>
      <c r="E76" s="295"/>
      <c r="F76" s="295">
        <f t="shared" si="4"/>
        <v>608</v>
      </c>
      <c r="G76" s="296"/>
      <c r="H76" s="294"/>
      <c r="I76" s="295"/>
      <c r="J76" s="295"/>
      <c r="K76" s="295"/>
      <c r="L76" s="296"/>
      <c r="M76" s="295"/>
      <c r="N76" s="295"/>
      <c r="O76" s="297"/>
    </row>
    <row r="77" spans="1:16" ht="18" customHeight="1" x14ac:dyDescent="0.25">
      <c r="A77" s="292"/>
      <c r="B77" s="293">
        <v>42146</v>
      </c>
      <c r="C77" s="294">
        <v>20</v>
      </c>
      <c r="D77" s="295">
        <v>60.7</v>
      </c>
      <c r="E77" s="295"/>
      <c r="F77" s="295">
        <f t="shared" si="4"/>
        <v>1214</v>
      </c>
      <c r="G77" s="296"/>
      <c r="H77" s="294"/>
      <c r="I77" s="295"/>
      <c r="J77" s="295"/>
      <c r="K77" s="295"/>
      <c r="L77" s="296"/>
      <c r="M77" s="295"/>
      <c r="N77" s="295"/>
      <c r="O77" s="297"/>
      <c r="P77" s="139" t="s">
        <v>133</v>
      </c>
    </row>
    <row r="78" spans="1:16" ht="18" customHeight="1" x14ac:dyDescent="0.25">
      <c r="A78" s="292"/>
      <c r="B78" s="293">
        <v>42150</v>
      </c>
      <c r="C78" s="294">
        <v>20</v>
      </c>
      <c r="D78" s="295">
        <v>60.6</v>
      </c>
      <c r="E78" s="295"/>
      <c r="F78" s="295">
        <f t="shared" si="4"/>
        <v>1212</v>
      </c>
      <c r="G78" s="296"/>
      <c r="H78" s="294"/>
      <c r="I78" s="295"/>
      <c r="J78" s="295"/>
      <c r="K78" s="295"/>
      <c r="L78" s="296"/>
      <c r="M78" s="295"/>
      <c r="N78" s="295"/>
      <c r="O78" s="297"/>
    </row>
    <row r="79" spans="1:16" ht="18" customHeight="1" x14ac:dyDescent="0.25">
      <c r="A79" s="292"/>
      <c r="B79" s="293">
        <v>42152</v>
      </c>
      <c r="C79" s="294">
        <v>30</v>
      </c>
      <c r="D79" s="295">
        <v>60.33</v>
      </c>
      <c r="E79" s="295"/>
      <c r="F79" s="295">
        <f t="shared" si="4"/>
        <v>1809.8999999999999</v>
      </c>
      <c r="G79" s="296"/>
      <c r="H79" s="294"/>
      <c r="I79" s="295"/>
      <c r="J79" s="295"/>
      <c r="K79" s="295"/>
      <c r="L79" s="296"/>
      <c r="M79" s="295"/>
      <c r="N79" s="295"/>
      <c r="O79" s="297"/>
    </row>
    <row r="80" spans="1:16" ht="18" customHeight="1" x14ac:dyDescent="0.25">
      <c r="A80" s="292"/>
      <c r="B80" s="293">
        <v>42152</v>
      </c>
      <c r="C80" s="294">
        <v>30</v>
      </c>
      <c r="D80" s="295">
        <v>60.39</v>
      </c>
      <c r="E80" s="295"/>
      <c r="F80" s="295">
        <f t="shared" si="4"/>
        <v>1811.7</v>
      </c>
      <c r="G80" s="296"/>
      <c r="H80" s="294"/>
      <c r="I80" s="295"/>
      <c r="J80" s="295"/>
      <c r="K80" s="295"/>
      <c r="L80" s="296"/>
      <c r="M80" s="295"/>
      <c r="N80" s="295"/>
      <c r="O80" s="297"/>
    </row>
    <row r="81" spans="1:16" ht="18" customHeight="1" x14ac:dyDescent="0.25">
      <c r="A81" s="292"/>
      <c r="B81" s="293">
        <v>42166</v>
      </c>
      <c r="C81" s="294">
        <v>100</v>
      </c>
      <c r="D81" s="295">
        <v>58</v>
      </c>
      <c r="E81" s="295"/>
      <c r="F81" s="295">
        <f t="shared" si="4"/>
        <v>5800</v>
      </c>
      <c r="G81" s="296"/>
      <c r="H81" s="294"/>
      <c r="I81" s="295"/>
      <c r="J81" s="295"/>
      <c r="K81" s="295"/>
      <c r="L81" s="296"/>
      <c r="M81" s="295"/>
      <c r="N81" s="295"/>
      <c r="O81" s="297"/>
    </row>
    <row r="82" spans="1:16" ht="18" customHeight="1" x14ac:dyDescent="0.25">
      <c r="A82" s="292"/>
      <c r="B82" s="293">
        <v>42187</v>
      </c>
      <c r="C82" s="294">
        <v>290</v>
      </c>
      <c r="D82" s="295">
        <v>57.85</v>
      </c>
      <c r="E82" s="295"/>
      <c r="F82" s="295">
        <f t="shared" si="4"/>
        <v>16776.5</v>
      </c>
      <c r="G82" s="296"/>
      <c r="H82" s="294"/>
      <c r="I82" s="295"/>
      <c r="J82" s="295"/>
      <c r="K82" s="295"/>
      <c r="L82" s="296"/>
      <c r="M82" s="295"/>
      <c r="N82" s="295"/>
      <c r="O82" s="297"/>
    </row>
    <row r="83" spans="1:16" ht="18" customHeight="1" x14ac:dyDescent="0.25">
      <c r="A83" s="292"/>
      <c r="B83" s="298"/>
      <c r="C83" s="299">
        <f>SUM(C72:C82)</f>
        <v>600</v>
      </c>
      <c r="D83" s="300"/>
      <c r="E83" s="300"/>
      <c r="F83" s="300">
        <f>SUM(F72:F82)</f>
        <v>35375.199999999997</v>
      </c>
      <c r="G83" s="301"/>
      <c r="H83" s="299">
        <f>SUM(H72:H82)</f>
        <v>600</v>
      </c>
      <c r="I83" s="300"/>
      <c r="J83" s="300"/>
      <c r="K83" s="300">
        <f>SUM(K72:K82)</f>
        <v>35933.339999999997</v>
      </c>
      <c r="L83" s="301"/>
      <c r="M83" s="300">
        <f>SUM(M72:M82)</f>
        <v>44.61</v>
      </c>
      <c r="N83" s="300">
        <f>K83-F83</f>
        <v>558.13999999999942</v>
      </c>
      <c r="O83" s="302">
        <f>(N83+M83)/F83</f>
        <v>1.7038772925665423E-2</v>
      </c>
      <c r="P83" s="139" t="s">
        <v>133</v>
      </c>
    </row>
    <row r="84" spans="1:16" ht="18" customHeight="1" x14ac:dyDescent="0.25">
      <c r="B84" s="307"/>
      <c r="C84" s="308"/>
      <c r="D84" s="309"/>
      <c r="E84" s="24"/>
      <c r="F84" s="309"/>
      <c r="G84" s="307"/>
      <c r="H84" s="308"/>
      <c r="I84" s="309"/>
      <c r="J84" s="309"/>
      <c r="K84" s="309"/>
      <c r="L84" s="307"/>
      <c r="M84" s="309"/>
      <c r="N84" s="309"/>
      <c r="O84" s="310"/>
    </row>
    <row r="85" spans="1:16" ht="18" customHeight="1" x14ac:dyDescent="0.25">
      <c r="A85" s="292" t="s">
        <v>40</v>
      </c>
      <c r="B85" s="293">
        <v>42184</v>
      </c>
      <c r="C85" s="294">
        <v>20</v>
      </c>
      <c r="D85" s="295">
        <v>164.18</v>
      </c>
      <c r="E85" s="295"/>
      <c r="F85" s="295">
        <f>C85*D85</f>
        <v>3283.6000000000004</v>
      </c>
      <c r="G85" s="293">
        <v>42216</v>
      </c>
      <c r="H85" s="294">
        <v>20</v>
      </c>
      <c r="I85" s="295">
        <v>158</v>
      </c>
      <c r="J85" s="295">
        <v>0.06</v>
      </c>
      <c r="K85" s="295">
        <f>H85*I85-J85</f>
        <v>3159.94</v>
      </c>
      <c r="L85" s="296"/>
      <c r="M85" s="295"/>
      <c r="N85" s="295"/>
      <c r="O85" s="294"/>
    </row>
    <row r="86" spans="1:16" ht="18" customHeight="1" x14ac:dyDescent="0.25">
      <c r="A86" s="292"/>
      <c r="B86" s="293">
        <v>42209</v>
      </c>
      <c r="C86" s="294">
        <v>10</v>
      </c>
      <c r="D86" s="295">
        <v>148</v>
      </c>
      <c r="E86" s="295"/>
      <c r="F86" s="295">
        <f>C86*D86</f>
        <v>1480</v>
      </c>
      <c r="G86" s="293">
        <v>42235</v>
      </c>
      <c r="H86" s="294">
        <v>20</v>
      </c>
      <c r="I86" s="295">
        <v>159.80000000000001</v>
      </c>
      <c r="J86" s="295">
        <v>0.06</v>
      </c>
      <c r="K86" s="295">
        <f>H86*I86-J86</f>
        <v>3195.94</v>
      </c>
      <c r="L86" s="296"/>
      <c r="M86" s="295"/>
      <c r="N86" s="295"/>
      <c r="O86" s="294"/>
    </row>
    <row r="87" spans="1:16" ht="18" customHeight="1" x14ac:dyDescent="0.25">
      <c r="A87" s="292"/>
      <c r="B87" s="293">
        <v>42209</v>
      </c>
      <c r="C87" s="294">
        <v>10</v>
      </c>
      <c r="D87" s="295">
        <v>146.69999999999999</v>
      </c>
      <c r="E87" s="295"/>
      <c r="F87" s="295">
        <f>C87*D87</f>
        <v>1467</v>
      </c>
      <c r="G87" s="296"/>
      <c r="H87" s="294"/>
      <c r="I87" s="295"/>
      <c r="J87" s="295"/>
      <c r="K87" s="295"/>
      <c r="L87" s="296"/>
      <c r="M87" s="295"/>
      <c r="N87" s="295"/>
      <c r="O87" s="294"/>
      <c r="P87" s="139" t="s">
        <v>133</v>
      </c>
    </row>
    <row r="88" spans="1:16" ht="18" customHeight="1" x14ac:dyDescent="0.25">
      <c r="A88" s="292"/>
      <c r="B88" s="301"/>
      <c r="C88" s="299">
        <f>SUM(C85:C87)</f>
        <v>40</v>
      </c>
      <c r="D88" s="300"/>
      <c r="E88" s="300"/>
      <c r="F88" s="300">
        <f>SUM(F85:F87)</f>
        <v>6230.6</v>
      </c>
      <c r="G88" s="301"/>
      <c r="H88" s="299">
        <f>SUM(H85:H87)</f>
        <v>40</v>
      </c>
      <c r="I88" s="300"/>
      <c r="J88" s="300"/>
      <c r="K88" s="300">
        <f>SUM(K85:K87)</f>
        <v>6355.88</v>
      </c>
      <c r="L88" s="301"/>
      <c r="M88" s="300"/>
      <c r="N88" s="300">
        <f>K88-F88</f>
        <v>125.27999999999975</v>
      </c>
      <c r="O88" s="302">
        <f>(N88+M88)/F88</f>
        <v>2.0107212788495449E-2</v>
      </c>
      <c r="P88" s="139"/>
    </row>
    <row r="89" spans="1:16" ht="18" customHeight="1" x14ac:dyDescent="0.25">
      <c r="B89" s="307"/>
      <c r="C89" s="308"/>
      <c r="D89" s="309"/>
      <c r="E89" s="309"/>
      <c r="F89" s="309"/>
      <c r="G89" s="307"/>
      <c r="H89" s="308"/>
      <c r="I89" s="309"/>
      <c r="J89" s="309"/>
      <c r="K89" s="309"/>
      <c r="L89" s="307"/>
      <c r="M89" s="309"/>
      <c r="N89" s="309"/>
      <c r="O89" s="310"/>
      <c r="P89" s="139"/>
    </row>
    <row r="90" spans="1:16" ht="18" customHeight="1" x14ac:dyDescent="0.25">
      <c r="A90" s="292" t="s">
        <v>19</v>
      </c>
      <c r="B90" s="293">
        <v>42152</v>
      </c>
      <c r="C90" s="294">
        <v>5</v>
      </c>
      <c r="D90" s="295">
        <v>35.049999999999997</v>
      </c>
      <c r="E90" s="295"/>
      <c r="F90" s="295">
        <v>175.25</v>
      </c>
      <c r="G90" s="293">
        <v>42206</v>
      </c>
      <c r="H90" s="294">
        <v>39</v>
      </c>
      <c r="I90" s="295">
        <v>35.65</v>
      </c>
      <c r="J90" s="294">
        <v>0.03</v>
      </c>
      <c r="K90" s="295">
        <f>H90*I90-J90</f>
        <v>1390.32</v>
      </c>
      <c r="L90" s="293">
        <v>42170</v>
      </c>
      <c r="M90" s="295">
        <v>7.73</v>
      </c>
      <c r="N90" s="295"/>
      <c r="O90" s="297"/>
      <c r="P90" s="139" t="s">
        <v>133</v>
      </c>
    </row>
    <row r="91" spans="1:16" ht="18" customHeight="1" x14ac:dyDescent="0.25">
      <c r="A91" s="292"/>
      <c r="B91" s="293">
        <v>42153</v>
      </c>
      <c r="C91" s="294">
        <v>25</v>
      </c>
      <c r="D91" s="295">
        <v>34.4</v>
      </c>
      <c r="E91" s="296"/>
      <c r="F91" s="295">
        <v>860</v>
      </c>
      <c r="G91" s="293">
        <v>42264</v>
      </c>
      <c r="H91" s="294">
        <v>51</v>
      </c>
      <c r="I91" s="295">
        <v>35</v>
      </c>
      <c r="J91" s="295">
        <v>0.03</v>
      </c>
      <c r="K91" s="295">
        <f>H91*I91-J91</f>
        <v>1784.97</v>
      </c>
      <c r="L91" s="293">
        <v>42262</v>
      </c>
      <c r="M91" s="295">
        <v>13.64</v>
      </c>
      <c r="N91" s="295"/>
      <c r="O91" s="297"/>
      <c r="P91" s="139"/>
    </row>
    <row r="92" spans="1:16" ht="18" customHeight="1" x14ac:dyDescent="0.25">
      <c r="A92" s="292"/>
      <c r="B92" s="293">
        <v>42173</v>
      </c>
      <c r="C92" s="294">
        <v>10</v>
      </c>
      <c r="D92" s="295">
        <v>34.1</v>
      </c>
      <c r="E92" s="295"/>
      <c r="F92" s="295">
        <v>341</v>
      </c>
      <c r="G92" s="296"/>
      <c r="H92" s="294"/>
      <c r="I92" s="295"/>
      <c r="J92" s="295"/>
      <c r="K92" s="295"/>
      <c r="L92" s="296"/>
      <c r="M92" s="295"/>
      <c r="N92" s="295"/>
      <c r="O92" s="297"/>
      <c r="P92" s="139"/>
    </row>
    <row r="93" spans="1:16" ht="18" customHeight="1" x14ac:dyDescent="0.25">
      <c r="A93" s="292"/>
      <c r="B93" s="293">
        <v>42228</v>
      </c>
      <c r="C93" s="294">
        <v>50</v>
      </c>
      <c r="D93" s="295">
        <v>33.44</v>
      </c>
      <c r="E93" s="295"/>
      <c r="F93" s="295">
        <v>1672.2</v>
      </c>
      <c r="G93" s="296"/>
      <c r="H93" s="294"/>
      <c r="I93" s="295"/>
      <c r="J93" s="295"/>
      <c r="K93" s="295"/>
      <c r="L93" s="296"/>
      <c r="M93" s="295"/>
      <c r="N93" s="295"/>
      <c r="O93" s="297"/>
      <c r="P93" s="139"/>
    </row>
    <row r="94" spans="1:16" ht="18" customHeight="1" x14ac:dyDescent="0.25">
      <c r="A94" s="292"/>
      <c r="B94" s="301"/>
      <c r="C94" s="299">
        <v>90</v>
      </c>
      <c r="D94" s="300"/>
      <c r="E94" s="300"/>
      <c r="F94" s="300">
        <f>SUM(F90:F93)</f>
        <v>3048.45</v>
      </c>
      <c r="G94" s="301"/>
      <c r="H94" s="299">
        <v>90</v>
      </c>
      <c r="I94" s="300"/>
      <c r="J94" s="300"/>
      <c r="K94" s="300">
        <f>SUM(K90:K91)</f>
        <v>3175.29</v>
      </c>
      <c r="L94" s="301"/>
      <c r="M94" s="300">
        <f>SUM(M90:M91)</f>
        <v>21.37</v>
      </c>
      <c r="N94" s="300">
        <f>K94-F94</f>
        <v>126.84000000000015</v>
      </c>
      <c r="O94" s="302">
        <f>N94/F94</f>
        <v>4.1608030310485704E-2</v>
      </c>
      <c r="P94" s="139"/>
    </row>
    <row r="95" spans="1:16" ht="18" customHeight="1" x14ac:dyDescent="0.25">
      <c r="B95" s="307"/>
      <c r="C95" s="308"/>
      <c r="D95" s="309"/>
      <c r="E95" s="24"/>
      <c r="F95" s="309"/>
      <c r="G95" s="307"/>
      <c r="H95" s="308"/>
      <c r="I95" s="309"/>
      <c r="K95" s="309"/>
      <c r="L95" s="307"/>
      <c r="M95" s="309"/>
      <c r="N95" s="309"/>
      <c r="O95" s="310"/>
      <c r="P95" s="139"/>
    </row>
    <row r="96" spans="1:16" ht="18" customHeight="1" x14ac:dyDescent="0.25">
      <c r="A96" s="292" t="s">
        <v>32</v>
      </c>
      <c r="B96" s="293">
        <v>42166</v>
      </c>
      <c r="C96" s="294">
        <v>25</v>
      </c>
      <c r="D96" s="295">
        <v>41.2</v>
      </c>
      <c r="E96" s="296"/>
      <c r="F96" s="295">
        <f>C96*D96</f>
        <v>1030</v>
      </c>
      <c r="G96" s="293">
        <v>42200</v>
      </c>
      <c r="H96" s="294">
        <v>50</v>
      </c>
      <c r="I96" s="295">
        <v>42.08</v>
      </c>
      <c r="J96" s="294">
        <v>0.04</v>
      </c>
      <c r="K96" s="295">
        <f>H96*I96-J96</f>
        <v>2103.96</v>
      </c>
      <c r="L96" s="296"/>
      <c r="M96" s="295"/>
      <c r="N96" s="295"/>
      <c r="O96" s="297"/>
      <c r="P96" s="139" t="s">
        <v>133</v>
      </c>
    </row>
    <row r="97" spans="1:15" ht="18" customHeight="1" x14ac:dyDescent="0.25">
      <c r="A97" s="292"/>
      <c r="B97" s="293">
        <v>42167</v>
      </c>
      <c r="C97" s="294">
        <v>25</v>
      </c>
      <c r="D97" s="295">
        <v>39.1</v>
      </c>
      <c r="E97" s="296"/>
      <c r="F97" s="295">
        <f>C97*D97</f>
        <v>977.5</v>
      </c>
      <c r="G97" s="296"/>
      <c r="H97" s="294"/>
      <c r="I97" s="295"/>
      <c r="J97" s="294"/>
      <c r="K97" s="295"/>
      <c r="L97" s="296"/>
      <c r="M97" s="295"/>
      <c r="N97" s="295"/>
      <c r="O97" s="297"/>
    </row>
    <row r="98" spans="1:15" ht="18" customHeight="1" x14ac:dyDescent="0.25">
      <c r="A98" s="292"/>
      <c r="B98" s="298"/>
      <c r="C98" s="299">
        <f>SUM(C96:C97)</f>
        <v>50</v>
      </c>
      <c r="D98" s="300"/>
      <c r="E98" s="301"/>
      <c r="F98" s="300">
        <f>SUM(F96:F97)</f>
        <v>2007.5</v>
      </c>
      <c r="G98" s="301"/>
      <c r="H98" s="299">
        <f>SUM(H96:H97)</f>
        <v>50</v>
      </c>
      <c r="I98" s="300"/>
      <c r="J98" s="299"/>
      <c r="K98" s="300">
        <f>SUM(K96:K97)</f>
        <v>2103.96</v>
      </c>
      <c r="L98" s="301"/>
      <c r="M98" s="300"/>
      <c r="N98" s="300">
        <f>K98-F98</f>
        <v>96.460000000000036</v>
      </c>
      <c r="O98" s="302">
        <f>(N98+M98)/F98</f>
        <v>4.804981320049815E-2</v>
      </c>
    </row>
    <row r="99" spans="1:15" ht="18" customHeight="1" x14ac:dyDescent="0.25">
      <c r="B99" s="307"/>
      <c r="C99" s="308"/>
      <c r="D99" s="309"/>
      <c r="E99" s="309"/>
      <c r="F99" s="309"/>
      <c r="G99" s="307"/>
      <c r="H99" s="308"/>
      <c r="I99" s="309"/>
      <c r="K99" s="309"/>
      <c r="L99" s="307"/>
      <c r="M99" s="309"/>
      <c r="N99" s="309"/>
      <c r="O99" s="310"/>
    </row>
    <row r="100" spans="1:15" ht="18" customHeight="1" x14ac:dyDescent="0.25">
      <c r="A100" s="292" t="s">
        <v>16</v>
      </c>
      <c r="B100" s="293">
        <v>42153</v>
      </c>
      <c r="C100" s="294">
        <v>1</v>
      </c>
      <c r="D100" s="295">
        <v>20.3</v>
      </c>
      <c r="E100" s="295"/>
      <c r="F100" s="295">
        <f>C100*D100</f>
        <v>20.3</v>
      </c>
      <c r="G100" s="293">
        <v>42187</v>
      </c>
      <c r="H100" s="294">
        <v>1</v>
      </c>
      <c r="I100" s="295">
        <v>28.5</v>
      </c>
      <c r="J100" s="295">
        <v>0.01</v>
      </c>
      <c r="K100" s="295">
        <f>H100*I100-J100</f>
        <v>28.49</v>
      </c>
      <c r="L100" s="296"/>
      <c r="M100" s="295"/>
      <c r="N100" s="295"/>
      <c r="O100" s="297"/>
    </row>
    <row r="101" spans="1:15" ht="18" customHeight="1" x14ac:dyDescent="0.25">
      <c r="A101" s="292"/>
      <c r="B101" s="301"/>
      <c r="C101" s="299">
        <f>SUM(C100)</f>
        <v>1</v>
      </c>
      <c r="D101" s="300"/>
      <c r="E101" s="300"/>
      <c r="F101" s="300">
        <f>SUM(F100)</f>
        <v>20.3</v>
      </c>
      <c r="G101" s="301"/>
      <c r="H101" s="299">
        <f>SUM(H100)</f>
        <v>1</v>
      </c>
      <c r="I101" s="300"/>
      <c r="J101" s="300"/>
      <c r="K101" s="300">
        <f>SUM(K100)</f>
        <v>28.49</v>
      </c>
      <c r="L101" s="301"/>
      <c r="M101" s="300"/>
      <c r="N101" s="300">
        <f>K101-F101</f>
        <v>8.1899999999999977</v>
      </c>
      <c r="O101" s="302">
        <f>(N101+M101)/F101</f>
        <v>0.40344827586206883</v>
      </c>
    </row>
    <row r="102" spans="1:15" ht="18" customHeight="1" x14ac:dyDescent="0.25">
      <c r="B102" s="307"/>
      <c r="C102" s="308"/>
      <c r="D102" s="309"/>
      <c r="E102" s="24"/>
      <c r="F102" s="309"/>
      <c r="G102" s="307"/>
      <c r="H102" s="308"/>
      <c r="I102" s="309"/>
      <c r="K102" s="309"/>
      <c r="L102" s="307"/>
      <c r="M102" s="309"/>
      <c r="N102" s="309"/>
      <c r="O102" s="310"/>
    </row>
    <row r="103" spans="1:15" ht="18" customHeight="1" x14ac:dyDescent="0.25">
      <c r="A103" s="292" t="s">
        <v>21</v>
      </c>
      <c r="B103" s="293">
        <v>42153</v>
      </c>
      <c r="C103" s="294">
        <v>10</v>
      </c>
      <c r="D103" s="295">
        <v>17.399999999999999</v>
      </c>
      <c r="E103" s="296"/>
      <c r="F103" s="295">
        <f>C103*D103</f>
        <v>174</v>
      </c>
      <c r="G103" s="293">
        <v>42186</v>
      </c>
      <c r="H103" s="294">
        <v>10</v>
      </c>
      <c r="I103" s="295">
        <v>24.2</v>
      </c>
      <c r="J103" s="294">
        <v>0.01</v>
      </c>
      <c r="K103" s="295">
        <f>H103*I103-J103</f>
        <v>241.99</v>
      </c>
      <c r="L103" s="296"/>
      <c r="M103" s="295"/>
      <c r="N103" s="295"/>
      <c r="O103" s="297"/>
    </row>
    <row r="104" spans="1:15" ht="18" customHeight="1" x14ac:dyDescent="0.25">
      <c r="A104" s="292"/>
      <c r="B104" s="293">
        <v>42187</v>
      </c>
      <c r="C104" s="294">
        <v>1000</v>
      </c>
      <c r="D104" s="295">
        <v>22.12</v>
      </c>
      <c r="E104" s="296"/>
      <c r="F104" s="295">
        <f>C104*D104</f>
        <v>22120</v>
      </c>
      <c r="G104" s="293">
        <v>42187</v>
      </c>
      <c r="H104" s="294">
        <v>4000</v>
      </c>
      <c r="I104" s="295">
        <v>21.81</v>
      </c>
      <c r="J104" s="294">
        <v>11.91</v>
      </c>
      <c r="K104" s="295">
        <f>H104*I104-J104</f>
        <v>87228.09</v>
      </c>
      <c r="L104" s="296"/>
      <c r="M104" s="295"/>
      <c r="N104" s="295"/>
      <c r="O104" s="297"/>
    </row>
    <row r="105" spans="1:15" ht="18" customHeight="1" x14ac:dyDescent="0.25">
      <c r="A105" s="292"/>
      <c r="B105" s="293">
        <v>42187</v>
      </c>
      <c r="C105" s="294">
        <v>1000</v>
      </c>
      <c r="D105" s="295">
        <v>21.7</v>
      </c>
      <c r="E105" s="296"/>
      <c r="F105" s="295">
        <f>C105*D105</f>
        <v>21700</v>
      </c>
      <c r="G105" s="293"/>
      <c r="H105" s="294"/>
      <c r="I105" s="295"/>
      <c r="J105" s="294"/>
      <c r="K105" s="295"/>
      <c r="L105" s="296"/>
      <c r="M105" s="295"/>
      <c r="N105" s="295"/>
      <c r="O105" s="297"/>
    </row>
    <row r="106" spans="1:15" ht="18" customHeight="1" x14ac:dyDescent="0.25">
      <c r="A106" s="292"/>
      <c r="B106" s="293">
        <v>42187</v>
      </c>
      <c r="C106" s="294">
        <v>2000</v>
      </c>
      <c r="D106" s="295">
        <v>21.49</v>
      </c>
      <c r="E106" s="296"/>
      <c r="F106" s="295">
        <f>C106*D106</f>
        <v>42980</v>
      </c>
      <c r="G106" s="293"/>
      <c r="H106" s="294"/>
      <c r="I106" s="295"/>
      <c r="J106" s="294"/>
      <c r="K106" s="295"/>
      <c r="L106" s="296"/>
      <c r="M106" s="295"/>
      <c r="N106" s="295"/>
      <c r="O106" s="297"/>
    </row>
    <row r="107" spans="1:15" ht="18" customHeight="1" x14ac:dyDescent="0.25">
      <c r="A107" s="292"/>
      <c r="B107" s="298"/>
      <c r="C107" s="299">
        <f>SUM(C103:C106)</f>
        <v>4010</v>
      </c>
      <c r="D107" s="300"/>
      <c r="E107" s="301"/>
      <c r="F107" s="300">
        <f>SUM(F103:F106)</f>
        <v>86974</v>
      </c>
      <c r="G107" s="301"/>
      <c r="H107" s="299">
        <f>SUM(H103:H106)</f>
        <v>4010</v>
      </c>
      <c r="I107" s="300"/>
      <c r="J107" s="299"/>
      <c r="K107" s="300">
        <f>SUM(K103:K106)</f>
        <v>87470.080000000002</v>
      </c>
      <c r="L107" s="301"/>
      <c r="M107" s="300"/>
      <c r="N107" s="300">
        <f>K107-F107</f>
        <v>496.08000000000175</v>
      </c>
      <c r="O107" s="302">
        <f>(N107+M107)/F107</f>
        <v>5.7037735415181746E-3</v>
      </c>
    </row>
    <row r="108" spans="1:15" ht="18" customHeight="1" x14ac:dyDescent="0.25">
      <c r="B108" s="307"/>
      <c r="C108" s="308"/>
      <c r="D108" s="309"/>
      <c r="E108" s="24"/>
      <c r="F108" s="309"/>
      <c r="G108" s="307"/>
      <c r="H108" s="308"/>
      <c r="I108" s="309"/>
      <c r="J108" s="309"/>
      <c r="K108" s="309"/>
      <c r="L108" s="307"/>
      <c r="M108" s="309"/>
      <c r="N108" s="308"/>
      <c r="O108" s="308"/>
    </row>
    <row r="109" spans="1:15" ht="18" customHeight="1" x14ac:dyDescent="0.25">
      <c r="A109" s="292" t="s">
        <v>9</v>
      </c>
      <c r="B109" s="293">
        <v>42145</v>
      </c>
      <c r="C109" s="294">
        <v>100</v>
      </c>
      <c r="D109" s="295">
        <v>5.55</v>
      </c>
      <c r="E109" s="295"/>
      <c r="F109" s="295">
        <f t="shared" ref="F109:F138" si="5">C109*D109</f>
        <v>555</v>
      </c>
      <c r="G109" s="293">
        <v>42187</v>
      </c>
      <c r="H109" s="294">
        <v>4200</v>
      </c>
      <c r="I109" s="295">
        <v>5.0199999999999996</v>
      </c>
      <c r="J109" s="295">
        <v>0.39</v>
      </c>
      <c r="K109" s="295">
        <f>H109*I109-J109</f>
        <v>21083.61</v>
      </c>
      <c r="L109" s="293">
        <v>42185</v>
      </c>
      <c r="M109" s="295">
        <v>656.25</v>
      </c>
      <c r="N109" s="294"/>
      <c r="O109" s="294"/>
    </row>
    <row r="110" spans="1:15" ht="18" customHeight="1" x14ac:dyDescent="0.25">
      <c r="A110" s="292"/>
      <c r="B110" s="293">
        <v>42146</v>
      </c>
      <c r="C110" s="294">
        <v>100</v>
      </c>
      <c r="D110" s="295">
        <v>5.47</v>
      </c>
      <c r="E110" s="295"/>
      <c r="F110" s="295">
        <f t="shared" si="5"/>
        <v>547</v>
      </c>
      <c r="G110" s="293">
        <v>42207</v>
      </c>
      <c r="H110" s="294">
        <v>1000</v>
      </c>
      <c r="I110" s="295">
        <v>5.12</v>
      </c>
      <c r="J110" s="295">
        <v>0.09</v>
      </c>
      <c r="K110" s="295">
        <f>H110*I110-J110</f>
        <v>5119.91</v>
      </c>
      <c r="L110" s="296"/>
      <c r="M110" s="295"/>
      <c r="N110" s="294"/>
      <c r="O110" s="294"/>
    </row>
    <row r="111" spans="1:15" ht="18" customHeight="1" x14ac:dyDescent="0.25">
      <c r="A111" s="292"/>
      <c r="B111" s="293">
        <v>42146</v>
      </c>
      <c r="C111" s="294">
        <v>100</v>
      </c>
      <c r="D111" s="295">
        <v>5.43</v>
      </c>
      <c r="E111" s="295"/>
      <c r="F111" s="295">
        <f t="shared" si="5"/>
        <v>543</v>
      </c>
      <c r="G111" s="293">
        <v>42207</v>
      </c>
      <c r="H111" s="294">
        <v>2000</v>
      </c>
      <c r="I111" s="295">
        <v>5.16</v>
      </c>
      <c r="J111" s="295">
        <v>0.19</v>
      </c>
      <c r="K111" s="295">
        <f t="shared" ref="K111:K118" si="6">H111*I111-J111</f>
        <v>10319.81</v>
      </c>
      <c r="L111" s="296"/>
      <c r="M111" s="295"/>
      <c r="N111" s="294"/>
      <c r="O111" s="294"/>
    </row>
    <row r="112" spans="1:15" ht="18" customHeight="1" x14ac:dyDescent="0.25">
      <c r="A112" s="292"/>
      <c r="B112" s="293">
        <v>42146</v>
      </c>
      <c r="C112" s="294">
        <v>100</v>
      </c>
      <c r="D112" s="295">
        <v>5.4</v>
      </c>
      <c r="E112" s="295"/>
      <c r="F112" s="295">
        <f t="shared" si="5"/>
        <v>540</v>
      </c>
      <c r="G112" s="293">
        <v>42207</v>
      </c>
      <c r="H112" s="294">
        <v>1000</v>
      </c>
      <c r="I112" s="295">
        <v>5.07</v>
      </c>
      <c r="J112" s="295">
        <v>0.09</v>
      </c>
      <c r="K112" s="295">
        <f t="shared" si="6"/>
        <v>5069.91</v>
      </c>
      <c r="L112" s="296"/>
      <c r="M112" s="295"/>
      <c r="N112" s="294"/>
      <c r="O112" s="294"/>
    </row>
    <row r="113" spans="1:16" ht="18" customHeight="1" x14ac:dyDescent="0.25">
      <c r="A113" s="292"/>
      <c r="B113" s="293">
        <v>42146</v>
      </c>
      <c r="C113" s="294">
        <v>200</v>
      </c>
      <c r="D113" s="295">
        <v>5.35</v>
      </c>
      <c r="E113" s="295"/>
      <c r="F113" s="295">
        <f t="shared" si="5"/>
        <v>1070</v>
      </c>
      <c r="G113" s="293">
        <v>42207</v>
      </c>
      <c r="H113" s="294">
        <v>1000</v>
      </c>
      <c r="I113" s="295">
        <v>5.09</v>
      </c>
      <c r="J113" s="295">
        <v>0.09</v>
      </c>
      <c r="K113" s="295">
        <f t="shared" si="6"/>
        <v>5089.91</v>
      </c>
      <c r="L113" s="296"/>
      <c r="M113" s="295"/>
      <c r="N113" s="294"/>
      <c r="O113" s="294"/>
    </row>
    <row r="114" spans="1:16" ht="18" customHeight="1" x14ac:dyDescent="0.25">
      <c r="A114" s="292"/>
      <c r="B114" s="293">
        <v>42152</v>
      </c>
      <c r="C114" s="294">
        <v>250</v>
      </c>
      <c r="D114" s="295">
        <v>5.3</v>
      </c>
      <c r="E114" s="295"/>
      <c r="F114" s="295">
        <f t="shared" si="5"/>
        <v>1325</v>
      </c>
      <c r="G114" s="293">
        <v>42207</v>
      </c>
      <c r="H114" s="294">
        <v>2000</v>
      </c>
      <c r="I114" s="295">
        <v>5.23</v>
      </c>
      <c r="J114" s="295">
        <v>0.19</v>
      </c>
      <c r="K114" s="295">
        <f t="shared" si="6"/>
        <v>10459.81</v>
      </c>
      <c r="L114" s="296"/>
      <c r="M114" s="295"/>
      <c r="N114" s="294"/>
      <c r="O114" s="294"/>
    </row>
    <row r="115" spans="1:16" ht="18" customHeight="1" x14ac:dyDescent="0.25">
      <c r="A115" s="292"/>
      <c r="B115" s="293">
        <v>42152</v>
      </c>
      <c r="C115" s="294">
        <v>200</v>
      </c>
      <c r="D115" s="295">
        <v>5.26</v>
      </c>
      <c r="E115" s="295"/>
      <c r="F115" s="295">
        <f t="shared" si="5"/>
        <v>1052</v>
      </c>
      <c r="G115" s="293">
        <v>42222</v>
      </c>
      <c r="H115" s="294">
        <v>5000</v>
      </c>
      <c r="I115" s="295">
        <v>5.12</v>
      </c>
      <c r="J115" s="295">
        <v>0.47</v>
      </c>
      <c r="K115" s="295">
        <f t="shared" si="6"/>
        <v>25599.53</v>
      </c>
      <c r="L115" s="296"/>
      <c r="M115" s="295"/>
      <c r="N115" s="294"/>
      <c r="O115" s="294"/>
    </row>
    <row r="116" spans="1:16" ht="18" customHeight="1" x14ac:dyDescent="0.25">
      <c r="A116" s="292"/>
      <c r="B116" s="293">
        <v>42152</v>
      </c>
      <c r="C116" s="294">
        <v>200</v>
      </c>
      <c r="D116" s="295">
        <v>5.22</v>
      </c>
      <c r="E116" s="295"/>
      <c r="F116" s="295">
        <f t="shared" si="5"/>
        <v>1044</v>
      </c>
      <c r="G116" s="293">
        <v>42222</v>
      </c>
      <c r="H116" s="294">
        <v>1000</v>
      </c>
      <c r="I116" s="295">
        <v>5.1100000000000003</v>
      </c>
      <c r="J116" s="295">
        <v>0.09</v>
      </c>
      <c r="K116" s="295">
        <f t="shared" si="6"/>
        <v>5109.91</v>
      </c>
      <c r="L116" s="296"/>
      <c r="M116" s="295"/>
      <c r="N116" s="294"/>
      <c r="O116" s="294"/>
    </row>
    <row r="117" spans="1:16" ht="18" customHeight="1" x14ac:dyDescent="0.25">
      <c r="A117" s="292"/>
      <c r="B117" s="293">
        <v>42152</v>
      </c>
      <c r="C117" s="294">
        <v>1000</v>
      </c>
      <c r="D117" s="295">
        <v>5.19</v>
      </c>
      <c r="E117" s="295"/>
      <c r="F117" s="295">
        <f t="shared" si="5"/>
        <v>5190</v>
      </c>
      <c r="G117" s="293">
        <v>42223</v>
      </c>
      <c r="H117" s="294">
        <v>1950</v>
      </c>
      <c r="I117" s="295">
        <v>5.2</v>
      </c>
      <c r="J117" s="295">
        <v>0.19</v>
      </c>
      <c r="K117" s="295">
        <f t="shared" si="6"/>
        <v>10139.81</v>
      </c>
      <c r="L117" s="296"/>
      <c r="M117" s="295"/>
      <c r="N117" s="294"/>
      <c r="O117" s="294"/>
    </row>
    <row r="118" spans="1:16" ht="18" customHeight="1" x14ac:dyDescent="0.25">
      <c r="A118" s="292"/>
      <c r="B118" s="293">
        <v>42152</v>
      </c>
      <c r="C118" s="294">
        <v>2000</v>
      </c>
      <c r="D118" s="295">
        <v>5.17</v>
      </c>
      <c r="E118" s="295"/>
      <c r="F118" s="295">
        <f t="shared" si="5"/>
        <v>10340</v>
      </c>
      <c r="G118" s="293">
        <v>42229</v>
      </c>
      <c r="H118" s="294">
        <v>50</v>
      </c>
      <c r="I118" s="295">
        <v>5.28</v>
      </c>
      <c r="J118" s="295">
        <v>0.01</v>
      </c>
      <c r="K118" s="295">
        <f t="shared" si="6"/>
        <v>263.99</v>
      </c>
      <c r="L118" s="296"/>
      <c r="M118" s="295"/>
      <c r="N118" s="294"/>
      <c r="O118" s="294"/>
    </row>
    <row r="119" spans="1:16" ht="18" customHeight="1" x14ac:dyDescent="0.25">
      <c r="A119" s="292"/>
      <c r="B119" s="293">
        <v>42152</v>
      </c>
      <c r="C119" s="294">
        <v>2000</v>
      </c>
      <c r="D119" s="295">
        <v>5.15</v>
      </c>
      <c r="E119" s="295"/>
      <c r="F119" s="295">
        <f t="shared" si="5"/>
        <v>10300</v>
      </c>
      <c r="G119" s="296"/>
      <c r="H119" s="294"/>
      <c r="I119" s="295"/>
      <c r="J119" s="295"/>
      <c r="K119" s="295"/>
      <c r="L119" s="296"/>
      <c r="M119" s="295"/>
      <c r="N119" s="294"/>
      <c r="O119" s="294"/>
    </row>
    <row r="120" spans="1:16" ht="18" customHeight="1" x14ac:dyDescent="0.25">
      <c r="A120" s="292"/>
      <c r="B120" s="293">
        <v>42158</v>
      </c>
      <c r="C120" s="294">
        <v>500</v>
      </c>
      <c r="D120" s="295">
        <v>5.09</v>
      </c>
      <c r="E120" s="295"/>
      <c r="F120" s="295">
        <f t="shared" si="5"/>
        <v>2545</v>
      </c>
      <c r="G120" s="296"/>
      <c r="H120" s="294"/>
      <c r="I120" s="295"/>
      <c r="J120" s="295"/>
      <c r="K120" s="295"/>
      <c r="L120" s="296"/>
      <c r="M120" s="295"/>
      <c r="N120" s="294"/>
      <c r="O120" s="294"/>
    </row>
    <row r="121" spans="1:16" ht="18" customHeight="1" x14ac:dyDescent="0.25">
      <c r="A121" s="292"/>
      <c r="B121" s="293">
        <v>42158</v>
      </c>
      <c r="C121" s="294">
        <v>1000</v>
      </c>
      <c r="D121" s="295">
        <v>5.04</v>
      </c>
      <c r="E121" s="296"/>
      <c r="F121" s="295">
        <f t="shared" si="5"/>
        <v>5040</v>
      </c>
      <c r="G121" s="296"/>
      <c r="H121" s="294"/>
      <c r="I121" s="295"/>
      <c r="J121" s="295"/>
      <c r="K121" s="295"/>
      <c r="L121" s="296"/>
      <c r="M121" s="295"/>
      <c r="N121" s="294"/>
      <c r="O121" s="294"/>
    </row>
    <row r="122" spans="1:16" ht="18" customHeight="1" x14ac:dyDescent="0.25">
      <c r="A122" s="292"/>
      <c r="B122" s="293">
        <v>42158</v>
      </c>
      <c r="C122" s="294">
        <v>200</v>
      </c>
      <c r="D122" s="295">
        <v>5.05</v>
      </c>
      <c r="E122" s="295"/>
      <c r="F122" s="295">
        <f t="shared" si="5"/>
        <v>1010</v>
      </c>
      <c r="G122" s="296"/>
      <c r="H122" s="294"/>
      <c r="I122" s="295"/>
      <c r="J122" s="295"/>
      <c r="K122" s="295"/>
      <c r="L122" s="296"/>
      <c r="M122" s="295"/>
      <c r="N122" s="294"/>
      <c r="O122" s="294"/>
    </row>
    <row r="123" spans="1:16" ht="18" customHeight="1" x14ac:dyDescent="0.25">
      <c r="A123" s="292"/>
      <c r="B123" s="293">
        <v>42164</v>
      </c>
      <c r="C123" s="294">
        <v>500</v>
      </c>
      <c r="D123" s="295">
        <v>5.07</v>
      </c>
      <c r="E123" s="295"/>
      <c r="F123" s="295">
        <f t="shared" si="5"/>
        <v>2535</v>
      </c>
      <c r="G123" s="296"/>
      <c r="H123" s="294"/>
      <c r="I123" s="295"/>
      <c r="J123" s="295"/>
      <c r="K123" s="295"/>
      <c r="L123" s="296"/>
      <c r="M123" s="295"/>
      <c r="N123" s="294"/>
      <c r="O123" s="294"/>
    </row>
    <row r="124" spans="1:16" ht="18" customHeight="1" x14ac:dyDescent="0.25">
      <c r="A124" s="292"/>
      <c r="B124" s="293">
        <v>42164</v>
      </c>
      <c r="C124" s="294">
        <v>1000</v>
      </c>
      <c r="D124" s="295">
        <v>5.04</v>
      </c>
      <c r="E124" s="295"/>
      <c r="F124" s="295">
        <f t="shared" si="5"/>
        <v>5040</v>
      </c>
      <c r="G124" s="296"/>
      <c r="H124" s="294"/>
      <c r="I124" s="295"/>
      <c r="J124" s="295"/>
      <c r="K124" s="295"/>
      <c r="L124" s="296"/>
      <c r="M124" s="295"/>
      <c r="N124" s="294"/>
      <c r="O124" s="294"/>
    </row>
    <row r="125" spans="1:16" ht="18" customHeight="1" x14ac:dyDescent="0.25">
      <c r="A125" s="292"/>
      <c r="B125" s="293">
        <v>42164</v>
      </c>
      <c r="C125" s="294">
        <v>1000</v>
      </c>
      <c r="D125" s="295">
        <v>5.01</v>
      </c>
      <c r="E125" s="295"/>
      <c r="F125" s="295">
        <f t="shared" si="5"/>
        <v>5010</v>
      </c>
      <c r="G125" s="296"/>
      <c r="H125" s="294"/>
      <c r="I125" s="295"/>
      <c r="J125" s="295"/>
      <c r="K125" s="295"/>
      <c r="L125" s="296"/>
      <c r="M125" s="295"/>
      <c r="N125" s="294"/>
      <c r="O125" s="294"/>
    </row>
    <row r="126" spans="1:16" ht="18" customHeight="1" x14ac:dyDescent="0.25">
      <c r="A126" s="292"/>
      <c r="B126" s="293">
        <v>42173</v>
      </c>
      <c r="C126" s="294">
        <v>500</v>
      </c>
      <c r="D126" s="295">
        <v>4.88</v>
      </c>
      <c r="E126" s="295"/>
      <c r="F126" s="295">
        <f t="shared" si="5"/>
        <v>2440</v>
      </c>
      <c r="G126" s="296"/>
      <c r="H126" s="294"/>
      <c r="I126" s="295"/>
      <c r="J126" s="295"/>
      <c r="K126" s="295"/>
      <c r="L126" s="296"/>
      <c r="M126" s="295"/>
      <c r="N126" s="294"/>
      <c r="O126" s="294"/>
    </row>
    <row r="127" spans="1:16" ht="18" customHeight="1" x14ac:dyDescent="0.25">
      <c r="A127" s="292"/>
      <c r="B127" s="293">
        <v>42187</v>
      </c>
      <c r="C127" s="294">
        <v>2000</v>
      </c>
      <c r="D127" s="295">
        <v>4.9800000000000004</v>
      </c>
      <c r="E127" s="295"/>
      <c r="F127" s="295">
        <f t="shared" si="5"/>
        <v>9960</v>
      </c>
      <c r="G127" s="296"/>
      <c r="H127" s="294"/>
      <c r="I127" s="295"/>
      <c r="J127" s="295"/>
      <c r="K127" s="295"/>
      <c r="L127" s="296"/>
      <c r="M127" s="295"/>
      <c r="N127" s="294"/>
      <c r="O127" s="294"/>
    </row>
    <row r="128" spans="1:16" ht="18" customHeight="1" x14ac:dyDescent="0.25">
      <c r="A128" s="292"/>
      <c r="B128" s="293">
        <v>42187</v>
      </c>
      <c r="C128" s="294">
        <v>100</v>
      </c>
      <c r="D128" s="295">
        <v>4.9800000000000004</v>
      </c>
      <c r="E128" s="295"/>
      <c r="F128" s="295">
        <f t="shared" si="5"/>
        <v>498.00000000000006</v>
      </c>
      <c r="G128" s="296"/>
      <c r="H128" s="294"/>
      <c r="I128" s="295"/>
      <c r="J128" s="295"/>
      <c r="K128" s="295"/>
      <c r="L128" s="296"/>
      <c r="M128" s="295"/>
      <c r="N128" s="294"/>
      <c r="O128" s="294"/>
      <c r="P128" s="139" t="s">
        <v>133</v>
      </c>
    </row>
    <row r="129" spans="1:16" ht="18" customHeight="1" x14ac:dyDescent="0.25">
      <c r="A129" s="292"/>
      <c r="B129" s="293">
        <v>42187</v>
      </c>
      <c r="C129" s="294">
        <v>100</v>
      </c>
      <c r="D129" s="295">
        <v>4.9800000000000004</v>
      </c>
      <c r="E129" s="295"/>
      <c r="F129" s="295">
        <f t="shared" si="5"/>
        <v>498.00000000000006</v>
      </c>
      <c r="G129" s="296"/>
      <c r="H129" s="294"/>
      <c r="I129" s="295"/>
      <c r="J129" s="295"/>
      <c r="K129" s="295"/>
      <c r="L129" s="296"/>
      <c r="M129" s="295"/>
      <c r="N129" s="294"/>
      <c r="O129" s="294"/>
    </row>
    <row r="130" spans="1:16" ht="18" customHeight="1" x14ac:dyDescent="0.25">
      <c r="A130" s="292"/>
      <c r="B130" s="293">
        <v>42187</v>
      </c>
      <c r="C130" s="294">
        <v>2000</v>
      </c>
      <c r="D130" s="295">
        <v>4.97</v>
      </c>
      <c r="E130" s="295"/>
      <c r="F130" s="295">
        <f t="shared" si="5"/>
        <v>9940</v>
      </c>
      <c r="G130" s="296"/>
      <c r="H130" s="294"/>
      <c r="I130" s="295"/>
      <c r="J130" s="295"/>
      <c r="K130" s="295"/>
      <c r="L130" s="296"/>
      <c r="M130" s="295"/>
      <c r="N130" s="294"/>
      <c r="O130" s="294"/>
    </row>
    <row r="131" spans="1:16" ht="18" customHeight="1" x14ac:dyDescent="0.25">
      <c r="A131" s="292"/>
      <c r="B131" s="293">
        <v>42199</v>
      </c>
      <c r="C131" s="294">
        <v>500</v>
      </c>
      <c r="D131" s="295">
        <v>4.8</v>
      </c>
      <c r="E131" s="295"/>
      <c r="F131" s="295">
        <f t="shared" si="5"/>
        <v>2400</v>
      </c>
      <c r="G131" s="296"/>
      <c r="H131" s="294"/>
      <c r="I131" s="295"/>
      <c r="J131" s="295"/>
      <c r="K131" s="295"/>
      <c r="L131" s="296"/>
      <c r="M131" s="295"/>
      <c r="N131" s="294"/>
      <c r="O131" s="294"/>
      <c r="P131" s="139" t="s">
        <v>133</v>
      </c>
    </row>
    <row r="132" spans="1:16" ht="18" customHeight="1" x14ac:dyDescent="0.25">
      <c r="A132" s="292"/>
      <c r="B132" s="293">
        <v>42212</v>
      </c>
      <c r="C132" s="294">
        <v>300</v>
      </c>
      <c r="D132" s="295">
        <v>4.76</v>
      </c>
      <c r="E132" s="295"/>
      <c r="F132" s="295">
        <f t="shared" si="5"/>
        <v>1428</v>
      </c>
      <c r="G132" s="296"/>
      <c r="H132" s="294"/>
      <c r="I132" s="295"/>
      <c r="J132" s="295"/>
      <c r="K132" s="295"/>
      <c r="L132" s="296"/>
      <c r="M132" s="295"/>
      <c r="N132" s="294"/>
      <c r="O132" s="294"/>
    </row>
    <row r="133" spans="1:16" ht="18" customHeight="1" x14ac:dyDescent="0.25">
      <c r="A133" s="292"/>
      <c r="B133" s="293">
        <v>42212</v>
      </c>
      <c r="C133" s="294">
        <v>1700</v>
      </c>
      <c r="D133" s="295">
        <v>4.76</v>
      </c>
      <c r="E133" s="295"/>
      <c r="F133" s="295">
        <f t="shared" si="5"/>
        <v>8092</v>
      </c>
      <c r="G133" s="296"/>
      <c r="H133" s="294"/>
      <c r="I133" s="295"/>
      <c r="J133" s="295"/>
      <c r="K133" s="295"/>
      <c r="L133" s="296"/>
      <c r="M133" s="295"/>
      <c r="N133" s="294"/>
      <c r="O133" s="294"/>
    </row>
    <row r="134" spans="1:16" ht="18" customHeight="1" x14ac:dyDescent="0.25">
      <c r="A134" s="292"/>
      <c r="B134" s="293">
        <v>42214</v>
      </c>
      <c r="C134" s="294">
        <v>500</v>
      </c>
      <c r="D134" s="295">
        <v>4.68</v>
      </c>
      <c r="E134" s="295"/>
      <c r="F134" s="295">
        <f t="shared" si="5"/>
        <v>2340</v>
      </c>
      <c r="G134" s="296"/>
      <c r="H134" s="294"/>
      <c r="I134" s="295"/>
      <c r="J134" s="295"/>
      <c r="K134" s="295"/>
      <c r="L134" s="296"/>
      <c r="M134" s="295"/>
      <c r="N134" s="294"/>
      <c r="O134" s="294"/>
    </row>
    <row r="135" spans="1:16" ht="18" customHeight="1" x14ac:dyDescent="0.25">
      <c r="A135" s="292"/>
      <c r="B135" s="293">
        <v>42214</v>
      </c>
      <c r="C135" s="294">
        <v>50</v>
      </c>
      <c r="D135" s="295">
        <v>4.6500000000000004</v>
      </c>
      <c r="E135" s="295"/>
      <c r="F135" s="295">
        <f t="shared" si="5"/>
        <v>232.50000000000003</v>
      </c>
      <c r="G135" s="296"/>
      <c r="H135" s="294"/>
      <c r="I135" s="295"/>
      <c r="J135" s="295"/>
      <c r="K135" s="295"/>
      <c r="L135" s="296"/>
      <c r="M135" s="295"/>
      <c r="N135" s="294"/>
      <c r="O135" s="294"/>
      <c r="P135" s="139" t="s">
        <v>133</v>
      </c>
    </row>
    <row r="136" spans="1:16" ht="18" customHeight="1" x14ac:dyDescent="0.25">
      <c r="A136" s="292"/>
      <c r="B136" s="293">
        <v>42214</v>
      </c>
      <c r="C136" s="294">
        <v>200</v>
      </c>
      <c r="D136" s="295">
        <v>4.63</v>
      </c>
      <c r="E136" s="295"/>
      <c r="F136" s="295">
        <f t="shared" si="5"/>
        <v>926</v>
      </c>
      <c r="G136" s="296"/>
      <c r="H136" s="294"/>
      <c r="I136" s="295"/>
      <c r="J136" s="295"/>
      <c r="K136" s="295"/>
      <c r="L136" s="296"/>
      <c r="M136" s="295"/>
      <c r="N136" s="294"/>
      <c r="O136" s="294"/>
    </row>
    <row r="137" spans="1:16" ht="18" customHeight="1" x14ac:dyDescent="0.25">
      <c r="A137" s="292"/>
      <c r="B137" s="293">
        <v>42214</v>
      </c>
      <c r="C137" s="294">
        <v>300</v>
      </c>
      <c r="D137" s="295">
        <v>4.59</v>
      </c>
      <c r="E137" s="295"/>
      <c r="F137" s="295">
        <f t="shared" si="5"/>
        <v>1377</v>
      </c>
      <c r="G137" s="296"/>
      <c r="H137" s="294"/>
      <c r="I137" s="295"/>
      <c r="J137" s="295"/>
      <c r="K137" s="295"/>
      <c r="L137" s="296"/>
      <c r="M137" s="295"/>
      <c r="N137" s="294"/>
      <c r="O137" s="294"/>
    </row>
    <row r="138" spans="1:16" ht="18" customHeight="1" x14ac:dyDescent="0.25">
      <c r="A138" s="292"/>
      <c r="B138" s="293">
        <v>42214</v>
      </c>
      <c r="C138" s="294">
        <v>500</v>
      </c>
      <c r="D138" s="295">
        <v>4.54</v>
      </c>
      <c r="E138" s="295"/>
      <c r="F138" s="295">
        <f t="shared" si="5"/>
        <v>2270</v>
      </c>
      <c r="G138" s="296"/>
      <c r="H138" s="294"/>
      <c r="I138" s="295"/>
      <c r="J138" s="295"/>
      <c r="K138" s="295"/>
      <c r="L138" s="296"/>
      <c r="M138" s="295"/>
      <c r="N138" s="294"/>
      <c r="O138" s="294"/>
    </row>
    <row r="139" spans="1:16" ht="18" customHeight="1" x14ac:dyDescent="0.25">
      <c r="A139" s="292"/>
      <c r="B139" s="301"/>
      <c r="C139" s="299">
        <f>SUM(C109:C138)</f>
        <v>19200</v>
      </c>
      <c r="D139" s="300"/>
      <c r="E139" s="300"/>
      <c r="F139" s="300">
        <f>SUM(F109:F138)</f>
        <v>96087.5</v>
      </c>
      <c r="G139" s="301"/>
      <c r="H139" s="299">
        <f>SUM(H109:H138)</f>
        <v>19200</v>
      </c>
      <c r="I139" s="300"/>
      <c r="J139" s="300"/>
      <c r="K139" s="300">
        <f>SUM(K109:K138)</f>
        <v>98256.200000000012</v>
      </c>
      <c r="L139" s="301"/>
      <c r="M139" s="300">
        <f>SUM(M109:M138)</f>
        <v>656.25</v>
      </c>
      <c r="N139" s="300">
        <f>K139-F139</f>
        <v>2168.7000000000116</v>
      </c>
      <c r="O139" s="302">
        <f>(N139+M139)/F139</f>
        <v>2.9399765838428637E-2</v>
      </c>
    </row>
    <row r="140" spans="1:16" ht="18" customHeight="1" x14ac:dyDescent="0.25">
      <c r="B140" s="307"/>
      <c r="C140" s="308"/>
      <c r="D140" s="309"/>
      <c r="E140" s="24"/>
      <c r="F140" s="309"/>
      <c r="G140" s="307"/>
      <c r="H140" s="308"/>
      <c r="I140" s="309"/>
      <c r="K140" s="309"/>
      <c r="L140" s="307"/>
      <c r="M140" s="309"/>
      <c r="N140" s="309"/>
      <c r="O140" s="310"/>
    </row>
    <row r="141" spans="1:16" ht="18" customHeight="1" x14ac:dyDescent="0.25">
      <c r="A141" s="374" t="s">
        <v>15</v>
      </c>
      <c r="B141" s="364">
        <v>42153</v>
      </c>
      <c r="C141" s="365">
        <v>1</v>
      </c>
      <c r="D141" s="366">
        <v>26.75</v>
      </c>
      <c r="E141" s="366">
        <v>0</v>
      </c>
      <c r="F141" s="366">
        <f>C141*D141</f>
        <v>26.75</v>
      </c>
      <c r="G141" s="364">
        <v>42226</v>
      </c>
      <c r="H141" s="365">
        <v>170</v>
      </c>
      <c r="I141" s="365">
        <v>22.35</v>
      </c>
      <c r="J141" s="366">
        <v>7.0000000000000007E-2</v>
      </c>
      <c r="K141" s="365">
        <f t="shared" ref="K141:K148" si="7">H141*I141-J141</f>
        <v>3799.4300000000003</v>
      </c>
      <c r="L141" s="365" t="s">
        <v>80</v>
      </c>
      <c r="M141" s="365"/>
      <c r="N141" s="365"/>
      <c r="O141" s="365"/>
      <c r="P141" s="81"/>
    </row>
    <row r="142" spans="1:16" ht="18" customHeight="1" x14ac:dyDescent="0.25">
      <c r="A142" s="375"/>
      <c r="B142" s="364">
        <v>42173</v>
      </c>
      <c r="C142" s="365">
        <v>19</v>
      </c>
      <c r="D142" s="366">
        <v>24.84</v>
      </c>
      <c r="E142" s="366">
        <v>0</v>
      </c>
      <c r="F142" s="366">
        <f t="shared" ref="F142:F155" si="8">C142*D142</f>
        <v>471.96</v>
      </c>
      <c r="G142" s="364">
        <v>42263</v>
      </c>
      <c r="H142" s="365">
        <v>120</v>
      </c>
      <c r="I142" s="365">
        <v>19.28</v>
      </c>
      <c r="J142" s="365">
        <v>0.04</v>
      </c>
      <c r="K142" s="365">
        <f t="shared" si="7"/>
        <v>2313.5600000000004</v>
      </c>
      <c r="L142" s="365"/>
      <c r="M142" s="365"/>
      <c r="N142" s="365"/>
      <c r="O142" s="365"/>
      <c r="P142" s="81"/>
    </row>
    <row r="143" spans="1:16" ht="18" customHeight="1" x14ac:dyDescent="0.25">
      <c r="A143" s="365"/>
      <c r="B143" s="364">
        <v>42184</v>
      </c>
      <c r="C143" s="365">
        <v>10</v>
      </c>
      <c r="D143" s="366">
        <v>24.33</v>
      </c>
      <c r="E143" s="366">
        <v>0</v>
      </c>
      <c r="F143" s="366">
        <f t="shared" si="8"/>
        <v>243.29999999999998</v>
      </c>
      <c r="G143" s="364">
        <v>42284</v>
      </c>
      <c r="H143" s="365">
        <v>40</v>
      </c>
      <c r="I143" s="365">
        <v>20.45</v>
      </c>
      <c r="J143" s="365">
        <v>0.02</v>
      </c>
      <c r="K143" s="365">
        <f t="shared" si="7"/>
        <v>817.98</v>
      </c>
      <c r="L143" s="365"/>
      <c r="M143" s="365"/>
      <c r="N143" s="365"/>
      <c r="O143" s="365"/>
      <c r="P143" s="81"/>
    </row>
    <row r="144" spans="1:16" ht="18" customHeight="1" x14ac:dyDescent="0.25">
      <c r="A144" s="365"/>
      <c r="B144" s="364">
        <v>42185</v>
      </c>
      <c r="C144" s="365">
        <v>5</v>
      </c>
      <c r="D144" s="366">
        <v>23.82</v>
      </c>
      <c r="E144" s="366">
        <v>0</v>
      </c>
      <c r="F144" s="366">
        <f t="shared" si="8"/>
        <v>119.1</v>
      </c>
      <c r="G144" s="364">
        <v>42285</v>
      </c>
      <c r="H144" s="365">
        <v>80</v>
      </c>
      <c r="I144" s="366">
        <v>21.14</v>
      </c>
      <c r="J144" s="366">
        <v>0.03</v>
      </c>
      <c r="K144" s="365">
        <f t="shared" si="7"/>
        <v>1691.17</v>
      </c>
      <c r="L144" s="365"/>
      <c r="M144" s="365"/>
      <c r="N144" s="365"/>
      <c r="O144" s="365"/>
      <c r="P144" s="81"/>
    </row>
    <row r="145" spans="1:17" ht="18" customHeight="1" x14ac:dyDescent="0.25">
      <c r="A145" s="365"/>
      <c r="B145" s="364">
        <v>42185</v>
      </c>
      <c r="C145" s="365">
        <v>15</v>
      </c>
      <c r="D145" s="366">
        <v>23.71</v>
      </c>
      <c r="E145" s="366">
        <v>0</v>
      </c>
      <c r="F145" s="366">
        <f t="shared" si="8"/>
        <v>355.65000000000003</v>
      </c>
      <c r="G145" s="364">
        <v>42010</v>
      </c>
      <c r="H145" s="365">
        <v>60</v>
      </c>
      <c r="I145" s="365">
        <v>17.760000000000002</v>
      </c>
      <c r="J145" s="365">
        <v>0.02</v>
      </c>
      <c r="K145" s="365">
        <f t="shared" si="7"/>
        <v>1065.5800000000002</v>
      </c>
      <c r="L145" s="365"/>
      <c r="M145" s="365"/>
      <c r="N145" s="365"/>
      <c r="O145" s="365"/>
      <c r="P145" s="81"/>
    </row>
    <row r="146" spans="1:17" ht="18" customHeight="1" x14ac:dyDescent="0.25">
      <c r="A146" s="365"/>
      <c r="B146" s="364">
        <v>42185</v>
      </c>
      <c r="C146" s="365">
        <v>30</v>
      </c>
      <c r="D146" s="366">
        <v>23.65</v>
      </c>
      <c r="E146" s="366">
        <v>0</v>
      </c>
      <c r="F146" s="366">
        <f t="shared" si="8"/>
        <v>709.5</v>
      </c>
      <c r="G146" s="364">
        <v>42398</v>
      </c>
      <c r="H146" s="365">
        <v>60</v>
      </c>
      <c r="I146" s="365">
        <v>17.559999999999999</v>
      </c>
      <c r="J146" s="365">
        <v>0.02</v>
      </c>
      <c r="K146" s="365">
        <f t="shared" si="7"/>
        <v>1053.58</v>
      </c>
      <c r="L146" s="365"/>
      <c r="M146" s="365"/>
      <c r="N146" s="365"/>
      <c r="O146" s="365"/>
      <c r="P146" s="81"/>
    </row>
    <row r="147" spans="1:17" ht="18" customHeight="1" x14ac:dyDescent="0.25">
      <c r="A147" s="365"/>
      <c r="B147" s="364">
        <v>42185</v>
      </c>
      <c r="C147" s="365">
        <v>40</v>
      </c>
      <c r="D147" s="366">
        <v>23.2</v>
      </c>
      <c r="E147" s="366">
        <v>0</v>
      </c>
      <c r="F147" s="366">
        <f t="shared" si="8"/>
        <v>928</v>
      </c>
      <c r="G147" s="364">
        <v>42416</v>
      </c>
      <c r="H147" s="365">
        <v>60</v>
      </c>
      <c r="I147" s="365">
        <v>16.82</v>
      </c>
      <c r="J147" s="365">
        <v>0.02</v>
      </c>
      <c r="K147" s="365">
        <f t="shared" si="7"/>
        <v>1009.1800000000001</v>
      </c>
      <c r="L147" s="365"/>
      <c r="M147" s="365"/>
      <c r="N147" s="365"/>
      <c r="O147" s="365"/>
      <c r="P147" s="81"/>
    </row>
    <row r="148" spans="1:17" ht="18" customHeight="1" x14ac:dyDescent="0.25">
      <c r="A148" s="365"/>
      <c r="B148" s="364">
        <v>42185</v>
      </c>
      <c r="C148" s="365">
        <v>50</v>
      </c>
      <c r="D148" s="366">
        <v>22.94</v>
      </c>
      <c r="E148" s="366">
        <v>0</v>
      </c>
      <c r="F148" s="366">
        <f t="shared" si="8"/>
        <v>1147</v>
      </c>
      <c r="G148" s="364">
        <v>42423</v>
      </c>
      <c r="H148" s="365">
        <v>60</v>
      </c>
      <c r="I148" s="365">
        <v>17.84</v>
      </c>
      <c r="J148" s="365">
        <v>0.02</v>
      </c>
      <c r="K148" s="365">
        <f t="shared" si="7"/>
        <v>1070.3800000000001</v>
      </c>
      <c r="L148" s="365"/>
      <c r="M148" s="365"/>
      <c r="N148" s="365"/>
      <c r="O148" s="365"/>
      <c r="P148" s="81"/>
    </row>
    <row r="149" spans="1:17" ht="18" customHeight="1" x14ac:dyDescent="0.25">
      <c r="A149" s="365"/>
      <c r="B149" s="364">
        <v>42209</v>
      </c>
      <c r="C149" s="365">
        <v>50</v>
      </c>
      <c r="D149" s="366">
        <v>19.75</v>
      </c>
      <c r="E149" s="366">
        <v>0</v>
      </c>
      <c r="F149" s="366">
        <f t="shared" si="8"/>
        <v>987.5</v>
      </c>
      <c r="G149" s="365"/>
      <c r="H149" s="365"/>
      <c r="I149" s="365"/>
      <c r="J149" s="365"/>
      <c r="K149" s="365"/>
      <c r="L149" s="365"/>
      <c r="M149" s="365"/>
      <c r="N149" s="365"/>
      <c r="O149" s="365"/>
      <c r="P149" s="81"/>
    </row>
    <row r="150" spans="1:17" ht="18" customHeight="1" x14ac:dyDescent="0.25">
      <c r="A150" s="365"/>
      <c r="B150" s="364">
        <v>42212</v>
      </c>
      <c r="C150" s="365">
        <v>30</v>
      </c>
      <c r="D150" s="366">
        <v>19.2</v>
      </c>
      <c r="E150" s="366">
        <v>0</v>
      </c>
      <c r="F150" s="366">
        <f t="shared" si="8"/>
        <v>576</v>
      </c>
      <c r="G150" s="365"/>
      <c r="H150" s="365"/>
      <c r="I150" s="365"/>
      <c r="J150" s="365"/>
      <c r="K150" s="365"/>
      <c r="L150" s="365"/>
      <c r="M150" s="365"/>
      <c r="N150" s="365"/>
      <c r="O150" s="365"/>
      <c r="P150" s="81"/>
    </row>
    <row r="151" spans="1:17" ht="18" customHeight="1" x14ac:dyDescent="0.25">
      <c r="A151" s="365"/>
      <c r="B151" s="364">
        <v>42240</v>
      </c>
      <c r="C151" s="365">
        <v>40</v>
      </c>
      <c r="D151" s="366">
        <v>19.93</v>
      </c>
      <c r="E151" s="366">
        <v>0</v>
      </c>
      <c r="F151" s="366">
        <f t="shared" si="8"/>
        <v>797.2</v>
      </c>
      <c r="G151" s="365"/>
      <c r="H151" s="365"/>
      <c r="I151" s="365"/>
      <c r="J151" s="365"/>
      <c r="K151" s="365"/>
      <c r="L151" s="365"/>
      <c r="M151" s="365"/>
      <c r="N151" s="365"/>
      <c r="O151" s="365"/>
      <c r="P151" s="81"/>
    </row>
    <row r="152" spans="1:17" ht="18" customHeight="1" x14ac:dyDescent="0.25">
      <c r="A152" s="365"/>
      <c r="B152" s="364">
        <v>42261</v>
      </c>
      <c r="C152" s="365">
        <v>120</v>
      </c>
      <c r="D152" s="366">
        <v>18.7</v>
      </c>
      <c r="E152" s="366">
        <v>0</v>
      </c>
      <c r="F152" s="366">
        <f t="shared" si="8"/>
        <v>2244</v>
      </c>
      <c r="G152" s="365"/>
      <c r="H152" s="365"/>
      <c r="I152" s="365"/>
      <c r="J152" s="365"/>
      <c r="K152" s="365"/>
      <c r="L152" s="365"/>
      <c r="M152" s="365"/>
      <c r="N152" s="365"/>
      <c r="O152" s="365"/>
      <c r="P152" s="81"/>
    </row>
    <row r="153" spans="1:17" ht="18" customHeight="1" x14ac:dyDescent="0.25">
      <c r="A153" s="365"/>
      <c r="B153" s="364">
        <v>42349</v>
      </c>
      <c r="C153" s="365">
        <v>60</v>
      </c>
      <c r="D153" s="366">
        <v>18.04</v>
      </c>
      <c r="E153" s="366">
        <v>0</v>
      </c>
      <c r="F153" s="366">
        <f t="shared" si="8"/>
        <v>1082.3999999999999</v>
      </c>
      <c r="G153" s="365"/>
      <c r="H153" s="365"/>
      <c r="I153" s="365"/>
      <c r="J153" s="365"/>
      <c r="K153" s="365"/>
      <c r="L153" s="365"/>
      <c r="M153" s="365"/>
      <c r="N153" s="365"/>
      <c r="O153" s="365"/>
      <c r="P153" s="81"/>
    </row>
    <row r="154" spans="1:17" ht="18" customHeight="1" x14ac:dyDescent="0.25">
      <c r="A154" s="365"/>
      <c r="B154" s="364">
        <v>42362</v>
      </c>
      <c r="C154" s="365">
        <v>120</v>
      </c>
      <c r="D154" s="366">
        <v>17.079999999999998</v>
      </c>
      <c r="E154" s="366">
        <v>0</v>
      </c>
      <c r="F154" s="366">
        <f t="shared" si="8"/>
        <v>2049.6</v>
      </c>
      <c r="G154" s="365"/>
      <c r="H154" s="365"/>
      <c r="I154" s="365"/>
      <c r="J154" s="365"/>
      <c r="K154" s="365"/>
      <c r="L154" s="365"/>
      <c r="M154" s="365"/>
      <c r="N154" s="365"/>
      <c r="O154" s="365"/>
      <c r="P154" s="81"/>
    </row>
    <row r="155" spans="1:17" ht="18" customHeight="1" x14ac:dyDescent="0.25">
      <c r="A155" s="365"/>
      <c r="B155" s="364">
        <v>42409</v>
      </c>
      <c r="C155" s="365">
        <v>60</v>
      </c>
      <c r="D155" s="366">
        <v>15.45</v>
      </c>
      <c r="E155" s="366">
        <v>0</v>
      </c>
      <c r="F155" s="366">
        <f t="shared" si="8"/>
        <v>927</v>
      </c>
      <c r="G155" s="365"/>
      <c r="H155" s="365"/>
      <c r="I155" s="365"/>
      <c r="J155" s="365"/>
      <c r="K155" s="365"/>
      <c r="L155" s="365"/>
      <c r="M155" s="365"/>
      <c r="N155" s="365"/>
      <c r="O155" s="365"/>
      <c r="P155" s="81"/>
    </row>
    <row r="156" spans="1:17" ht="18" customHeight="1" x14ac:dyDescent="0.25">
      <c r="A156" s="365"/>
      <c r="B156" s="365"/>
      <c r="C156" s="365"/>
      <c r="D156" s="366"/>
      <c r="E156" s="366"/>
      <c r="F156" s="366"/>
      <c r="G156" s="365"/>
      <c r="H156" s="365"/>
      <c r="I156" s="365"/>
      <c r="J156" s="365"/>
      <c r="K156" s="365"/>
      <c r="L156" s="365"/>
      <c r="M156" s="365"/>
      <c r="N156" s="365"/>
      <c r="O156" s="365"/>
      <c r="P156" s="81"/>
    </row>
    <row r="157" spans="1:17" ht="18" customHeight="1" x14ac:dyDescent="0.25">
      <c r="A157" s="365"/>
      <c r="B157" s="365"/>
      <c r="C157" s="365"/>
      <c r="D157" s="366"/>
      <c r="E157" s="366"/>
      <c r="F157" s="366"/>
      <c r="G157" s="365"/>
      <c r="H157" s="365"/>
      <c r="I157" s="365"/>
      <c r="J157" s="365"/>
      <c r="K157" s="365"/>
      <c r="L157" s="365"/>
      <c r="M157" s="365"/>
      <c r="N157" s="365"/>
      <c r="O157" s="36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2" t="s">
        <v>25</v>
      </c>
      <c r="B160" s="293">
        <v>42163</v>
      </c>
      <c r="C160" s="294">
        <v>1</v>
      </c>
      <c r="D160" s="295">
        <v>117.3</v>
      </c>
      <c r="E160" s="296"/>
      <c r="F160" s="295">
        <f>C160*D160</f>
        <v>117.3</v>
      </c>
      <c r="G160" s="293">
        <v>42186</v>
      </c>
      <c r="H160" s="294">
        <v>1</v>
      </c>
      <c r="I160" s="295">
        <v>121.6</v>
      </c>
      <c r="J160" s="294">
        <v>0.01</v>
      </c>
      <c r="K160" s="295">
        <f>H160*I160-J160</f>
        <v>121.58999999999999</v>
      </c>
      <c r="L160" s="296"/>
      <c r="M160" s="295"/>
      <c r="N160" s="295"/>
      <c r="O160" s="297"/>
      <c r="Q160"/>
    </row>
    <row r="161" spans="1:18" ht="18" customHeight="1" x14ac:dyDescent="0.25">
      <c r="A161" s="292"/>
      <c r="B161" s="298"/>
      <c r="C161" s="299">
        <f>SUM(C160)</f>
        <v>1</v>
      </c>
      <c r="D161" s="300"/>
      <c r="E161" s="301"/>
      <c r="F161" s="300">
        <f>SUM(F160)</f>
        <v>117.3</v>
      </c>
      <c r="G161" s="301"/>
      <c r="H161" s="299">
        <f>SUM(H160)</f>
        <v>1</v>
      </c>
      <c r="I161" s="300"/>
      <c r="J161" s="299"/>
      <c r="K161" s="300">
        <f>SUM(K160)</f>
        <v>121.58999999999999</v>
      </c>
      <c r="L161" s="301"/>
      <c r="M161" s="300"/>
      <c r="N161" s="300">
        <f>K161-F161</f>
        <v>4.289999999999992</v>
      </c>
      <c r="O161" s="302">
        <f>(N161+M161)/F161</f>
        <v>3.6572890025575379E-2</v>
      </c>
      <c r="P161" s="139" t="s">
        <v>133</v>
      </c>
      <c r="Q161"/>
    </row>
    <row r="162" spans="1:18" ht="18" customHeight="1" x14ac:dyDescent="0.25">
      <c r="B162" s="307"/>
      <c r="C162" s="308"/>
      <c r="D162" s="309"/>
      <c r="E162" s="309"/>
      <c r="F162" s="309"/>
      <c r="G162" s="307"/>
      <c r="H162" s="308"/>
      <c r="I162" s="309"/>
      <c r="J162" s="309"/>
      <c r="K162" s="309"/>
      <c r="L162" s="307"/>
      <c r="M162" s="309"/>
      <c r="N162" s="309"/>
      <c r="O162" s="310"/>
      <c r="Q162"/>
    </row>
    <row r="163" spans="1:18" ht="18" customHeight="1" x14ac:dyDescent="0.25">
      <c r="A163" s="292" t="s">
        <v>36</v>
      </c>
      <c r="B163" s="293">
        <v>42167</v>
      </c>
      <c r="C163" s="294">
        <v>25</v>
      </c>
      <c r="D163" s="295">
        <v>34.15</v>
      </c>
      <c r="E163" s="295"/>
      <c r="F163" s="295">
        <f>C163*D163</f>
        <v>853.75</v>
      </c>
      <c r="G163" s="293">
        <v>42186</v>
      </c>
      <c r="H163" s="294">
        <v>35</v>
      </c>
      <c r="I163" s="295">
        <v>34.799999999999997</v>
      </c>
      <c r="J163" s="295">
        <v>0.02</v>
      </c>
      <c r="K163" s="295">
        <f>H163*I163-J163</f>
        <v>1217.98</v>
      </c>
      <c r="L163" s="296"/>
      <c r="M163" s="295"/>
      <c r="N163" s="295"/>
      <c r="O163" s="297"/>
      <c r="Q163" s="3"/>
      <c r="R163"/>
    </row>
    <row r="164" spans="1:18" ht="18" customHeight="1" x14ac:dyDescent="0.25">
      <c r="A164" s="292"/>
      <c r="B164" s="293">
        <v>42178</v>
      </c>
      <c r="C164" s="294">
        <v>10</v>
      </c>
      <c r="D164" s="295">
        <v>33.119999999999997</v>
      </c>
      <c r="E164" s="295"/>
      <c r="F164" s="295">
        <f>C164*D164</f>
        <v>331.2</v>
      </c>
      <c r="G164" s="296"/>
      <c r="H164" s="294"/>
      <c r="I164" s="295"/>
      <c r="J164" s="295"/>
      <c r="K164" s="295"/>
      <c r="L164" s="296"/>
      <c r="M164" s="295"/>
      <c r="N164" s="295"/>
      <c r="O164" s="297"/>
      <c r="Q164" s="134"/>
      <c r="R164"/>
    </row>
    <row r="165" spans="1:18" ht="18" customHeight="1" x14ac:dyDescent="0.25">
      <c r="A165" s="292"/>
      <c r="B165" s="298"/>
      <c r="C165" s="299">
        <f>SUM(C163:C164)</f>
        <v>35</v>
      </c>
      <c r="D165" s="300"/>
      <c r="E165" s="300"/>
      <c r="F165" s="300">
        <f>SUM(F163:F164)</f>
        <v>1184.95</v>
      </c>
      <c r="G165" s="301"/>
      <c r="H165" s="299">
        <f>SUM(H163:H164)</f>
        <v>35</v>
      </c>
      <c r="I165" s="300"/>
      <c r="J165" s="300"/>
      <c r="K165" s="300">
        <f>SUM(K163:K164)</f>
        <v>1217.98</v>
      </c>
      <c r="L165" s="301"/>
      <c r="M165" s="300"/>
      <c r="N165" s="300">
        <f>K165-F165</f>
        <v>33.029999999999973</v>
      </c>
      <c r="O165" s="302">
        <f>(N165+M165)/F165</f>
        <v>2.7874593864720007E-2</v>
      </c>
    </row>
    <row r="166" spans="1:18" ht="18" customHeight="1" x14ac:dyDescent="0.25">
      <c r="B166" s="307"/>
      <c r="C166" s="308"/>
      <c r="D166" s="309"/>
      <c r="E166" s="24"/>
      <c r="F166" s="309"/>
      <c r="G166" s="307"/>
      <c r="H166" s="308"/>
      <c r="I166" s="309"/>
      <c r="K166" s="309"/>
      <c r="L166" s="307"/>
      <c r="M166" s="309"/>
      <c r="N166" s="309"/>
      <c r="O166" s="310"/>
    </row>
    <row r="167" spans="1:18" ht="18" customHeight="1" x14ac:dyDescent="0.25">
      <c r="A167" s="654" t="s">
        <v>386</v>
      </c>
      <c r="B167" s="655">
        <v>42767</v>
      </c>
      <c r="C167" s="656">
        <v>35</v>
      </c>
      <c r="D167" s="657">
        <v>69.58</v>
      </c>
      <c r="E167" s="657">
        <v>0</v>
      </c>
      <c r="F167" s="657">
        <f>C167*D167+E167</f>
        <v>2435.2999999999997</v>
      </c>
      <c r="G167" s="655">
        <v>42803</v>
      </c>
      <c r="H167" s="658">
        <v>35</v>
      </c>
      <c r="I167" s="657">
        <v>87.78</v>
      </c>
      <c r="J167" s="657">
        <v>7.0000000000000007E-2</v>
      </c>
      <c r="K167" s="657">
        <f>I167*H167-J167</f>
        <v>3072.23</v>
      </c>
      <c r="L167" s="655">
        <v>42829</v>
      </c>
      <c r="M167" s="656">
        <v>14.44</v>
      </c>
      <c r="N167" s="659"/>
      <c r="O167" s="660"/>
    </row>
    <row r="168" spans="1:18" ht="18" customHeight="1" x14ac:dyDescent="0.25">
      <c r="A168" s="661"/>
      <c r="B168" s="656"/>
      <c r="C168" s="661">
        <f>SUM(C167:C167)</f>
        <v>35</v>
      </c>
      <c r="D168" s="662"/>
      <c r="E168" s="662"/>
      <c r="F168" s="662">
        <f>SUM(F167:F167)</f>
        <v>2435.2999999999997</v>
      </c>
      <c r="G168" s="661"/>
      <c r="H168" s="661">
        <f>SUM(H167:H167)</f>
        <v>35</v>
      </c>
      <c r="I168" s="662"/>
      <c r="J168" s="662"/>
      <c r="K168" s="662">
        <f>SUM(K167:K167)</f>
        <v>3072.23</v>
      </c>
      <c r="L168" s="661"/>
      <c r="M168" s="662">
        <f>SUM(M167:M167)</f>
        <v>14.44</v>
      </c>
      <c r="N168" s="652">
        <f>K168-F168</f>
        <v>636.93000000000029</v>
      </c>
      <c r="O168" s="65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2" t="s">
        <v>14</v>
      </c>
      <c r="B170" s="293">
        <v>42152</v>
      </c>
      <c r="C170" s="294">
        <v>2</v>
      </c>
      <c r="D170" s="295">
        <v>51.22</v>
      </c>
      <c r="E170" s="296"/>
      <c r="F170" s="295">
        <f>C170*D170</f>
        <v>102.44</v>
      </c>
      <c r="G170" s="293">
        <v>42187</v>
      </c>
      <c r="H170" s="294">
        <v>150</v>
      </c>
      <c r="I170" s="295">
        <v>48.92</v>
      </c>
      <c r="J170" s="294">
        <v>0.12</v>
      </c>
      <c r="K170" s="295">
        <f>H170*I170-J170</f>
        <v>7337.88</v>
      </c>
      <c r="L170" s="293">
        <v>42195</v>
      </c>
      <c r="M170" s="295">
        <v>52</v>
      </c>
      <c r="N170" s="295"/>
      <c r="O170" s="297"/>
    </row>
    <row r="171" spans="1:18" ht="18" customHeight="1" x14ac:dyDescent="0.25">
      <c r="A171" s="292"/>
      <c r="B171" s="293">
        <v>42164</v>
      </c>
      <c r="C171" s="294">
        <v>48</v>
      </c>
      <c r="D171" s="295">
        <v>49.9</v>
      </c>
      <c r="E171" s="296"/>
      <c r="F171" s="295">
        <f>C171*D171</f>
        <v>2395.1999999999998</v>
      </c>
      <c r="G171" s="296"/>
      <c r="H171" s="294"/>
      <c r="I171" s="295"/>
      <c r="J171" s="294"/>
      <c r="K171" s="295"/>
      <c r="L171" s="296"/>
      <c r="M171" s="295"/>
      <c r="N171" s="295"/>
      <c r="O171" s="297"/>
    </row>
    <row r="172" spans="1:18" ht="18" customHeight="1" x14ac:dyDescent="0.25">
      <c r="A172" s="292"/>
      <c r="B172" s="293">
        <v>42165</v>
      </c>
      <c r="C172" s="294">
        <v>50</v>
      </c>
      <c r="D172" s="295">
        <v>48.6</v>
      </c>
      <c r="E172" s="296"/>
      <c r="F172" s="295">
        <f>C172*D172</f>
        <v>2430</v>
      </c>
      <c r="G172" s="296"/>
      <c r="H172" s="294"/>
      <c r="I172" s="295"/>
      <c r="J172" s="294"/>
      <c r="K172" s="295"/>
      <c r="L172" s="296"/>
      <c r="M172" s="295"/>
      <c r="N172" s="295"/>
      <c r="O172" s="297"/>
    </row>
    <row r="173" spans="1:18" ht="18" customHeight="1" x14ac:dyDescent="0.25">
      <c r="A173" s="292"/>
      <c r="B173" s="293">
        <v>42173</v>
      </c>
      <c r="C173" s="294">
        <v>25</v>
      </c>
      <c r="D173" s="295">
        <v>47.62</v>
      </c>
      <c r="E173" s="296"/>
      <c r="F173" s="295">
        <f>C173*D173</f>
        <v>1190.5</v>
      </c>
      <c r="G173" s="296"/>
      <c r="H173" s="294"/>
      <c r="I173" s="295"/>
      <c r="J173" s="294"/>
      <c r="K173" s="295"/>
      <c r="L173" s="296"/>
      <c r="M173" s="295"/>
      <c r="N173" s="295"/>
      <c r="O173" s="297"/>
    </row>
    <row r="174" spans="1:18" ht="18" customHeight="1" x14ac:dyDescent="0.25">
      <c r="A174" s="292"/>
      <c r="B174" s="293">
        <v>42173</v>
      </c>
      <c r="C174" s="294">
        <v>25</v>
      </c>
      <c r="D174" s="295">
        <v>47.54</v>
      </c>
      <c r="E174" s="296"/>
      <c r="F174" s="295">
        <f>C174*D174</f>
        <v>1188.5</v>
      </c>
      <c r="G174" s="296"/>
      <c r="H174" s="294"/>
      <c r="I174" s="295"/>
      <c r="J174" s="294"/>
      <c r="K174" s="295"/>
      <c r="L174" s="296"/>
      <c r="M174" s="295"/>
      <c r="N174" s="295"/>
      <c r="O174" s="297"/>
    </row>
    <row r="175" spans="1:18" ht="18" customHeight="1" x14ac:dyDescent="0.25">
      <c r="A175" s="292"/>
      <c r="B175" s="298"/>
      <c r="C175" s="299">
        <f>SUM(C170:C174)</f>
        <v>150</v>
      </c>
      <c r="D175" s="300"/>
      <c r="E175" s="301"/>
      <c r="F175" s="300">
        <f t="shared" ref="F175:M175" si="9">SUM(F170:F174)</f>
        <v>7306.6399999999994</v>
      </c>
      <c r="G175" s="301"/>
      <c r="H175" s="299">
        <f t="shared" si="9"/>
        <v>150</v>
      </c>
      <c r="I175" s="300"/>
      <c r="J175" s="299"/>
      <c r="K175" s="300">
        <f t="shared" si="9"/>
        <v>7337.88</v>
      </c>
      <c r="L175" s="301"/>
      <c r="M175" s="300">
        <f t="shared" si="9"/>
        <v>52</v>
      </c>
      <c r="N175" s="300">
        <f>K175-F175</f>
        <v>31.240000000000691</v>
      </c>
      <c r="O175" s="302">
        <f>(N175+M175)/F175</f>
        <v>1.1392377344442959E-2</v>
      </c>
    </row>
    <row r="176" spans="1:18" ht="18" customHeight="1" x14ac:dyDescent="0.25">
      <c r="B176" s="320"/>
      <c r="C176" s="308"/>
      <c r="D176" s="309"/>
      <c r="E176" s="308"/>
      <c r="F176" s="309"/>
      <c r="G176" s="323"/>
      <c r="H176" s="308"/>
      <c r="I176" s="309"/>
      <c r="J176" s="308"/>
      <c r="K176" s="309"/>
      <c r="L176" s="307"/>
      <c r="M176" s="309"/>
      <c r="N176" s="308"/>
      <c r="O176" s="308"/>
      <c r="P176" s="139" t="s">
        <v>133</v>
      </c>
    </row>
    <row r="177" spans="1:16" ht="18" customHeight="1" x14ac:dyDescent="0.25">
      <c r="A177" s="292" t="s">
        <v>26</v>
      </c>
      <c r="B177" s="293">
        <v>42163</v>
      </c>
      <c r="C177" s="294">
        <v>50</v>
      </c>
      <c r="D177" s="295">
        <v>5.9</v>
      </c>
      <c r="E177" s="294">
        <v>0</v>
      </c>
      <c r="F177" s="295">
        <v>295</v>
      </c>
      <c r="G177" s="322">
        <v>42187</v>
      </c>
      <c r="H177" s="294">
        <v>200</v>
      </c>
      <c r="I177" s="295">
        <v>6.45</v>
      </c>
      <c r="J177" s="294">
        <v>0.02</v>
      </c>
      <c r="K177" s="295">
        <v>1289.98</v>
      </c>
      <c r="L177" s="296"/>
      <c r="M177" s="295"/>
      <c r="N177" s="294"/>
      <c r="O177" s="294"/>
    </row>
    <row r="178" spans="1:16" ht="18" customHeight="1" x14ac:dyDescent="0.25">
      <c r="A178" s="292"/>
      <c r="B178" s="293">
        <v>42163</v>
      </c>
      <c r="C178" s="294">
        <v>100</v>
      </c>
      <c r="D178" s="295">
        <v>6.2</v>
      </c>
      <c r="E178" s="294">
        <v>0</v>
      </c>
      <c r="F178" s="295">
        <v>620</v>
      </c>
      <c r="G178" s="322">
        <v>42261</v>
      </c>
      <c r="H178" s="294">
        <v>450</v>
      </c>
      <c r="I178" s="295">
        <v>6.23</v>
      </c>
      <c r="J178" s="294">
        <v>0.05</v>
      </c>
      <c r="K178" s="295">
        <v>2803.45</v>
      </c>
      <c r="L178" s="296"/>
      <c r="M178" s="295"/>
      <c r="N178" s="294"/>
      <c r="O178" s="294"/>
      <c r="P178"/>
    </row>
    <row r="179" spans="1:16" ht="18" customHeight="1" x14ac:dyDescent="0.25">
      <c r="A179" s="292"/>
      <c r="B179" s="293">
        <v>42187</v>
      </c>
      <c r="C179" s="294">
        <v>200</v>
      </c>
      <c r="D179" s="295">
        <v>6.3</v>
      </c>
      <c r="E179" s="294">
        <v>0</v>
      </c>
      <c r="F179" s="295">
        <v>1260</v>
      </c>
      <c r="G179" s="322"/>
      <c r="H179" s="294"/>
      <c r="I179" s="295"/>
      <c r="J179" s="294"/>
      <c r="K179" s="295"/>
      <c r="L179" s="296"/>
      <c r="M179" s="295"/>
      <c r="N179" s="294"/>
      <c r="O179" s="294"/>
      <c r="P179"/>
    </row>
    <row r="180" spans="1:16" ht="18" customHeight="1" x14ac:dyDescent="0.25">
      <c r="A180" s="292"/>
      <c r="B180" s="293">
        <v>42194</v>
      </c>
      <c r="C180" s="294">
        <v>150</v>
      </c>
      <c r="D180" s="295">
        <v>6.1</v>
      </c>
      <c r="E180" s="294">
        <v>0</v>
      </c>
      <c r="F180" s="295">
        <v>915</v>
      </c>
      <c r="G180" s="322"/>
      <c r="H180" s="294"/>
      <c r="I180" s="295"/>
      <c r="J180" s="294"/>
      <c r="K180" s="295"/>
      <c r="L180" s="296"/>
      <c r="M180" s="295"/>
      <c r="N180" s="294"/>
      <c r="O180" s="294"/>
      <c r="P180"/>
    </row>
    <row r="181" spans="1:16" ht="18" customHeight="1" x14ac:dyDescent="0.25">
      <c r="A181" s="292"/>
      <c r="B181" s="293">
        <v>42240</v>
      </c>
      <c r="C181" s="294">
        <v>150</v>
      </c>
      <c r="D181" s="295">
        <v>5.69</v>
      </c>
      <c r="E181" s="294">
        <v>0</v>
      </c>
      <c r="F181" s="295">
        <v>853.50000000000011</v>
      </c>
      <c r="G181" s="322"/>
      <c r="H181" s="294"/>
      <c r="I181" s="295"/>
      <c r="J181" s="294"/>
      <c r="K181" s="295"/>
      <c r="L181" s="296"/>
      <c r="M181" s="295"/>
      <c r="N181" s="294"/>
      <c r="O181" s="294"/>
      <c r="P181"/>
    </row>
    <row r="182" spans="1:16" ht="18" customHeight="1" x14ac:dyDescent="0.25">
      <c r="A182" s="292"/>
      <c r="B182" s="298"/>
      <c r="C182" s="299">
        <v>650</v>
      </c>
      <c r="D182" s="300"/>
      <c r="E182" s="299"/>
      <c r="F182" s="300">
        <v>3943.5</v>
      </c>
      <c r="G182" s="324"/>
      <c r="H182" s="299">
        <v>650</v>
      </c>
      <c r="I182" s="300"/>
      <c r="J182" s="299"/>
      <c r="K182" s="300">
        <f>SUM(K177:K178)</f>
        <v>4093.43</v>
      </c>
      <c r="L182" s="301"/>
      <c r="M182" s="300"/>
      <c r="N182" s="300">
        <f>K182-F182</f>
        <v>149.92999999999984</v>
      </c>
      <c r="O182" s="302">
        <f>N182/K182</f>
        <v>3.6626985193346374E-2</v>
      </c>
      <c r="P182"/>
    </row>
    <row r="183" spans="1:16" ht="18" customHeight="1" x14ac:dyDescent="0.25">
      <c r="B183" s="320"/>
      <c r="C183" s="308"/>
      <c r="D183" s="309"/>
      <c r="E183" s="308"/>
      <c r="F183" s="309"/>
      <c r="G183" s="323"/>
      <c r="H183" s="308"/>
      <c r="I183" s="309"/>
      <c r="J183" s="308"/>
      <c r="K183" s="309"/>
      <c r="L183" s="307"/>
      <c r="M183" s="309"/>
      <c r="N183" s="308"/>
      <c r="O183" s="308"/>
    </row>
    <row r="184" spans="1:16" ht="18" customHeight="1" x14ac:dyDescent="0.25">
      <c r="A184" s="281" t="s">
        <v>26</v>
      </c>
      <c r="B184" s="282">
        <v>42284</v>
      </c>
      <c r="C184" s="283">
        <v>150</v>
      </c>
      <c r="D184" s="284">
        <v>3.75</v>
      </c>
      <c r="E184" s="284">
        <v>0</v>
      </c>
      <c r="F184" s="284">
        <f>D184*C184</f>
        <v>562.5</v>
      </c>
      <c r="G184" s="282">
        <v>42291</v>
      </c>
      <c r="H184" s="285">
        <v>100</v>
      </c>
      <c r="I184" s="284">
        <v>4.4000000000000004</v>
      </c>
      <c r="J184" s="284">
        <v>0.01</v>
      </c>
      <c r="K184" s="283">
        <f>I184*H184-J184</f>
        <v>439.99000000000007</v>
      </c>
      <c r="L184" s="282"/>
      <c r="M184" s="284"/>
      <c r="N184" s="283"/>
      <c r="O184" s="286"/>
    </row>
    <row r="185" spans="1:16" ht="18" customHeight="1" x14ac:dyDescent="0.25">
      <c r="A185" s="327"/>
      <c r="B185" s="846">
        <v>42338</v>
      </c>
      <c r="C185" s="283">
        <v>50</v>
      </c>
      <c r="D185" s="284">
        <v>3.03</v>
      </c>
      <c r="E185" s="284">
        <v>0</v>
      </c>
      <c r="F185" s="284">
        <f>D185*C185</f>
        <v>151.5</v>
      </c>
      <c r="G185" s="282">
        <v>42333</v>
      </c>
      <c r="H185" s="283">
        <v>50</v>
      </c>
      <c r="I185" s="283">
        <v>3.16</v>
      </c>
      <c r="J185" s="283">
        <v>0.01</v>
      </c>
      <c r="K185" s="283">
        <f>I185*H185-J185</f>
        <v>157.99</v>
      </c>
      <c r="L185" s="283"/>
      <c r="M185" s="283"/>
      <c r="N185" s="283"/>
      <c r="O185" s="286"/>
    </row>
    <row r="186" spans="1:16" ht="18" customHeight="1" x14ac:dyDescent="0.25">
      <c r="A186" s="283"/>
      <c r="B186" s="846"/>
      <c r="C186" s="283">
        <v>2</v>
      </c>
      <c r="D186" s="284">
        <v>3.03</v>
      </c>
      <c r="E186" s="284">
        <v>0</v>
      </c>
      <c r="F186" s="284">
        <f>D186*C186</f>
        <v>6.06</v>
      </c>
      <c r="G186" s="282">
        <v>42339</v>
      </c>
      <c r="H186" s="283">
        <v>50</v>
      </c>
      <c r="I186" s="283">
        <v>3.38</v>
      </c>
      <c r="J186" s="283">
        <v>0.01</v>
      </c>
      <c r="K186" s="283">
        <f>I186*H186-J186</f>
        <v>168.99</v>
      </c>
      <c r="L186" s="283"/>
      <c r="M186" s="283"/>
      <c r="N186" s="283"/>
      <c r="O186" s="286"/>
    </row>
    <row r="187" spans="1:16" ht="18" customHeight="1" x14ac:dyDescent="0.25">
      <c r="A187" s="283"/>
      <c r="B187" s="282">
        <v>42340</v>
      </c>
      <c r="C187" s="283">
        <v>52</v>
      </c>
      <c r="D187" s="284">
        <v>3.2</v>
      </c>
      <c r="E187" s="284">
        <v>0</v>
      </c>
      <c r="F187" s="284">
        <f>D187*C187</f>
        <v>166.4</v>
      </c>
      <c r="G187" s="283"/>
      <c r="H187" s="284">
        <v>54</v>
      </c>
      <c r="I187" s="284">
        <v>1.63</v>
      </c>
      <c r="J187" s="284">
        <v>0</v>
      </c>
      <c r="K187" s="283">
        <f>I187*H187-J187</f>
        <v>88.02</v>
      </c>
      <c r="L187" s="283"/>
      <c r="M187" s="283"/>
      <c r="N187" s="283"/>
      <c r="O187" s="286"/>
    </row>
    <row r="188" spans="1:16" ht="18" customHeight="1" x14ac:dyDescent="0.25">
      <c r="A188" s="286"/>
      <c r="B188" s="286"/>
      <c r="C188" s="286">
        <f>SUM(C184:C187)</f>
        <v>254</v>
      </c>
      <c r="D188" s="286"/>
      <c r="E188" s="289"/>
      <c r="F188" s="286">
        <f>SUM(F184:F187)</f>
        <v>886.45999999999992</v>
      </c>
      <c r="G188" s="286"/>
      <c r="H188" s="290">
        <f>SUM(H184:H187)</f>
        <v>254</v>
      </c>
      <c r="I188" s="286"/>
      <c r="J188" s="286"/>
      <c r="K188" s="286">
        <f>SUM(K184:K187)</f>
        <v>854.99</v>
      </c>
      <c r="L188" s="286"/>
      <c r="M188" s="289">
        <f>SUM(M184:M186)</f>
        <v>0</v>
      </c>
      <c r="N188" s="286">
        <f>K188-F188</f>
        <v>-31.469999999999914</v>
      </c>
      <c r="O188" s="291">
        <f>N188/F188</f>
        <v>-3.5500755815265121E-2</v>
      </c>
      <c r="P188" s="139" t="s">
        <v>133</v>
      </c>
    </row>
    <row r="189" spans="1:16" ht="18" customHeight="1" x14ac:dyDescent="0.25">
      <c r="B189" s="320"/>
      <c r="C189" s="308"/>
      <c r="D189" s="309"/>
      <c r="E189" s="308"/>
      <c r="F189" s="309"/>
      <c r="G189" s="323"/>
      <c r="H189" s="308"/>
      <c r="I189" s="309"/>
      <c r="J189" s="308"/>
      <c r="K189" s="309"/>
      <c r="L189" s="307"/>
      <c r="M189" s="309"/>
      <c r="N189" s="308"/>
      <c r="O189" s="308"/>
    </row>
    <row r="190" spans="1:16" ht="18" customHeight="1" x14ac:dyDescent="0.25">
      <c r="A190" s="292" t="s">
        <v>23</v>
      </c>
      <c r="B190" s="293">
        <v>42153</v>
      </c>
      <c r="C190" s="294">
        <v>50</v>
      </c>
      <c r="D190" s="295">
        <v>37.22</v>
      </c>
      <c r="E190" s="294"/>
      <c r="F190" s="295">
        <f>D190*C190</f>
        <v>1861</v>
      </c>
      <c r="G190" s="322">
        <v>42186</v>
      </c>
      <c r="H190" s="294">
        <v>50</v>
      </c>
      <c r="I190" s="295">
        <v>38.4</v>
      </c>
      <c r="J190" s="294">
        <v>0.04</v>
      </c>
      <c r="K190" s="295">
        <f>H190*I190-J190</f>
        <v>1919.96</v>
      </c>
      <c r="L190" s="296"/>
      <c r="M190" s="295"/>
      <c r="N190" s="294"/>
      <c r="O190" s="294"/>
    </row>
    <row r="191" spans="1:16" ht="18" customHeight="1" x14ac:dyDescent="0.25">
      <c r="A191" s="292"/>
      <c r="B191" s="293">
        <v>42208</v>
      </c>
      <c r="C191" s="294">
        <v>100</v>
      </c>
      <c r="D191" s="295">
        <v>36</v>
      </c>
      <c r="E191" s="296"/>
      <c r="F191" s="295">
        <f>D191*C191</f>
        <v>3600</v>
      </c>
      <c r="G191" s="322">
        <v>42230</v>
      </c>
      <c r="H191" s="294">
        <v>100</v>
      </c>
      <c r="I191" s="295">
        <v>35.96</v>
      </c>
      <c r="J191" s="294">
        <v>7.0000000000000007E-2</v>
      </c>
      <c r="K191" s="295">
        <f>H191*I191-J191</f>
        <v>3595.93</v>
      </c>
      <c r="L191" s="296"/>
      <c r="M191" s="295"/>
      <c r="N191" s="294"/>
      <c r="O191" s="294"/>
      <c r="P191" s="139" t="s">
        <v>133</v>
      </c>
    </row>
    <row r="192" spans="1:16" ht="18" customHeight="1" x14ac:dyDescent="0.25">
      <c r="A192" s="292"/>
      <c r="B192" s="293">
        <v>42209</v>
      </c>
      <c r="C192" s="294">
        <v>20</v>
      </c>
      <c r="D192" s="294">
        <f>709.5/20</f>
        <v>35.475000000000001</v>
      </c>
      <c r="E192" s="294"/>
      <c r="F192" s="295">
        <f>D192*C192</f>
        <v>709.5</v>
      </c>
      <c r="G192" s="322">
        <v>42258</v>
      </c>
      <c r="H192" s="294">
        <v>40</v>
      </c>
      <c r="I192" s="295">
        <v>36.65</v>
      </c>
      <c r="J192" s="294">
        <v>0.03</v>
      </c>
      <c r="K192" s="295">
        <f>H192*I192-J192</f>
        <v>1465.97</v>
      </c>
      <c r="L192" s="296"/>
      <c r="M192" s="295"/>
      <c r="N192" s="294"/>
      <c r="O192" s="294"/>
    </row>
    <row r="193" spans="1:16" ht="18" customHeight="1" x14ac:dyDescent="0.25">
      <c r="A193" s="292"/>
      <c r="B193" s="293">
        <v>42209</v>
      </c>
      <c r="C193" s="294">
        <v>20</v>
      </c>
      <c r="D193" s="295">
        <v>35.03</v>
      </c>
      <c r="E193" s="296"/>
      <c r="F193" s="295">
        <f>D193*C193</f>
        <v>700.6</v>
      </c>
      <c r="G193" s="322"/>
      <c r="H193" s="294"/>
      <c r="I193" s="295"/>
      <c r="J193" s="294"/>
      <c r="K193" s="295"/>
      <c r="L193" s="296"/>
      <c r="M193" s="295"/>
      <c r="N193" s="294"/>
      <c r="O193" s="294"/>
    </row>
    <row r="194" spans="1:16" ht="18" customHeight="1" x14ac:dyDescent="0.25">
      <c r="A194" s="292"/>
      <c r="B194" s="298"/>
      <c r="C194" s="299">
        <v>190</v>
      </c>
      <c r="D194" s="300"/>
      <c r="E194" s="299"/>
      <c r="F194" s="300">
        <f>SUM(F190:F193)</f>
        <v>6871.1</v>
      </c>
      <c r="G194" s="324"/>
      <c r="H194" s="299">
        <v>190</v>
      </c>
      <c r="I194" s="300"/>
      <c r="J194" s="299"/>
      <c r="K194" s="300">
        <f>SUM(K190:K192)</f>
        <v>6981.86</v>
      </c>
      <c r="L194" s="301"/>
      <c r="M194" s="300"/>
      <c r="N194" s="299">
        <f>K194-F194</f>
        <v>110.75999999999931</v>
      </c>
      <c r="O194" s="302">
        <f>(N194+M194)/F194</f>
        <v>1.6119689714892711E-2</v>
      </c>
      <c r="P194" s="139" t="s">
        <v>133</v>
      </c>
    </row>
    <row r="195" spans="1:16" ht="18" customHeight="1" x14ac:dyDescent="0.25">
      <c r="B195" s="307"/>
      <c r="C195" s="308"/>
      <c r="D195" s="309"/>
      <c r="E195" s="309"/>
      <c r="F195" s="309"/>
      <c r="G195" s="307"/>
      <c r="H195" s="308"/>
      <c r="I195" s="309"/>
      <c r="J195" s="309"/>
      <c r="K195" s="309"/>
      <c r="L195" s="307"/>
      <c r="M195" s="309"/>
      <c r="N195" s="309"/>
      <c r="O195" s="310"/>
    </row>
    <row r="196" spans="1:16" ht="18" customHeight="1" x14ac:dyDescent="0.25">
      <c r="A196" s="292" t="s">
        <v>41</v>
      </c>
      <c r="B196" s="293">
        <v>42184</v>
      </c>
      <c r="C196" s="294">
        <v>10</v>
      </c>
      <c r="D196" s="295">
        <v>66</v>
      </c>
      <c r="E196" s="295"/>
      <c r="F196" s="295">
        <f>C196*D196</f>
        <v>660</v>
      </c>
      <c r="G196" s="293">
        <v>42219</v>
      </c>
      <c r="H196" s="294">
        <v>10</v>
      </c>
      <c r="I196" s="295">
        <v>70.45</v>
      </c>
      <c r="J196" s="295">
        <v>0.01</v>
      </c>
      <c r="K196" s="295">
        <f>H196*I196-J196</f>
        <v>704.49</v>
      </c>
      <c r="L196" s="296"/>
      <c r="M196" s="295"/>
      <c r="N196" s="295"/>
      <c r="O196" s="297"/>
    </row>
    <row r="197" spans="1:16" ht="18" customHeight="1" x14ac:dyDescent="0.25">
      <c r="A197" s="292"/>
      <c r="B197" s="298"/>
      <c r="C197" s="299">
        <f>SUM(C196)</f>
        <v>10</v>
      </c>
      <c r="D197" s="300"/>
      <c r="E197" s="300"/>
      <c r="F197" s="300">
        <f>SUM(F196)</f>
        <v>660</v>
      </c>
      <c r="G197" s="301"/>
      <c r="H197" s="299">
        <f>SUM(H196)</f>
        <v>10</v>
      </c>
      <c r="I197" s="300"/>
      <c r="J197" s="300"/>
      <c r="K197" s="300">
        <f>SUM(K196)</f>
        <v>704.49</v>
      </c>
      <c r="L197" s="301"/>
      <c r="M197" s="300"/>
      <c r="N197" s="300">
        <f>K197-F197</f>
        <v>44.490000000000009</v>
      </c>
      <c r="O197" s="302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2" t="s">
        <v>35</v>
      </c>
      <c r="B199" s="293">
        <v>42166</v>
      </c>
      <c r="C199" s="294">
        <v>10</v>
      </c>
      <c r="D199" s="295">
        <v>55.7</v>
      </c>
      <c r="E199" s="295">
        <v>0</v>
      </c>
      <c r="F199" s="295">
        <f t="shared" ref="F199:F225" si="10">C199*D199+E199</f>
        <v>557</v>
      </c>
      <c r="G199" s="293">
        <v>42208</v>
      </c>
      <c r="H199" s="294">
        <v>10</v>
      </c>
      <c r="I199" s="295">
        <v>56</v>
      </c>
      <c r="J199" s="295">
        <v>0.01</v>
      </c>
      <c r="K199" s="295">
        <f t="shared" ref="K199:K222" si="11">H199*I199-J199</f>
        <v>559.99</v>
      </c>
      <c r="L199" s="296"/>
      <c r="M199" s="295"/>
      <c r="N199" s="295"/>
      <c r="O199" s="297"/>
      <c r="P199" s="139"/>
    </row>
    <row r="200" spans="1:16" ht="18" customHeight="1" x14ac:dyDescent="0.25">
      <c r="A200" s="292"/>
      <c r="B200" s="293">
        <v>42205</v>
      </c>
      <c r="C200" s="294">
        <v>10</v>
      </c>
      <c r="D200" s="295">
        <v>52.6</v>
      </c>
      <c r="E200" s="295">
        <v>0</v>
      </c>
      <c r="F200" s="295">
        <f t="shared" si="10"/>
        <v>526</v>
      </c>
      <c r="G200" s="293">
        <v>42234</v>
      </c>
      <c r="H200" s="294">
        <v>25</v>
      </c>
      <c r="I200" s="295">
        <v>50.88</v>
      </c>
      <c r="J200" s="295">
        <v>0.02</v>
      </c>
      <c r="K200" s="295">
        <f t="shared" si="11"/>
        <v>1271.98</v>
      </c>
      <c r="L200" s="296"/>
      <c r="M200" s="295"/>
      <c r="N200" s="295"/>
      <c r="O200" s="297"/>
      <c r="P200" s="139"/>
    </row>
    <row r="201" spans="1:16" ht="18" customHeight="1" x14ac:dyDescent="0.25">
      <c r="A201" s="292"/>
      <c r="B201" s="293">
        <v>42229</v>
      </c>
      <c r="C201" s="294">
        <v>15</v>
      </c>
      <c r="D201" s="295">
        <v>50.9</v>
      </c>
      <c r="E201" s="295">
        <v>0</v>
      </c>
      <c r="F201" s="295">
        <f t="shared" si="10"/>
        <v>763.5</v>
      </c>
      <c r="G201" s="293">
        <v>42314</v>
      </c>
      <c r="H201" s="294">
        <v>150</v>
      </c>
      <c r="I201" s="295">
        <v>31.5</v>
      </c>
      <c r="J201" s="295">
        <v>0.09</v>
      </c>
      <c r="K201" s="295">
        <f t="shared" si="11"/>
        <v>4724.91</v>
      </c>
      <c r="L201" s="296"/>
      <c r="M201" s="295"/>
      <c r="N201" s="295"/>
      <c r="O201" s="297"/>
      <c r="P201" s="139"/>
    </row>
    <row r="202" spans="1:16" ht="18" customHeight="1" x14ac:dyDescent="0.25">
      <c r="A202" s="292"/>
      <c r="B202" s="293">
        <v>42233</v>
      </c>
      <c r="C202" s="294">
        <v>15</v>
      </c>
      <c r="D202" s="295">
        <v>46.8</v>
      </c>
      <c r="E202" s="295">
        <v>0</v>
      </c>
      <c r="F202" s="295">
        <f t="shared" si="10"/>
        <v>702</v>
      </c>
      <c r="G202" s="293">
        <v>42317</v>
      </c>
      <c r="H202" s="294">
        <v>150</v>
      </c>
      <c r="I202" s="295">
        <v>31.5</v>
      </c>
      <c r="J202" s="295">
        <v>0.09</v>
      </c>
      <c r="K202" s="295">
        <f t="shared" si="11"/>
        <v>4724.91</v>
      </c>
      <c r="L202" s="296"/>
      <c r="M202" s="295"/>
      <c r="N202" s="295"/>
      <c r="O202" s="297"/>
      <c r="P202" s="139" t="s">
        <v>133</v>
      </c>
    </row>
    <row r="203" spans="1:16" ht="18" customHeight="1" x14ac:dyDescent="0.25">
      <c r="A203" s="292"/>
      <c r="B203" s="293">
        <v>42233</v>
      </c>
      <c r="C203" s="294">
        <v>20</v>
      </c>
      <c r="D203" s="295">
        <v>47.45</v>
      </c>
      <c r="E203" s="295">
        <v>0</v>
      </c>
      <c r="F203" s="295">
        <f t="shared" si="10"/>
        <v>949</v>
      </c>
      <c r="G203" s="293">
        <v>42340</v>
      </c>
      <c r="H203" s="294">
        <v>150</v>
      </c>
      <c r="I203" s="295">
        <v>30.55</v>
      </c>
      <c r="J203" s="295">
        <v>0.08</v>
      </c>
      <c r="K203" s="295">
        <f t="shared" si="11"/>
        <v>4582.42</v>
      </c>
      <c r="L203" s="296"/>
      <c r="M203" s="295"/>
      <c r="N203" s="295"/>
      <c r="O203" s="297"/>
    </row>
    <row r="204" spans="1:16" ht="18" customHeight="1" x14ac:dyDescent="0.25">
      <c r="A204" s="292"/>
      <c r="B204" s="293">
        <v>42298</v>
      </c>
      <c r="C204" s="294">
        <v>35</v>
      </c>
      <c r="D204" s="295">
        <v>44.3</v>
      </c>
      <c r="E204" s="295">
        <v>0</v>
      </c>
      <c r="F204" s="295">
        <f t="shared" si="10"/>
        <v>1550.5</v>
      </c>
      <c r="G204" s="293">
        <v>42342</v>
      </c>
      <c r="H204" s="294">
        <v>150</v>
      </c>
      <c r="I204" s="295">
        <v>30.45</v>
      </c>
      <c r="J204" s="295">
        <v>0.08</v>
      </c>
      <c r="K204" s="295">
        <f t="shared" si="11"/>
        <v>4567.42</v>
      </c>
      <c r="L204" s="296"/>
      <c r="M204" s="295"/>
      <c r="N204" s="295"/>
      <c r="O204" s="297"/>
    </row>
    <row r="205" spans="1:16" ht="18" customHeight="1" x14ac:dyDescent="0.25">
      <c r="A205" s="292"/>
      <c r="B205" s="293">
        <v>42299</v>
      </c>
      <c r="C205" s="294">
        <v>70</v>
      </c>
      <c r="D205" s="295">
        <v>41.35</v>
      </c>
      <c r="E205" s="295">
        <v>0</v>
      </c>
      <c r="F205" s="295">
        <f t="shared" si="10"/>
        <v>2894.5</v>
      </c>
      <c r="G205" s="293">
        <v>42345</v>
      </c>
      <c r="H205" s="294">
        <v>100</v>
      </c>
      <c r="I205" s="295">
        <v>34.5</v>
      </c>
      <c r="J205" s="295">
        <v>0.06</v>
      </c>
      <c r="K205" s="295">
        <f t="shared" si="11"/>
        <v>3449.94</v>
      </c>
      <c r="L205" s="296"/>
      <c r="M205" s="295"/>
      <c r="N205" s="295"/>
      <c r="O205" s="297"/>
      <c r="P205" s="139"/>
    </row>
    <row r="206" spans="1:16" ht="18" customHeight="1" x14ac:dyDescent="0.25">
      <c r="A206" s="292"/>
      <c r="B206" s="293">
        <v>42299</v>
      </c>
      <c r="C206" s="294">
        <v>60</v>
      </c>
      <c r="D206" s="295">
        <v>40.229999999999997</v>
      </c>
      <c r="E206" s="295">
        <v>0</v>
      </c>
      <c r="F206" s="295">
        <f t="shared" si="10"/>
        <v>2413.7999999999997</v>
      </c>
      <c r="G206" s="293">
        <v>42356</v>
      </c>
      <c r="H206" s="294">
        <v>150</v>
      </c>
      <c r="I206" s="295">
        <v>43.25</v>
      </c>
      <c r="J206" s="295">
        <v>0.12</v>
      </c>
      <c r="K206" s="295">
        <f t="shared" si="11"/>
        <v>6487.38</v>
      </c>
      <c r="L206" s="296"/>
      <c r="M206" s="295"/>
      <c r="N206" s="295"/>
      <c r="O206" s="297"/>
    </row>
    <row r="207" spans="1:16" ht="18" customHeight="1" x14ac:dyDescent="0.25">
      <c r="A207" s="292"/>
      <c r="B207" s="293">
        <v>42300</v>
      </c>
      <c r="C207" s="294">
        <v>100</v>
      </c>
      <c r="D207" s="295">
        <v>39.57</v>
      </c>
      <c r="E207" s="295">
        <v>0</v>
      </c>
      <c r="F207" s="295">
        <f t="shared" si="10"/>
        <v>3957</v>
      </c>
      <c r="G207" s="293">
        <v>42359</v>
      </c>
      <c r="H207" s="294">
        <v>20</v>
      </c>
      <c r="I207" s="295">
        <v>51.05</v>
      </c>
      <c r="J207" s="295">
        <v>0.02</v>
      </c>
      <c r="K207" s="295">
        <f t="shared" si="11"/>
        <v>1020.98</v>
      </c>
      <c r="L207" s="296"/>
      <c r="M207" s="295"/>
      <c r="N207" s="295"/>
      <c r="O207" s="297"/>
    </row>
    <row r="208" spans="1:16" ht="18" customHeight="1" x14ac:dyDescent="0.25">
      <c r="A208" s="292"/>
      <c r="B208" s="293">
        <v>42304</v>
      </c>
      <c r="C208" s="294">
        <v>100</v>
      </c>
      <c r="D208" s="295">
        <v>37.950000000000003</v>
      </c>
      <c r="E208" s="295">
        <v>0</v>
      </c>
      <c r="F208" s="295">
        <f t="shared" si="10"/>
        <v>3795.0000000000005</v>
      </c>
      <c r="G208" s="293">
        <v>42361</v>
      </c>
      <c r="H208" s="294">
        <v>30</v>
      </c>
      <c r="I208" s="295">
        <v>57.95</v>
      </c>
      <c r="J208" s="295">
        <v>0.03</v>
      </c>
      <c r="K208" s="295">
        <f t="shared" si="11"/>
        <v>1738.47</v>
      </c>
      <c r="L208" s="296"/>
      <c r="M208" s="295"/>
      <c r="N208" s="295"/>
      <c r="O208" s="297"/>
      <c r="P208" s="139"/>
    </row>
    <row r="209" spans="1:16" ht="18" customHeight="1" x14ac:dyDescent="0.25">
      <c r="A209" s="292"/>
      <c r="B209" s="293">
        <v>42311</v>
      </c>
      <c r="C209" s="294">
        <v>150</v>
      </c>
      <c r="D209" s="295">
        <v>30.5</v>
      </c>
      <c r="E209" s="295">
        <v>6.95</v>
      </c>
      <c r="F209" s="295">
        <f t="shared" si="10"/>
        <v>4581.95</v>
      </c>
      <c r="G209" s="293">
        <v>42426</v>
      </c>
      <c r="H209" s="294">
        <v>50</v>
      </c>
      <c r="I209" s="295">
        <v>19.149999999999999</v>
      </c>
      <c r="J209" s="295">
        <v>0.02</v>
      </c>
      <c r="K209" s="295">
        <f t="shared" si="11"/>
        <v>957.4799999999999</v>
      </c>
      <c r="L209" s="296"/>
      <c r="M209" s="295"/>
      <c r="N209" s="295"/>
      <c r="O209" s="297"/>
    </row>
    <row r="210" spans="1:16" ht="18" customHeight="1" x14ac:dyDescent="0.25">
      <c r="A210" s="292"/>
      <c r="B210" s="293">
        <v>42314</v>
      </c>
      <c r="C210" s="294">
        <v>150</v>
      </c>
      <c r="D210" s="295">
        <v>30.65</v>
      </c>
      <c r="E210" s="295">
        <v>0</v>
      </c>
      <c r="F210" s="295">
        <f t="shared" si="10"/>
        <v>4597.5</v>
      </c>
      <c r="G210" s="293">
        <v>42430</v>
      </c>
      <c r="H210" s="294">
        <v>75</v>
      </c>
      <c r="I210" s="295">
        <v>18.350000000000001</v>
      </c>
      <c r="J210" s="295">
        <v>0.03</v>
      </c>
      <c r="K210" s="295">
        <f t="shared" si="11"/>
        <v>1376.22</v>
      </c>
      <c r="L210" s="296"/>
      <c r="M210" s="295"/>
      <c r="N210" s="295"/>
      <c r="O210" s="297"/>
    </row>
    <row r="211" spans="1:16" ht="18" customHeight="1" x14ac:dyDescent="0.25">
      <c r="A211" s="292"/>
      <c r="B211" s="293">
        <v>42317</v>
      </c>
      <c r="C211" s="294">
        <v>150</v>
      </c>
      <c r="D211" s="295">
        <v>30.65</v>
      </c>
      <c r="E211" s="295">
        <v>0</v>
      </c>
      <c r="F211" s="295">
        <f t="shared" si="10"/>
        <v>4597.5</v>
      </c>
      <c r="G211" s="293">
        <v>42432</v>
      </c>
      <c r="H211" s="294">
        <v>50</v>
      </c>
      <c r="I211" s="295">
        <v>20.67</v>
      </c>
      <c r="J211" s="295">
        <v>0.02</v>
      </c>
      <c r="K211" s="295">
        <f t="shared" si="11"/>
        <v>1033.48</v>
      </c>
      <c r="L211" s="296"/>
      <c r="M211" s="295"/>
      <c r="N211" s="295"/>
      <c r="O211" s="297"/>
    </row>
    <row r="212" spans="1:16" ht="18" customHeight="1" x14ac:dyDescent="0.25">
      <c r="A212" s="295"/>
      <c r="B212" s="293">
        <v>42340</v>
      </c>
      <c r="C212" s="294">
        <v>150</v>
      </c>
      <c r="D212" s="295">
        <v>30.21</v>
      </c>
      <c r="E212" s="295">
        <v>0</v>
      </c>
      <c r="F212" s="295">
        <f t="shared" si="10"/>
        <v>4531.5</v>
      </c>
      <c r="G212" s="293">
        <v>42437</v>
      </c>
      <c r="H212" s="294">
        <v>25</v>
      </c>
      <c r="I212" s="295">
        <v>26.85</v>
      </c>
      <c r="J212" s="295">
        <v>0.01</v>
      </c>
      <c r="K212" s="295">
        <f t="shared" si="11"/>
        <v>671.24</v>
      </c>
      <c r="L212" s="295"/>
      <c r="M212" s="295"/>
      <c r="N212" s="295"/>
      <c r="O212" s="295"/>
    </row>
    <row r="213" spans="1:16" ht="18" customHeight="1" x14ac:dyDescent="0.25">
      <c r="A213" s="295"/>
      <c r="B213" s="293">
        <v>42408</v>
      </c>
      <c r="C213" s="294">
        <v>25</v>
      </c>
      <c r="D213" s="295">
        <v>26.59</v>
      </c>
      <c r="E213" s="295">
        <v>0</v>
      </c>
      <c r="F213" s="295">
        <f t="shared" si="10"/>
        <v>664.75</v>
      </c>
      <c r="G213" s="293">
        <v>42466</v>
      </c>
      <c r="H213" s="294">
        <v>30</v>
      </c>
      <c r="I213" s="295">
        <v>28.08</v>
      </c>
      <c r="J213" s="295">
        <v>0.02</v>
      </c>
      <c r="K213" s="295">
        <f t="shared" si="11"/>
        <v>842.38</v>
      </c>
      <c r="L213" s="295"/>
      <c r="M213" s="295"/>
      <c r="N213" s="295"/>
      <c r="O213" s="295"/>
    </row>
    <row r="214" spans="1:16" ht="18" customHeight="1" x14ac:dyDescent="0.25">
      <c r="A214" s="295"/>
      <c r="B214" s="293">
        <v>42423</v>
      </c>
      <c r="C214" s="294">
        <v>50</v>
      </c>
      <c r="D214" s="295">
        <v>18.149999999999999</v>
      </c>
      <c r="E214" s="295">
        <v>0</v>
      </c>
      <c r="F214" s="295">
        <f t="shared" si="10"/>
        <v>907.49999999999989</v>
      </c>
      <c r="G214" s="293">
        <v>42471</v>
      </c>
      <c r="H214" s="294">
        <v>30</v>
      </c>
      <c r="I214" s="295">
        <v>29.37</v>
      </c>
      <c r="J214" s="295">
        <v>0.02</v>
      </c>
      <c r="K214" s="295">
        <f t="shared" si="11"/>
        <v>881.08</v>
      </c>
      <c r="L214" s="295"/>
      <c r="M214" s="295"/>
      <c r="N214" s="295"/>
      <c r="O214" s="295"/>
    </row>
    <row r="215" spans="1:16" ht="18" customHeight="1" x14ac:dyDescent="0.25">
      <c r="A215" s="295"/>
      <c r="B215" s="293">
        <v>42426</v>
      </c>
      <c r="C215" s="294">
        <v>50</v>
      </c>
      <c r="D215" s="295">
        <v>18.7</v>
      </c>
      <c r="E215" s="295">
        <v>0</v>
      </c>
      <c r="F215" s="295">
        <f t="shared" si="10"/>
        <v>935</v>
      </c>
      <c r="G215" s="293">
        <v>42480</v>
      </c>
      <c r="H215" s="294">
        <v>100</v>
      </c>
      <c r="I215" s="295">
        <v>31.79</v>
      </c>
      <c r="J215" s="295">
        <v>7.0000000000000007E-2</v>
      </c>
      <c r="K215" s="295">
        <f t="shared" si="11"/>
        <v>3178.93</v>
      </c>
      <c r="L215" s="295"/>
      <c r="M215" s="295"/>
      <c r="N215" s="295"/>
      <c r="O215" s="295"/>
    </row>
    <row r="216" spans="1:16" ht="18" customHeight="1" x14ac:dyDescent="0.25">
      <c r="A216" s="295"/>
      <c r="B216" s="293">
        <v>42430</v>
      </c>
      <c r="C216" s="294">
        <v>75</v>
      </c>
      <c r="D216" s="295">
        <v>17.989999999999998</v>
      </c>
      <c r="E216" s="295">
        <v>0</v>
      </c>
      <c r="F216" s="295">
        <f t="shared" si="10"/>
        <v>1349.2499999999998</v>
      </c>
      <c r="G216" s="293">
        <v>42486</v>
      </c>
      <c r="H216" s="294">
        <v>60</v>
      </c>
      <c r="I216" s="295">
        <v>32.5</v>
      </c>
      <c r="J216" s="295">
        <v>0.04</v>
      </c>
      <c r="K216" s="295">
        <f t="shared" si="11"/>
        <v>1949.96</v>
      </c>
      <c r="L216" s="295"/>
      <c r="M216" s="295"/>
      <c r="N216" s="295"/>
      <c r="O216" s="295"/>
    </row>
    <row r="217" spans="1:16" ht="18" customHeight="1" x14ac:dyDescent="0.25">
      <c r="A217" s="295"/>
      <c r="B217" s="293">
        <v>42451</v>
      </c>
      <c r="C217" s="294">
        <v>30</v>
      </c>
      <c r="D217" s="295">
        <v>25.08</v>
      </c>
      <c r="E217" s="295">
        <v>0</v>
      </c>
      <c r="F217" s="295">
        <f t="shared" si="10"/>
        <v>752.4</v>
      </c>
      <c r="G217" s="293">
        <v>42500</v>
      </c>
      <c r="H217" s="294">
        <v>200</v>
      </c>
      <c r="I217" s="295">
        <v>18.649999999999999</v>
      </c>
      <c r="J217" s="295">
        <v>0.08</v>
      </c>
      <c r="K217" s="295">
        <f t="shared" si="11"/>
        <v>3729.9199999999996</v>
      </c>
      <c r="L217" s="295"/>
      <c r="M217" s="295"/>
      <c r="N217" s="295"/>
      <c r="O217" s="295"/>
      <c r="P217" s="139"/>
    </row>
    <row r="218" spans="1:16" ht="18" customHeight="1" x14ac:dyDescent="0.25">
      <c r="A218" s="295"/>
      <c r="B218" s="293">
        <v>42471</v>
      </c>
      <c r="C218" s="294">
        <v>30</v>
      </c>
      <c r="D218" s="295">
        <v>28.67</v>
      </c>
      <c r="E218" s="295">
        <v>0</v>
      </c>
      <c r="F218" s="295">
        <f t="shared" si="10"/>
        <v>860.1</v>
      </c>
      <c r="G218" s="293">
        <v>42510</v>
      </c>
      <c r="H218" s="294">
        <v>130</v>
      </c>
      <c r="I218" s="295">
        <v>21.35</v>
      </c>
      <c r="J218" s="295">
        <v>0.06</v>
      </c>
      <c r="K218" s="295">
        <f t="shared" si="11"/>
        <v>2775.44</v>
      </c>
      <c r="L218" s="295"/>
      <c r="M218" s="295"/>
      <c r="N218" s="295"/>
      <c r="O218" s="295"/>
    </row>
    <row r="219" spans="1:16" ht="18" customHeight="1" x14ac:dyDescent="0.25">
      <c r="A219" s="295"/>
      <c r="B219" s="293">
        <v>42485</v>
      </c>
      <c r="C219" s="294">
        <v>100</v>
      </c>
      <c r="D219" s="295">
        <v>31.25</v>
      </c>
      <c r="E219" s="295">
        <v>0</v>
      </c>
      <c r="F219" s="295">
        <f t="shared" si="10"/>
        <v>3125</v>
      </c>
      <c r="G219" s="293">
        <v>42513</v>
      </c>
      <c r="H219" s="294">
        <v>70</v>
      </c>
      <c r="I219" s="295">
        <v>23.68</v>
      </c>
      <c r="J219" s="295">
        <v>0.04</v>
      </c>
      <c r="K219" s="295">
        <f t="shared" si="11"/>
        <v>1657.56</v>
      </c>
      <c r="L219" s="295"/>
      <c r="M219" s="295"/>
      <c r="N219" s="295"/>
      <c r="O219" s="295"/>
    </row>
    <row r="220" spans="1:16" ht="18" customHeight="1" x14ac:dyDescent="0.25">
      <c r="A220" s="295"/>
      <c r="B220" s="293">
        <v>42489</v>
      </c>
      <c r="C220" s="294">
        <v>60</v>
      </c>
      <c r="D220" s="295">
        <v>30.51</v>
      </c>
      <c r="E220" s="295">
        <v>0</v>
      </c>
      <c r="F220" s="295">
        <f t="shared" si="10"/>
        <v>1830.6000000000001</v>
      </c>
      <c r="G220" s="293">
        <v>42513</v>
      </c>
      <c r="H220" s="294">
        <v>40</v>
      </c>
      <c r="I220" s="295">
        <v>23.55</v>
      </c>
      <c r="J220" s="295">
        <v>0.02</v>
      </c>
      <c r="K220" s="295">
        <f t="shared" si="11"/>
        <v>941.98</v>
      </c>
      <c r="L220" s="295"/>
      <c r="M220" s="295"/>
      <c r="N220" s="295"/>
      <c r="O220" s="295"/>
    </row>
    <row r="221" spans="1:16" ht="18" customHeight="1" x14ac:dyDescent="0.25">
      <c r="A221" s="295"/>
      <c r="B221" s="293">
        <v>42493</v>
      </c>
      <c r="C221" s="294">
        <v>30</v>
      </c>
      <c r="D221" s="295">
        <v>26.75</v>
      </c>
      <c r="E221" s="295">
        <v>0</v>
      </c>
      <c r="F221" s="295">
        <f t="shared" si="10"/>
        <v>802.5</v>
      </c>
      <c r="G221" s="293">
        <v>42527</v>
      </c>
      <c r="H221" s="294">
        <v>60</v>
      </c>
      <c r="I221" s="295">
        <v>22.79</v>
      </c>
      <c r="J221" s="295">
        <v>0.03</v>
      </c>
      <c r="K221" s="295">
        <f t="shared" si="11"/>
        <v>1367.37</v>
      </c>
      <c r="L221" s="295"/>
      <c r="M221" s="295"/>
      <c r="N221" s="295"/>
      <c r="O221" s="295"/>
    </row>
    <row r="222" spans="1:16" ht="18" customHeight="1" x14ac:dyDescent="0.25">
      <c r="A222" s="295"/>
      <c r="B222" s="293">
        <v>42495</v>
      </c>
      <c r="C222" s="294">
        <v>70</v>
      </c>
      <c r="D222" s="295">
        <v>21.65</v>
      </c>
      <c r="E222" s="295">
        <v>0</v>
      </c>
      <c r="F222" s="295">
        <f t="shared" si="10"/>
        <v>1515.5</v>
      </c>
      <c r="G222" s="293">
        <v>42541</v>
      </c>
      <c r="H222" s="294">
        <v>70</v>
      </c>
      <c r="I222" s="295">
        <v>22.45</v>
      </c>
      <c r="J222" s="295">
        <v>0.03</v>
      </c>
      <c r="K222" s="295">
        <f t="shared" si="11"/>
        <v>1571.47</v>
      </c>
      <c r="L222" s="295"/>
      <c r="M222" s="295"/>
      <c r="N222" s="295"/>
      <c r="O222" s="295"/>
    </row>
    <row r="223" spans="1:16" ht="18" customHeight="1" x14ac:dyDescent="0.25">
      <c r="A223" s="295"/>
      <c r="B223" s="293">
        <v>42500</v>
      </c>
      <c r="C223" s="294">
        <v>200</v>
      </c>
      <c r="D223" s="295">
        <v>18.25</v>
      </c>
      <c r="E223" s="295">
        <v>0</v>
      </c>
      <c r="F223" s="295">
        <f t="shared" si="10"/>
        <v>3650</v>
      </c>
      <c r="G223" s="295"/>
      <c r="H223" s="295"/>
      <c r="I223" s="295"/>
      <c r="J223" s="295"/>
      <c r="K223" s="295"/>
      <c r="L223" s="295"/>
      <c r="M223" s="295"/>
      <c r="N223" s="295"/>
      <c r="O223" s="295"/>
    </row>
    <row r="224" spans="1:16" ht="18" customHeight="1" x14ac:dyDescent="0.25">
      <c r="A224" s="295"/>
      <c r="B224" s="293">
        <v>42500</v>
      </c>
      <c r="C224" s="294">
        <v>100</v>
      </c>
      <c r="D224" s="295">
        <v>16.510000000000002</v>
      </c>
      <c r="E224" s="295">
        <v>0</v>
      </c>
      <c r="F224" s="295">
        <f t="shared" si="10"/>
        <v>1651.0000000000002</v>
      </c>
      <c r="G224" s="295"/>
      <c r="H224" s="295"/>
      <c r="I224" s="295"/>
      <c r="J224" s="295"/>
      <c r="K224" s="295"/>
      <c r="L224" s="295"/>
      <c r="M224" s="295"/>
      <c r="N224" s="295"/>
      <c r="O224" s="295"/>
      <c r="P224" s="139"/>
    </row>
    <row r="225" spans="1:16" ht="18" customHeight="1" x14ac:dyDescent="0.25">
      <c r="A225" s="292"/>
      <c r="B225" s="321">
        <v>42531</v>
      </c>
      <c r="C225" s="294">
        <v>70</v>
      </c>
      <c r="D225" s="319">
        <v>21.65</v>
      </c>
      <c r="E225" s="295">
        <v>0</v>
      </c>
      <c r="F225" s="319">
        <f t="shared" si="10"/>
        <v>1515.5</v>
      </c>
      <c r="G225" s="321"/>
      <c r="H225" s="318"/>
      <c r="I225" s="319"/>
      <c r="J225" s="318"/>
      <c r="K225" s="319"/>
      <c r="L225" s="317"/>
      <c r="M225" s="319"/>
      <c r="N225" s="314"/>
      <c r="O225" s="316"/>
    </row>
    <row r="226" spans="1:16" ht="18" customHeight="1" x14ac:dyDescent="0.25">
      <c r="A226" s="311"/>
      <c r="B226" s="315"/>
      <c r="C226" s="313">
        <f>SUM(C199:C225)</f>
        <v>1925</v>
      </c>
      <c r="D226" s="314"/>
      <c r="E226" s="315"/>
      <c r="F226" s="314">
        <f>SUM(F199:F225)</f>
        <v>55975.85</v>
      </c>
      <c r="G226" s="315"/>
      <c r="H226" s="313">
        <f>SUM(H199:H225)</f>
        <v>1925</v>
      </c>
      <c r="I226" s="314"/>
      <c r="J226" s="313"/>
      <c r="K226" s="314">
        <f>SUM(K199:K225)</f>
        <v>56062.910000000011</v>
      </c>
      <c r="L226" s="315"/>
      <c r="M226" s="314"/>
      <c r="N226" s="314">
        <f>K226-F226</f>
        <v>87.060000000012224</v>
      </c>
      <c r="O226" s="316">
        <f>(N226+M226)/F226</f>
        <v>1.5553135861270928E-3</v>
      </c>
    </row>
    <row r="227" spans="1:16" ht="18" customHeight="1" x14ac:dyDescent="0.25">
      <c r="B227" s="307"/>
      <c r="C227" s="308"/>
      <c r="D227" s="309"/>
      <c r="E227" s="24"/>
      <c r="F227" s="309"/>
      <c r="G227" s="307"/>
      <c r="H227" s="308"/>
      <c r="I227" s="309"/>
      <c r="K227" s="309"/>
      <c r="L227" s="307"/>
      <c r="M227" s="309"/>
      <c r="N227" s="421"/>
      <c r="O227" s="422"/>
      <c r="P227" s="139"/>
    </row>
    <row r="228" spans="1:16" ht="18" customHeight="1" x14ac:dyDescent="0.25">
      <c r="A228" s="292" t="s">
        <v>46</v>
      </c>
      <c r="B228" s="321">
        <v>42185</v>
      </c>
      <c r="C228" s="318">
        <v>20</v>
      </c>
      <c r="D228" s="319">
        <v>28.2</v>
      </c>
      <c r="E228" s="317"/>
      <c r="F228" s="319">
        <f>C228*D228</f>
        <v>564</v>
      </c>
      <c r="G228" s="321">
        <v>42187</v>
      </c>
      <c r="H228" s="318">
        <v>20</v>
      </c>
      <c r="I228" s="319">
        <v>28.75</v>
      </c>
      <c r="J228" s="318">
        <v>0.01</v>
      </c>
      <c r="K228" s="319">
        <f>H228*I228-J228</f>
        <v>574.99</v>
      </c>
      <c r="L228" s="317"/>
      <c r="M228" s="319"/>
      <c r="N228" s="314"/>
      <c r="O228" s="316"/>
      <c r="P228" s="139"/>
    </row>
    <row r="229" spans="1:16" ht="18" customHeight="1" x14ac:dyDescent="0.25">
      <c r="A229" s="311"/>
      <c r="B229" s="315"/>
      <c r="C229" s="313">
        <f>SUM(C228)</f>
        <v>20</v>
      </c>
      <c r="D229" s="314"/>
      <c r="E229" s="315"/>
      <c r="F229" s="314">
        <f>SUM(F228)</f>
        <v>564</v>
      </c>
      <c r="G229" s="315"/>
      <c r="H229" s="313">
        <f>SUM(H228)</f>
        <v>20</v>
      </c>
      <c r="I229" s="314"/>
      <c r="J229" s="313"/>
      <c r="K229" s="314">
        <f>SUM(K228)</f>
        <v>574.99</v>
      </c>
      <c r="L229" s="315"/>
      <c r="M229" s="314"/>
      <c r="N229" s="314">
        <f>K229-F229</f>
        <v>10.990000000000009</v>
      </c>
      <c r="O229" s="316">
        <f>(N229+M229)/F229</f>
        <v>1.9485815602836895E-2</v>
      </c>
    </row>
    <row r="230" spans="1:16" ht="18" customHeight="1" x14ac:dyDescent="0.25">
      <c r="B230" s="307"/>
      <c r="C230" s="308"/>
      <c r="D230" s="309"/>
      <c r="E230" s="309"/>
      <c r="F230" s="309"/>
      <c r="G230" s="307"/>
      <c r="H230" s="308"/>
      <c r="I230" s="309"/>
      <c r="J230" s="309"/>
      <c r="K230" s="309"/>
      <c r="L230" s="307"/>
      <c r="M230" s="309"/>
      <c r="N230" s="309"/>
      <c r="O230" s="310"/>
    </row>
    <row r="231" spans="1:16" ht="18" customHeight="1" x14ac:dyDescent="0.25">
      <c r="A231" s="292" t="s">
        <v>28</v>
      </c>
      <c r="B231" s="293">
        <v>42164</v>
      </c>
      <c r="C231" s="294">
        <v>20</v>
      </c>
      <c r="D231" s="295">
        <v>29.9</v>
      </c>
      <c r="E231" s="295"/>
      <c r="F231" s="295">
        <f>C231*D231</f>
        <v>598</v>
      </c>
      <c r="G231" s="293">
        <v>42187</v>
      </c>
      <c r="H231" s="294">
        <v>40</v>
      </c>
      <c r="I231" s="295">
        <v>30.4</v>
      </c>
      <c r="J231" s="295">
        <v>0.02</v>
      </c>
      <c r="K231" s="295">
        <f>H231*I231-J231</f>
        <v>1215.98</v>
      </c>
      <c r="L231" s="296"/>
      <c r="M231" s="295"/>
      <c r="N231" s="295"/>
      <c r="O231" s="297"/>
      <c r="P231" s="139" t="s">
        <v>133</v>
      </c>
    </row>
    <row r="232" spans="1:16" ht="18" customHeight="1" x14ac:dyDescent="0.25">
      <c r="A232" s="292"/>
      <c r="B232" s="293">
        <v>42166</v>
      </c>
      <c r="C232" s="294">
        <v>20</v>
      </c>
      <c r="D232" s="295">
        <v>29.3</v>
      </c>
      <c r="E232" s="295"/>
      <c r="F232" s="295">
        <f>C232*D232</f>
        <v>586</v>
      </c>
      <c r="G232" s="296"/>
      <c r="H232" s="294"/>
      <c r="I232" s="295"/>
      <c r="J232" s="294"/>
      <c r="K232" s="295"/>
      <c r="L232" s="296"/>
      <c r="M232" s="295"/>
      <c r="N232" s="295"/>
      <c r="O232" s="297"/>
    </row>
    <row r="233" spans="1:16" ht="18" customHeight="1" x14ac:dyDescent="0.25">
      <c r="A233" s="292"/>
      <c r="B233" s="298"/>
      <c r="C233" s="299">
        <f>SUM(C231:C232)</f>
        <v>40</v>
      </c>
      <c r="D233" s="300"/>
      <c r="E233" s="300"/>
      <c r="F233" s="300">
        <f>SUM(F231:F232)</f>
        <v>1184</v>
      </c>
      <c r="G233" s="301"/>
      <c r="H233" s="299">
        <f>SUM(H231:H232)</f>
        <v>40</v>
      </c>
      <c r="I233" s="300"/>
      <c r="J233" s="300"/>
      <c r="K233" s="300">
        <f>SUM(K231:K232)</f>
        <v>1215.98</v>
      </c>
      <c r="L233" s="301"/>
      <c r="M233" s="300"/>
      <c r="N233" s="300">
        <f>K233-F233</f>
        <v>31.980000000000018</v>
      </c>
      <c r="O233" s="302">
        <f>(N233+M233)/F233</f>
        <v>2.7010135135135151E-2</v>
      </c>
      <c r="P233" s="233"/>
    </row>
    <row r="234" spans="1:16" ht="18" customHeight="1" x14ac:dyDescent="0.25">
      <c r="B234" s="320"/>
      <c r="C234" s="308"/>
      <c r="D234" s="309"/>
      <c r="E234" s="308"/>
      <c r="F234" s="309"/>
      <c r="G234" s="307"/>
      <c r="H234" s="308"/>
      <c r="I234" s="309"/>
      <c r="J234" s="308"/>
      <c r="K234" s="309"/>
      <c r="L234" s="307"/>
      <c r="M234" s="309"/>
      <c r="N234" s="307"/>
      <c r="O234" s="307"/>
    </row>
    <row r="235" spans="1:16" ht="18" customHeight="1" x14ac:dyDescent="0.25">
      <c r="A235" s="292" t="s">
        <v>44</v>
      </c>
      <c r="B235" s="293">
        <v>42185</v>
      </c>
      <c r="C235" s="294">
        <v>10</v>
      </c>
      <c r="D235" s="295">
        <v>71.2</v>
      </c>
      <c r="E235" s="294"/>
      <c r="F235" s="295">
        <f>C235*D235</f>
        <v>712</v>
      </c>
      <c r="G235" s="293">
        <v>42228</v>
      </c>
      <c r="H235" s="294">
        <v>10</v>
      </c>
      <c r="I235" s="295">
        <v>75.5</v>
      </c>
      <c r="J235" s="294">
        <v>0.01</v>
      </c>
      <c r="K235" s="295">
        <f>H235*I235-J235</f>
        <v>754.99</v>
      </c>
      <c r="L235" s="293">
        <v>42277</v>
      </c>
      <c r="M235" s="295">
        <v>2.83</v>
      </c>
      <c r="N235" s="296"/>
      <c r="O235" s="296"/>
    </row>
    <row r="236" spans="1:16" ht="18" customHeight="1" x14ac:dyDescent="0.25">
      <c r="A236" s="292"/>
      <c r="B236" s="293">
        <v>42220</v>
      </c>
      <c r="C236" s="294">
        <v>5</v>
      </c>
      <c r="D236" s="295">
        <v>70.650000000000006</v>
      </c>
      <c r="E236" s="295"/>
      <c r="F236" s="295">
        <f>C236*D236</f>
        <v>353.25</v>
      </c>
      <c r="G236" s="293">
        <v>42283</v>
      </c>
      <c r="H236" s="294">
        <v>5</v>
      </c>
      <c r="I236" s="295">
        <v>71.25</v>
      </c>
      <c r="J236" s="294">
        <v>0.01</v>
      </c>
      <c r="K236" s="295">
        <f>H236*I236-J236</f>
        <v>356.24</v>
      </c>
      <c r="L236" s="296"/>
      <c r="M236" s="294"/>
      <c r="N236" s="296"/>
      <c r="O236" s="296"/>
    </row>
    <row r="237" spans="1:16" ht="18" customHeight="1" x14ac:dyDescent="0.25">
      <c r="A237" s="292"/>
      <c r="B237" s="301"/>
      <c r="C237" s="299">
        <f>SUM(C235:C236)</f>
        <v>15</v>
      </c>
      <c r="D237" s="300"/>
      <c r="E237" s="300"/>
      <c r="F237" s="300">
        <f>SUM(F235:F236)</f>
        <v>1065.25</v>
      </c>
      <c r="G237" s="301"/>
      <c r="H237" s="299">
        <f>SUM(H235:H236)</f>
        <v>15</v>
      </c>
      <c r="I237" s="300"/>
      <c r="J237" s="300"/>
      <c r="K237" s="300">
        <f>SUM(K235:K236)</f>
        <v>1111.23</v>
      </c>
      <c r="L237" s="325"/>
      <c r="M237" s="300">
        <f>SUM(M235:M236)</f>
        <v>2.83</v>
      </c>
      <c r="N237" s="300">
        <f>K237-F237</f>
        <v>45.980000000000018</v>
      </c>
      <c r="O237" s="326">
        <f>(N237+M237)/F237</f>
        <v>4.5820229992959413E-2</v>
      </c>
    </row>
    <row r="238" spans="1:16" ht="18" customHeight="1" x14ac:dyDescent="0.25">
      <c r="B238" s="307"/>
      <c r="C238" s="308"/>
      <c r="D238" s="309"/>
      <c r="E238" s="24"/>
      <c r="F238" s="309"/>
      <c r="G238" s="307"/>
      <c r="H238" s="308"/>
      <c r="I238" s="309"/>
      <c r="K238" s="309"/>
      <c r="L238" s="307"/>
      <c r="M238" s="309"/>
      <c r="N238" s="309"/>
      <c r="O238" s="310"/>
    </row>
    <row r="239" spans="1:16" ht="18" customHeight="1" x14ac:dyDescent="0.25">
      <c r="A239" s="292" t="s">
        <v>0</v>
      </c>
      <c r="B239" s="293">
        <v>42144</v>
      </c>
      <c r="C239" s="294">
        <v>50</v>
      </c>
      <c r="D239" s="295">
        <v>130.16999999999999</v>
      </c>
      <c r="E239" s="296"/>
      <c r="F239" s="295">
        <f>C239*D239</f>
        <v>6508.4999999999991</v>
      </c>
      <c r="G239" s="293">
        <v>42186</v>
      </c>
      <c r="H239" s="294">
        <v>50</v>
      </c>
      <c r="I239" s="295">
        <v>133.5</v>
      </c>
      <c r="J239" s="294">
        <v>0.12</v>
      </c>
      <c r="K239" s="295">
        <f>H239*I239-J239</f>
        <v>6674.88</v>
      </c>
      <c r="L239" s="293">
        <v>42200</v>
      </c>
      <c r="M239" s="295">
        <v>7.5</v>
      </c>
      <c r="N239" s="294"/>
      <c r="O239" s="294"/>
    </row>
    <row r="240" spans="1:16" ht="18" customHeight="1" x14ac:dyDescent="0.25">
      <c r="A240" s="292"/>
      <c r="B240" s="298"/>
      <c r="C240" s="299">
        <f>SUM(C239)</f>
        <v>50</v>
      </c>
      <c r="D240" s="300"/>
      <c r="E240" s="301"/>
      <c r="F240" s="300">
        <f>SUM(F239)</f>
        <v>6508.4999999999991</v>
      </c>
      <c r="G240" s="301"/>
      <c r="H240" s="299">
        <f>SUM(H239)</f>
        <v>50</v>
      </c>
      <c r="I240" s="300"/>
      <c r="J240" s="299"/>
      <c r="K240" s="300">
        <f>SUM(K239)</f>
        <v>6674.88</v>
      </c>
      <c r="L240" s="301"/>
      <c r="M240" s="300">
        <f>SUM(M239)</f>
        <v>7.5</v>
      </c>
      <c r="N240" s="300">
        <f>K240-F240</f>
        <v>166.38000000000102</v>
      </c>
      <c r="O240" s="302">
        <f>(N240+M240)/F240</f>
        <v>2.6715833141276953E-2</v>
      </c>
    </row>
    <row r="241" spans="1:20" ht="18" customHeight="1" x14ac:dyDescent="0.25">
      <c r="B241" s="307"/>
      <c r="C241" s="308"/>
      <c r="D241" s="309"/>
      <c r="E241" s="309"/>
      <c r="F241" s="309"/>
      <c r="G241" s="307"/>
      <c r="H241" s="308"/>
      <c r="I241" s="309"/>
      <c r="J241" s="309"/>
      <c r="K241" s="309"/>
      <c r="L241" s="307"/>
      <c r="M241" s="309"/>
      <c r="N241" s="309"/>
      <c r="O241" s="310"/>
    </row>
    <row r="242" spans="1:20" ht="18" customHeight="1" x14ac:dyDescent="0.25">
      <c r="A242" s="292" t="s">
        <v>49</v>
      </c>
      <c r="B242" s="293">
        <v>42186</v>
      </c>
      <c r="C242" s="294">
        <v>100</v>
      </c>
      <c r="D242" s="295">
        <v>27.5</v>
      </c>
      <c r="E242" s="295"/>
      <c r="F242" s="295">
        <f>C242*D242</f>
        <v>2750</v>
      </c>
      <c r="G242" s="293">
        <v>42219</v>
      </c>
      <c r="H242" s="294">
        <v>100</v>
      </c>
      <c r="I242" s="295">
        <v>29.5</v>
      </c>
      <c r="J242" s="294">
        <v>0.05</v>
      </c>
      <c r="K242" s="295">
        <f>H242*I242-J242</f>
        <v>2949.95</v>
      </c>
      <c r="L242" s="293">
        <v>42216</v>
      </c>
      <c r="M242" s="295">
        <v>11</v>
      </c>
      <c r="N242" s="295"/>
      <c r="O242" s="297"/>
    </row>
    <row r="243" spans="1:20" ht="18" customHeight="1" x14ac:dyDescent="0.25">
      <c r="A243" s="292"/>
      <c r="B243" s="298"/>
      <c r="C243" s="299">
        <f>SUM(C242)</f>
        <v>100</v>
      </c>
      <c r="D243" s="300"/>
      <c r="E243" s="301"/>
      <c r="F243" s="300">
        <f>SUM(F242)</f>
        <v>2750</v>
      </c>
      <c r="G243" s="301"/>
      <c r="H243" s="299">
        <f>SUM(H242)</f>
        <v>100</v>
      </c>
      <c r="I243" s="300"/>
      <c r="J243" s="300"/>
      <c r="K243" s="300">
        <f>SUM(K242)</f>
        <v>2949.95</v>
      </c>
      <c r="L243" s="301"/>
      <c r="M243" s="300">
        <v>11</v>
      </c>
      <c r="N243" s="300">
        <f>K243-F243</f>
        <v>199.94999999999982</v>
      </c>
      <c r="O243" s="302">
        <f>(N243+M243)/F243</f>
        <v>7.6709090909090838E-2</v>
      </c>
    </row>
    <row r="244" spans="1:20" ht="18" customHeight="1" x14ac:dyDescent="0.25">
      <c r="B244" s="307"/>
      <c r="C244" s="308"/>
      <c r="D244" s="309"/>
      <c r="E244" s="24"/>
      <c r="F244" s="309"/>
      <c r="G244" s="307"/>
      <c r="H244" s="308"/>
      <c r="I244" s="309"/>
      <c r="K244" s="309"/>
      <c r="L244" s="307"/>
      <c r="M244" s="309"/>
      <c r="N244" s="309"/>
      <c r="O244" s="308"/>
    </row>
    <row r="245" spans="1:20" ht="18" customHeight="1" x14ac:dyDescent="0.25">
      <c r="A245" s="292" t="s">
        <v>13</v>
      </c>
      <c r="B245" s="293">
        <v>42151</v>
      </c>
      <c r="C245" s="294">
        <v>5</v>
      </c>
      <c r="D245" s="295">
        <v>54.2</v>
      </c>
      <c r="E245" s="296"/>
      <c r="F245" s="295">
        <f t="shared" ref="F245:F251" si="12">C245*D245</f>
        <v>271</v>
      </c>
      <c r="G245" s="293">
        <v>42181</v>
      </c>
      <c r="H245" s="294">
        <v>25</v>
      </c>
      <c r="I245" s="295">
        <v>55.4</v>
      </c>
      <c r="J245" s="294">
        <v>0.03</v>
      </c>
      <c r="K245" s="295">
        <f>H245*I245-J245</f>
        <v>1384.97</v>
      </c>
      <c r="L245" s="296"/>
      <c r="M245" s="295"/>
      <c r="N245" s="295"/>
      <c r="O245" s="297"/>
    </row>
    <row r="246" spans="1:20" ht="18" customHeight="1" x14ac:dyDescent="0.25">
      <c r="A246" s="292"/>
      <c r="B246" s="293">
        <v>42152</v>
      </c>
      <c r="C246" s="294">
        <v>20</v>
      </c>
      <c r="D246" s="295">
        <v>53.35</v>
      </c>
      <c r="E246" s="296"/>
      <c r="F246" s="295">
        <f t="shared" si="12"/>
        <v>1067</v>
      </c>
      <c r="G246" s="293">
        <v>42200</v>
      </c>
      <c r="H246" s="294">
        <v>225</v>
      </c>
      <c r="I246" s="295">
        <v>55.56</v>
      </c>
      <c r="J246" s="294">
        <v>0.23</v>
      </c>
      <c r="K246" s="295">
        <f>H246*I246-J246</f>
        <v>12500.77</v>
      </c>
      <c r="L246" s="296"/>
      <c r="M246" s="295"/>
      <c r="N246" s="295"/>
      <c r="O246" s="297"/>
    </row>
    <row r="247" spans="1:20" ht="18" customHeight="1" x14ac:dyDescent="0.25">
      <c r="A247" s="292"/>
      <c r="B247" s="293">
        <v>42153</v>
      </c>
      <c r="C247" s="294">
        <v>25</v>
      </c>
      <c r="D247" s="295">
        <v>52.35</v>
      </c>
      <c r="E247" s="296"/>
      <c r="F247" s="295">
        <f t="shared" si="12"/>
        <v>1308.75</v>
      </c>
      <c r="G247" s="296"/>
      <c r="H247" s="294"/>
      <c r="I247" s="295"/>
      <c r="J247" s="294"/>
      <c r="K247" s="295"/>
      <c r="L247" s="296"/>
      <c r="M247" s="295"/>
      <c r="N247" s="295"/>
      <c r="O247" s="297"/>
    </row>
    <row r="248" spans="1:20" ht="18" customHeight="1" x14ac:dyDescent="0.25">
      <c r="A248" s="292"/>
      <c r="B248" s="293">
        <v>42153</v>
      </c>
      <c r="C248" s="294">
        <v>25</v>
      </c>
      <c r="D248" s="295">
        <v>51.75</v>
      </c>
      <c r="E248" s="296"/>
      <c r="F248" s="295">
        <f t="shared" si="12"/>
        <v>1293.75</v>
      </c>
      <c r="G248" s="296"/>
      <c r="H248" s="294"/>
      <c r="I248" s="295"/>
      <c r="J248" s="294"/>
      <c r="K248" s="295"/>
      <c r="L248" s="296"/>
      <c r="M248" s="295"/>
      <c r="N248" s="295"/>
      <c r="O248" s="297"/>
    </row>
    <row r="249" spans="1:20" ht="18" customHeight="1" x14ac:dyDescent="0.25">
      <c r="A249" s="292"/>
      <c r="B249" s="293">
        <v>42166</v>
      </c>
      <c r="C249" s="294">
        <v>25</v>
      </c>
      <c r="D249" s="295">
        <v>52.1</v>
      </c>
      <c r="E249" s="296"/>
      <c r="F249" s="295">
        <f t="shared" si="12"/>
        <v>1302.5</v>
      </c>
      <c r="G249" s="296"/>
      <c r="H249" s="294"/>
      <c r="I249" s="295"/>
      <c r="J249" s="294"/>
      <c r="K249" s="295"/>
      <c r="L249" s="296"/>
      <c r="M249" s="295"/>
      <c r="N249" s="295"/>
      <c r="O249" s="297"/>
    </row>
    <row r="250" spans="1:20" ht="18" customHeight="1" x14ac:dyDescent="0.25">
      <c r="A250" s="292"/>
      <c r="B250" s="293">
        <v>42166</v>
      </c>
      <c r="C250" s="294">
        <v>50</v>
      </c>
      <c r="D250" s="295">
        <v>51.5</v>
      </c>
      <c r="E250" s="296"/>
      <c r="F250" s="295">
        <f t="shared" si="12"/>
        <v>2575</v>
      </c>
      <c r="G250" s="296"/>
      <c r="H250" s="294"/>
      <c r="I250" s="295"/>
      <c r="J250" s="294"/>
      <c r="K250" s="295"/>
      <c r="L250" s="296"/>
      <c r="M250" s="295"/>
      <c r="N250" s="295"/>
      <c r="O250" s="297"/>
    </row>
    <row r="251" spans="1:20" ht="18" customHeight="1" x14ac:dyDescent="0.25">
      <c r="A251" s="292"/>
      <c r="B251" s="293">
        <v>42166</v>
      </c>
      <c r="C251" s="294">
        <v>100</v>
      </c>
      <c r="D251" s="295">
        <v>51.35</v>
      </c>
      <c r="E251" s="296"/>
      <c r="F251" s="295">
        <f t="shared" si="12"/>
        <v>5135</v>
      </c>
      <c r="G251" s="296"/>
      <c r="H251" s="294"/>
      <c r="I251" s="295"/>
      <c r="J251" s="294"/>
      <c r="K251" s="295"/>
      <c r="L251" s="296"/>
      <c r="M251" s="295"/>
      <c r="N251" s="295"/>
      <c r="O251" s="297"/>
      <c r="Q251" s="433" t="s">
        <v>223</v>
      </c>
      <c r="R251" s="432"/>
      <c r="S251" s="413" t="s">
        <v>218</v>
      </c>
      <c r="T251" s="411"/>
    </row>
    <row r="252" spans="1:20" ht="18" customHeight="1" x14ac:dyDescent="0.25">
      <c r="A252" s="292"/>
      <c r="B252" s="298"/>
      <c r="C252" s="299">
        <f>SUM(C245:C251)</f>
        <v>250</v>
      </c>
      <c r="D252" s="300"/>
      <c r="E252" s="301"/>
      <c r="F252" s="300">
        <f>SUM(F245:F251)</f>
        <v>12953</v>
      </c>
      <c r="G252" s="301"/>
      <c r="H252" s="299">
        <f>SUM(H245:H251)</f>
        <v>250</v>
      </c>
      <c r="I252" s="300"/>
      <c r="J252" s="299"/>
      <c r="K252" s="300">
        <f>SUM(K245:K251)</f>
        <v>13885.74</v>
      </c>
      <c r="L252" s="301"/>
      <c r="M252" s="300"/>
      <c r="N252" s="300">
        <f>K252-F252</f>
        <v>932.73999999999978</v>
      </c>
      <c r="O252" s="302">
        <f>(N252+M252)/F252</f>
        <v>7.2009573071875221E-2</v>
      </c>
      <c r="Q252" s="351">
        <v>42449</v>
      </c>
      <c r="R252" s="432">
        <v>0.02</v>
      </c>
      <c r="S252" s="411">
        <v>2015</v>
      </c>
      <c r="T252" s="411">
        <v>1003.28</v>
      </c>
    </row>
    <row r="253" spans="1:20" ht="18" customHeight="1" x14ac:dyDescent="0.25">
      <c r="B253" s="307"/>
      <c r="C253" s="308"/>
      <c r="D253" s="309"/>
      <c r="E253" s="309"/>
      <c r="F253" s="309"/>
      <c r="G253" s="307"/>
      <c r="H253" s="308"/>
      <c r="I253" s="309"/>
      <c r="J253" s="309"/>
      <c r="K253" s="309"/>
      <c r="L253" s="307"/>
      <c r="M253" s="309"/>
      <c r="N253" s="309"/>
      <c r="O253" s="310"/>
      <c r="Q253" s="351"/>
      <c r="R253" s="432"/>
      <c r="S253" s="451">
        <v>42278</v>
      </c>
      <c r="T253" s="411">
        <v>0.19</v>
      </c>
    </row>
    <row r="254" spans="1:20" ht="18" customHeight="1" x14ac:dyDescent="0.25">
      <c r="A254" s="292" t="s">
        <v>20</v>
      </c>
      <c r="B254" s="293">
        <v>42153</v>
      </c>
      <c r="C254" s="294">
        <v>50</v>
      </c>
      <c r="D254" s="295">
        <v>20.99</v>
      </c>
      <c r="E254" s="296"/>
      <c r="F254" s="295">
        <f>C254*D254</f>
        <v>1049.5</v>
      </c>
      <c r="G254" s="293">
        <v>42186</v>
      </c>
      <c r="H254" s="294">
        <v>297</v>
      </c>
      <c r="I254" s="295">
        <v>19.399999999999999</v>
      </c>
      <c r="J254" s="295">
        <v>0.11</v>
      </c>
      <c r="K254" s="295">
        <f>H254*I254-J254</f>
        <v>5761.69</v>
      </c>
      <c r="L254" s="296"/>
      <c r="M254" s="295"/>
      <c r="N254" s="295"/>
      <c r="O254" s="297"/>
      <c r="Q254" s="351"/>
      <c r="R254" s="432"/>
      <c r="S254" s="451">
        <v>42309</v>
      </c>
      <c r="T254" s="411">
        <v>0.26</v>
      </c>
    </row>
    <row r="255" spans="1:20" ht="18" customHeight="1" x14ac:dyDescent="0.25">
      <c r="A255" s="292"/>
      <c r="B255" s="293">
        <v>42185</v>
      </c>
      <c r="C255" s="294">
        <v>100</v>
      </c>
      <c r="D255" s="295">
        <v>20.6</v>
      </c>
      <c r="E255" s="295"/>
      <c r="F255" s="295">
        <f>C255*D255</f>
        <v>2060</v>
      </c>
      <c r="G255" s="293">
        <v>42186</v>
      </c>
      <c r="H255" s="294">
        <v>300</v>
      </c>
      <c r="I255" s="295">
        <v>20.28</v>
      </c>
      <c r="J255" s="295">
        <v>0.11</v>
      </c>
      <c r="K255" s="295">
        <f>H255*I255-J255</f>
        <v>6083.89</v>
      </c>
      <c r="L255" s="296"/>
      <c r="M255" s="295"/>
      <c r="N255" s="295"/>
      <c r="O255" s="297"/>
      <c r="Q255" s="350"/>
      <c r="R255" s="432"/>
      <c r="S255" s="451">
        <v>42339</v>
      </c>
      <c r="T255" s="411">
        <v>0.23</v>
      </c>
    </row>
    <row r="256" spans="1:20" ht="18" customHeight="1" x14ac:dyDescent="0.25">
      <c r="A256" s="292"/>
      <c r="B256" s="293">
        <v>42186</v>
      </c>
      <c r="C256" s="294">
        <v>150</v>
      </c>
      <c r="D256" s="295">
        <v>19.95</v>
      </c>
      <c r="E256" s="295"/>
      <c r="F256" s="295">
        <f>C256*D256</f>
        <v>2992.5</v>
      </c>
      <c r="G256" s="293">
        <v>42186</v>
      </c>
      <c r="H256" s="294">
        <v>300</v>
      </c>
      <c r="I256" s="295">
        <v>19.75</v>
      </c>
      <c r="J256" s="295">
        <v>0.11</v>
      </c>
      <c r="K256" s="295">
        <f>H256*I256-J256</f>
        <v>5924.89</v>
      </c>
      <c r="L256" s="296"/>
      <c r="M256" s="295"/>
      <c r="N256" s="295"/>
      <c r="O256" s="297"/>
      <c r="Q256" s="350"/>
      <c r="R256" s="432"/>
      <c r="S256" s="451">
        <v>42370</v>
      </c>
      <c r="T256" s="411">
        <v>0.08</v>
      </c>
    </row>
    <row r="257" spans="1:21" ht="18" customHeight="1" x14ac:dyDescent="0.25">
      <c r="A257" s="292"/>
      <c r="B257" s="293">
        <v>42186</v>
      </c>
      <c r="C257" s="294">
        <v>300</v>
      </c>
      <c r="D257" s="295">
        <v>19.7</v>
      </c>
      <c r="E257" s="296"/>
      <c r="F257" s="295">
        <f>C257*D257</f>
        <v>5910</v>
      </c>
      <c r="G257" s="296"/>
      <c r="H257" s="294"/>
      <c r="I257" s="295"/>
      <c r="J257" s="295"/>
      <c r="K257" s="295"/>
      <c r="L257" s="296"/>
      <c r="M257" s="295"/>
      <c r="N257" s="295"/>
      <c r="O257" s="297"/>
      <c r="Q257" s="350"/>
      <c r="R257" s="432"/>
      <c r="S257" s="451">
        <v>42401</v>
      </c>
      <c r="T257" s="411">
        <v>0.57999999999999996</v>
      </c>
    </row>
    <row r="258" spans="1:21" ht="18" customHeight="1" x14ac:dyDescent="0.25">
      <c r="A258" s="292"/>
      <c r="B258" s="293">
        <v>42186</v>
      </c>
      <c r="C258" s="294">
        <v>297</v>
      </c>
      <c r="D258" s="295">
        <v>19.13</v>
      </c>
      <c r="E258" s="295"/>
      <c r="F258" s="295">
        <f>C258*D258</f>
        <v>5681.61</v>
      </c>
      <c r="G258" s="296"/>
      <c r="H258" s="294"/>
      <c r="I258" s="295"/>
      <c r="J258" s="295"/>
      <c r="K258" s="295"/>
      <c r="L258" s="296"/>
      <c r="M258" s="295"/>
      <c r="N258" s="295"/>
      <c r="O258" s="297"/>
      <c r="Q258" s="350"/>
      <c r="R258" s="432"/>
      <c r="S258" s="451">
        <v>42430</v>
      </c>
      <c r="T258" s="411">
        <v>0.68</v>
      </c>
    </row>
    <row r="259" spans="1:21" ht="18" customHeight="1" x14ac:dyDescent="0.25">
      <c r="A259" s="292"/>
      <c r="B259" s="298"/>
      <c r="C259" s="299">
        <f>SUM(C254:C258)</f>
        <v>897</v>
      </c>
      <c r="D259" s="300"/>
      <c r="E259" s="300"/>
      <c r="F259" s="300">
        <f>SUM(F254:F258)</f>
        <v>17693.61</v>
      </c>
      <c r="G259" s="301"/>
      <c r="H259" s="299">
        <f>SUM(H254:H258)</f>
        <v>897</v>
      </c>
      <c r="I259" s="300"/>
      <c r="J259" s="300"/>
      <c r="K259" s="300">
        <f>SUM(K254:K258)</f>
        <v>17770.47</v>
      </c>
      <c r="L259" s="301"/>
      <c r="M259" s="300"/>
      <c r="N259" s="300">
        <f>K259-F259</f>
        <v>76.860000000000582</v>
      </c>
      <c r="O259" s="302">
        <f>(N259+M259)/F259</f>
        <v>4.3439411177255841E-3</v>
      </c>
      <c r="Q259" s="350"/>
      <c r="R259" s="432"/>
      <c r="S259" s="451">
        <v>42461</v>
      </c>
      <c r="T259" s="411">
        <v>0.37</v>
      </c>
    </row>
    <row r="260" spans="1:21" ht="18" customHeight="1" x14ac:dyDescent="0.25">
      <c r="B260" s="307"/>
      <c r="C260" s="308"/>
      <c r="D260" s="309"/>
      <c r="E260" s="24"/>
      <c r="F260" s="309"/>
      <c r="G260" s="307"/>
      <c r="H260" s="308"/>
      <c r="I260" s="309"/>
      <c r="K260" s="309"/>
      <c r="L260" s="307"/>
      <c r="M260" s="309"/>
      <c r="N260" s="309"/>
      <c r="O260" s="310"/>
      <c r="Q260" s="350"/>
      <c r="R260" s="432"/>
      <c r="S260" s="451">
        <v>42491</v>
      </c>
      <c r="T260" s="411">
        <v>0.13</v>
      </c>
    </row>
    <row r="261" spans="1:21" ht="18" customHeight="1" x14ac:dyDescent="0.25">
      <c r="A261" s="292" t="s">
        <v>31</v>
      </c>
      <c r="B261" s="293">
        <v>42165</v>
      </c>
      <c r="C261" s="294">
        <v>1</v>
      </c>
      <c r="D261" s="295">
        <v>73.03</v>
      </c>
      <c r="E261" s="296"/>
      <c r="F261" s="295">
        <f>C261*D261</f>
        <v>73.03</v>
      </c>
      <c r="G261" s="293">
        <v>42195</v>
      </c>
      <c r="H261" s="294">
        <v>1</v>
      </c>
      <c r="I261" s="295">
        <v>73.5</v>
      </c>
      <c r="J261" s="294">
        <v>0.01</v>
      </c>
      <c r="K261" s="295">
        <f>H261*I261-J261</f>
        <v>73.489999999999995</v>
      </c>
      <c r="L261" s="296"/>
      <c r="M261" s="295"/>
      <c r="N261" s="295"/>
      <c r="O261" s="297"/>
      <c r="Q261" s="350"/>
      <c r="R261" s="432"/>
      <c r="S261" s="451">
        <v>42552</v>
      </c>
      <c r="T261" s="411">
        <v>0.64</v>
      </c>
    </row>
    <row r="262" spans="1:21" ht="18" customHeight="1" x14ac:dyDescent="0.25">
      <c r="A262" s="292"/>
      <c r="B262" s="298"/>
      <c r="C262" s="299">
        <f>SUM(C261)</f>
        <v>1</v>
      </c>
      <c r="D262" s="300"/>
      <c r="E262" s="301"/>
      <c r="F262" s="300">
        <f>SUM(F261)</f>
        <v>73.03</v>
      </c>
      <c r="G262" s="301"/>
      <c r="H262" s="299">
        <f>SUM(H261)</f>
        <v>1</v>
      </c>
      <c r="I262" s="300"/>
      <c r="J262" s="299"/>
      <c r="K262" s="300">
        <f>SUM(K261)</f>
        <v>73.489999999999995</v>
      </c>
      <c r="L262" s="301"/>
      <c r="M262" s="300"/>
      <c r="N262" s="300">
        <f>K262-F262</f>
        <v>0.45999999999999375</v>
      </c>
      <c r="O262" s="302">
        <f>(N262+M262)/F262</f>
        <v>6.2987813227439919E-3</v>
      </c>
      <c r="Q262" s="350"/>
      <c r="R262" s="432"/>
      <c r="S262" s="451">
        <v>42580</v>
      </c>
      <c r="T262" s="411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0"/>
      <c r="R263" s="432"/>
      <c r="S263" s="451">
        <v>42582</v>
      </c>
      <c r="T263" s="41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0"/>
      <c r="R264" s="432"/>
      <c r="S264" s="451">
        <v>42608</v>
      </c>
      <c r="T264" s="41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0"/>
      <c r="R265" s="432"/>
      <c r="S265" s="451">
        <v>42614</v>
      </c>
      <c r="T265" s="411">
        <v>0.23</v>
      </c>
    </row>
    <row r="266" spans="1:21" ht="18" customHeight="1" x14ac:dyDescent="0.25">
      <c r="M266" s="25" t="s">
        <v>152</v>
      </c>
      <c r="N266" s="508">
        <f>T302</f>
        <v>1100.9800000000005</v>
      </c>
      <c r="Q266" s="350"/>
      <c r="R266" s="432"/>
      <c r="S266" s="451">
        <v>42639</v>
      </c>
      <c r="T266" s="411">
        <v>0.56999999999999995</v>
      </c>
    </row>
    <row r="267" spans="1:21" ht="18" customHeight="1" x14ac:dyDescent="0.25">
      <c r="M267" s="25" t="s">
        <v>129</v>
      </c>
      <c r="N267" s="141">
        <f>SUM(ACTIVE!L:L)</f>
        <v>52202.387666668292</v>
      </c>
      <c r="Q267" s="350"/>
      <c r="R267" s="432"/>
      <c r="S267" s="451">
        <v>42644</v>
      </c>
      <c r="T267" s="411">
        <v>0.14000000000000001</v>
      </c>
    </row>
    <row r="268" spans="1:21" ht="18" customHeight="1" x14ac:dyDescent="0.25">
      <c r="Q268" s="350"/>
      <c r="R268" s="432"/>
      <c r="S268" s="451">
        <v>42674</v>
      </c>
      <c r="T268" s="411">
        <v>0.45</v>
      </c>
    </row>
    <row r="269" spans="1:21" ht="18" customHeight="1" x14ac:dyDescent="0.25">
      <c r="M269" s="25" t="s">
        <v>143</v>
      </c>
      <c r="N269" s="141">
        <f>SUM(N264:N267)</f>
        <v>50991.18766666836</v>
      </c>
      <c r="Q269" s="350"/>
      <c r="R269" s="432"/>
      <c r="S269" s="451">
        <v>42704</v>
      </c>
      <c r="T269" s="411">
        <v>0.43</v>
      </c>
    </row>
    <row r="270" spans="1:21" ht="18" customHeight="1" x14ac:dyDescent="0.25">
      <c r="M270" s="25" t="s">
        <v>144</v>
      </c>
      <c r="N270" s="141">
        <f>Balance!AA2</f>
        <v>50989.650000000023</v>
      </c>
      <c r="Q270" s="350"/>
      <c r="R270" s="432"/>
      <c r="S270" s="451">
        <v>43099</v>
      </c>
      <c r="T270" s="411">
        <v>0.64</v>
      </c>
    </row>
    <row r="271" spans="1:21" ht="18" customHeight="1" x14ac:dyDescent="0.25">
      <c r="M271" s="25" t="s">
        <v>191</v>
      </c>
      <c r="N271" s="509">
        <f>1.5+R302</f>
        <v>1.52</v>
      </c>
      <c r="O271" s="341"/>
      <c r="Q271" s="350"/>
      <c r="R271" s="432"/>
      <c r="S271" s="451">
        <v>42760</v>
      </c>
      <c r="T271" s="411">
        <v>0.56999999999999995</v>
      </c>
    </row>
    <row r="272" spans="1:21" ht="18" customHeight="1" x14ac:dyDescent="0.25">
      <c r="Q272" s="350"/>
      <c r="R272" s="432"/>
      <c r="S272" s="451">
        <v>42767</v>
      </c>
      <c r="T272" s="411">
        <v>0.12</v>
      </c>
    </row>
    <row r="273" spans="13:20" ht="18" customHeight="1" x14ac:dyDescent="0.25">
      <c r="M273" s="25" t="s">
        <v>131</v>
      </c>
      <c r="N273" s="510">
        <f>N269-N271-N270</f>
        <v>1.7666668340098113E-2</v>
      </c>
      <c r="Q273" s="350"/>
      <c r="R273" s="432"/>
      <c r="S273" s="451">
        <v>42794</v>
      </c>
      <c r="T273" s="411">
        <v>0.28000000000000003</v>
      </c>
    </row>
    <row r="274" spans="13:20" ht="18" customHeight="1" x14ac:dyDescent="0.25">
      <c r="Q274" s="350"/>
      <c r="R274" s="432"/>
      <c r="S274" s="451">
        <v>42824</v>
      </c>
      <c r="T274" s="411">
        <v>0.81</v>
      </c>
    </row>
    <row r="275" spans="13:20" ht="18" customHeight="1" x14ac:dyDescent="0.25">
      <c r="Q275" s="350"/>
      <c r="R275" s="432"/>
      <c r="S275" s="451">
        <v>42851</v>
      </c>
      <c r="T275" s="411">
        <v>0.93</v>
      </c>
    </row>
    <row r="276" spans="13:20" ht="18" customHeight="1" x14ac:dyDescent="0.25">
      <c r="Q276" s="350"/>
      <c r="R276" s="432"/>
      <c r="S276" s="451">
        <v>42853</v>
      </c>
      <c r="T276" s="411">
        <v>7.0000000000000007E-2</v>
      </c>
    </row>
    <row r="277" spans="13:20" ht="18" customHeight="1" x14ac:dyDescent="0.25">
      <c r="Q277" s="350"/>
      <c r="R277" s="432"/>
      <c r="S277" s="451">
        <v>42877</v>
      </c>
      <c r="T277" s="411">
        <v>0.56000000000000005</v>
      </c>
    </row>
    <row r="278" spans="13:20" ht="18" customHeight="1" x14ac:dyDescent="0.25">
      <c r="Q278" s="350"/>
      <c r="R278" s="432"/>
      <c r="S278" s="451">
        <v>42887</v>
      </c>
      <c r="T278" s="411">
        <v>0.24</v>
      </c>
    </row>
    <row r="279" spans="13:20" ht="18" customHeight="1" x14ac:dyDescent="0.25">
      <c r="Q279" s="350"/>
      <c r="R279" s="432"/>
      <c r="S279" s="451">
        <v>42908</v>
      </c>
      <c r="T279" s="411">
        <v>0.42</v>
      </c>
    </row>
    <row r="280" spans="13:20" ht="18" customHeight="1" x14ac:dyDescent="0.25">
      <c r="Q280" s="350"/>
      <c r="R280" s="432"/>
      <c r="S280" s="451">
        <v>42916</v>
      </c>
      <c r="T280" s="411">
        <v>1.02</v>
      </c>
    </row>
    <row r="281" spans="13:20" ht="18" customHeight="1" x14ac:dyDescent="0.25">
      <c r="Q281" s="350"/>
      <c r="R281" s="432"/>
      <c r="S281" s="451">
        <v>42947</v>
      </c>
      <c r="T281" s="411">
        <v>7.97</v>
      </c>
    </row>
    <row r="282" spans="13:20" ht="18" customHeight="1" x14ac:dyDescent="0.25">
      <c r="Q282" s="350"/>
      <c r="R282" s="432"/>
      <c r="S282" s="451">
        <v>42965</v>
      </c>
      <c r="T282" s="411">
        <v>3.88</v>
      </c>
    </row>
    <row r="283" spans="13:20" ht="18" customHeight="1" x14ac:dyDescent="0.25">
      <c r="Q283" s="350"/>
      <c r="R283" s="432"/>
      <c r="S283" s="451">
        <v>42978</v>
      </c>
      <c r="T283" s="411">
        <v>2.72</v>
      </c>
    </row>
    <row r="284" spans="13:20" ht="18" customHeight="1" x14ac:dyDescent="0.25">
      <c r="Q284" s="350"/>
      <c r="R284" s="432"/>
      <c r="S284" s="451">
        <v>43007</v>
      </c>
      <c r="T284" s="411">
        <v>7.89</v>
      </c>
    </row>
    <row r="285" spans="13:20" ht="18" customHeight="1" x14ac:dyDescent="0.25">
      <c r="Q285" s="350"/>
      <c r="R285" s="432"/>
      <c r="S285" s="451">
        <v>43035</v>
      </c>
      <c r="T285" s="411">
        <v>10.63</v>
      </c>
    </row>
    <row r="286" spans="13:20" ht="18" customHeight="1" x14ac:dyDescent="0.25">
      <c r="Q286" s="350"/>
      <c r="R286" s="432"/>
      <c r="S286" s="451">
        <v>43039</v>
      </c>
      <c r="T286" s="411">
        <v>0.96</v>
      </c>
    </row>
    <row r="287" spans="13:20" ht="18" customHeight="1" x14ac:dyDescent="0.25">
      <c r="Q287" s="350"/>
      <c r="R287" s="432"/>
      <c r="S287" s="451">
        <v>11628</v>
      </c>
      <c r="T287" s="411">
        <v>5.66</v>
      </c>
    </row>
    <row r="288" spans="13:20" ht="18" customHeight="1" x14ac:dyDescent="0.25">
      <c r="Q288" s="350"/>
      <c r="R288" s="432"/>
      <c r="S288" s="451">
        <v>43098</v>
      </c>
      <c r="T288" s="411">
        <v>9.77</v>
      </c>
    </row>
    <row r="289" spans="1:20" ht="18" customHeight="1" x14ac:dyDescent="0.25">
      <c r="Q289" s="350"/>
      <c r="R289" s="432"/>
      <c r="S289" s="451">
        <v>43132</v>
      </c>
      <c r="T289" s="411">
        <v>16.059999999999999</v>
      </c>
    </row>
    <row r="290" spans="1:20" ht="18" customHeight="1" x14ac:dyDescent="0.25">
      <c r="Q290" s="350"/>
      <c r="R290" s="432"/>
      <c r="S290" s="451">
        <v>43139</v>
      </c>
      <c r="T290" s="411">
        <v>4.05</v>
      </c>
    </row>
    <row r="291" spans="1:20" ht="18" customHeight="1" x14ac:dyDescent="0.25">
      <c r="Q291" s="350"/>
      <c r="R291" s="432"/>
      <c r="S291" s="451">
        <v>43149</v>
      </c>
      <c r="T291" s="411">
        <v>10.16</v>
      </c>
    </row>
    <row r="292" spans="1:20" ht="18" customHeight="1" x14ac:dyDescent="0.25">
      <c r="Q292" s="350"/>
      <c r="R292" s="432"/>
      <c r="S292" s="451">
        <v>43171</v>
      </c>
      <c r="T292" s="411">
        <v>4.3600000000000003</v>
      </c>
    </row>
    <row r="293" spans="1:20" ht="18" customHeight="1" x14ac:dyDescent="0.25">
      <c r="Q293" s="350"/>
      <c r="R293" s="432"/>
      <c r="S293" s="451">
        <v>43191</v>
      </c>
      <c r="T293" s="411">
        <v>2.91</v>
      </c>
    </row>
    <row r="294" spans="1:20" ht="18" customHeight="1" x14ac:dyDescent="0.25">
      <c r="Q294" s="350"/>
      <c r="R294" s="432"/>
      <c r="S294" s="451"/>
      <c r="T294" s="411"/>
    </row>
    <row r="295" spans="1:20" ht="18" customHeight="1" x14ac:dyDescent="0.25">
      <c r="Q295" s="350"/>
      <c r="R295" s="432"/>
      <c r="S295" s="451"/>
      <c r="T295" s="411"/>
    </row>
    <row r="296" spans="1:20" ht="18" customHeight="1" x14ac:dyDescent="0.25">
      <c r="A296" s="485"/>
      <c r="Q296" s="350"/>
      <c r="R296" s="432"/>
      <c r="S296" s="451"/>
      <c r="T296" s="411"/>
    </row>
    <row r="297" spans="1:20" ht="18" customHeight="1" x14ac:dyDescent="0.25">
      <c r="A297" s="486"/>
      <c r="Q297" s="350"/>
      <c r="R297" s="432"/>
      <c r="S297" s="451"/>
      <c r="T297" s="411"/>
    </row>
    <row r="298" spans="1:20" ht="18" customHeight="1" x14ac:dyDescent="0.25">
      <c r="A298" s="486"/>
      <c r="Q298" s="350"/>
      <c r="R298" s="432"/>
      <c r="S298" s="451"/>
      <c r="T298" s="411"/>
    </row>
    <row r="299" spans="1:20" ht="18" customHeight="1" x14ac:dyDescent="0.25">
      <c r="A299" s="485"/>
      <c r="Q299" s="350"/>
      <c r="R299" s="432"/>
      <c r="S299" s="451"/>
      <c r="T299" s="411"/>
    </row>
    <row r="300" spans="1:20" ht="18" customHeight="1" x14ac:dyDescent="0.25">
      <c r="A300" s="486"/>
      <c r="Q300" s="350"/>
      <c r="R300" s="432"/>
      <c r="S300" s="451"/>
      <c r="T300" s="411"/>
    </row>
    <row r="301" spans="1:20" ht="18" customHeight="1" x14ac:dyDescent="0.25">
      <c r="A301" s="486"/>
      <c r="Q301" s="350"/>
      <c r="R301" s="432"/>
      <c r="S301" s="451"/>
      <c r="T301" s="411"/>
    </row>
    <row r="302" spans="1:20" ht="18" customHeight="1" x14ac:dyDescent="0.25">
      <c r="A302" s="485"/>
      <c r="Q302" s="350" t="s">
        <v>81</v>
      </c>
      <c r="R302" s="432">
        <f>SUM(R252:R271)</f>
        <v>0.02</v>
      </c>
      <c r="S302" s="412" t="s">
        <v>81</v>
      </c>
      <c r="T302" s="411">
        <f>SUM(T252:T301)</f>
        <v>1100.9800000000005</v>
      </c>
    </row>
    <row r="303" spans="1:20" ht="18" customHeight="1" x14ac:dyDescent="0.25">
      <c r="A303" s="486"/>
    </row>
    <row r="304" spans="1:20" ht="18" customHeight="1" x14ac:dyDescent="0.25">
      <c r="A304" s="486"/>
    </row>
    <row r="305" spans="1:1" ht="18" customHeight="1" x14ac:dyDescent="0.25">
      <c r="A305" s="486"/>
    </row>
  </sheetData>
  <mergeCells count="3">
    <mergeCell ref="B12:B13"/>
    <mergeCell ref="B14:B15"/>
    <mergeCell ref="B185:B186"/>
  </mergeCells>
  <conditionalFormatting sqref="Q13">
    <cfRule type="expression" dxfId="2413" priority="7">
      <formula>#REF!&gt;0</formula>
    </cfRule>
    <cfRule type="expression" dxfId="241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28"/>
  <sheetViews>
    <sheetView topLeftCell="W1" zoomScaleNormal="100" workbookViewId="0">
      <pane ySplit="1" topLeftCell="A113" activePane="bottomLeft" state="frozen"/>
      <selection pane="bottomLeft" activeCell="I629" sqref="I629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3.5703125" style="176" bestFit="1" customWidth="1"/>
    <col min="9" max="9" width="14.28515625" style="222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2" bestFit="1" customWidth="1"/>
    <col min="14" max="14" width="8.7109375" style="184" bestFit="1" customWidth="1"/>
    <col min="15" max="15" width="11" style="184" bestFit="1" customWidth="1"/>
    <col min="16" max="16" width="10.7109375" style="211" bestFit="1" customWidth="1"/>
    <col min="17" max="17" width="11.5703125" style="332" bestFit="1" customWidth="1"/>
    <col min="18" max="18" width="13.85546875" style="332" bestFit="1" customWidth="1"/>
    <col min="19" max="19" width="10.7109375" style="332" bestFit="1" customWidth="1"/>
    <col min="20" max="20" width="12.5703125" style="332" bestFit="1" customWidth="1"/>
    <col min="21" max="21" width="12" style="332" customWidth="1"/>
    <col min="22" max="22" width="9" style="184" bestFit="1" customWidth="1"/>
    <col min="23" max="23" width="8" style="184" bestFit="1" customWidth="1"/>
    <col min="24" max="24" width="11.85546875" style="184" bestFit="1" customWidth="1"/>
    <col min="25" max="25" width="11.7109375" style="212" bestFit="1" customWidth="1"/>
    <col min="26" max="26" width="9.28515625" style="212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6"/>
      <c r="B1" s="337" t="s">
        <v>86</v>
      </c>
      <c r="C1" s="336" t="s">
        <v>135</v>
      </c>
      <c r="D1" s="338" t="s">
        <v>137</v>
      </c>
      <c r="E1" s="338" t="s">
        <v>140</v>
      </c>
      <c r="F1" s="338" t="s">
        <v>153</v>
      </c>
      <c r="G1" s="338" t="s">
        <v>282</v>
      </c>
      <c r="H1" s="338" t="s">
        <v>281</v>
      </c>
      <c r="I1" s="336" t="s">
        <v>85</v>
      </c>
      <c r="J1" s="336" t="s">
        <v>87</v>
      </c>
      <c r="K1" s="336" t="s">
        <v>134</v>
      </c>
      <c r="L1" s="336" t="s">
        <v>136</v>
      </c>
      <c r="M1" s="339" t="s">
        <v>96</v>
      </c>
      <c r="N1" s="339" t="s">
        <v>76</v>
      </c>
      <c r="O1" s="339" t="s">
        <v>792</v>
      </c>
      <c r="P1" s="336" t="s">
        <v>149</v>
      </c>
      <c r="Q1" s="340" t="s">
        <v>187</v>
      </c>
      <c r="R1" s="340" t="s">
        <v>188</v>
      </c>
      <c r="S1" s="340" t="s">
        <v>189</v>
      </c>
      <c r="T1" s="340" t="s">
        <v>216</v>
      </c>
      <c r="U1" s="340" t="s">
        <v>217</v>
      </c>
      <c r="V1" s="339" t="s">
        <v>221</v>
      </c>
      <c r="W1" s="339" t="s">
        <v>222</v>
      </c>
      <c r="X1" s="339" t="s">
        <v>974</v>
      </c>
      <c r="Y1" s="339" t="s">
        <v>973</v>
      </c>
      <c r="Z1" s="339" t="s">
        <v>950</v>
      </c>
      <c r="AA1" s="213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7">
        <v>2102.44</v>
      </c>
      <c r="D2" s="198"/>
      <c r="E2" s="198"/>
      <c r="F2" s="215">
        <v>5091.7</v>
      </c>
      <c r="G2" s="198"/>
      <c r="H2" s="198"/>
      <c r="I2" s="219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2">
        <f t="shared" ref="N2:N29" si="1">M2/J2</f>
        <v>-0.10392163888888883</v>
      </c>
      <c r="O2" s="182"/>
      <c r="P2" s="167" t="b">
        <f>L2&gt;D2</f>
        <v>0</v>
      </c>
      <c r="Q2" s="182">
        <f>COUNTIF(P$2:P2, TRUE)/(COUNTIF(P$2:P2,FALSE) + COUNTIF(P$2:P2, TRUE))</f>
        <v>0</v>
      </c>
      <c r="R2" s="333"/>
      <c r="S2" s="333"/>
      <c r="T2" s="333"/>
      <c r="U2" s="333"/>
      <c r="V2" s="182"/>
      <c r="W2" s="182"/>
      <c r="X2" s="182"/>
      <c r="Y2" s="167"/>
      <c r="Z2" s="792"/>
      <c r="AA2" s="331">
        <f>LOOKUP(2,1/(M:M&lt;&gt;""),M:M)</f>
        <v>50989.650000000023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40" t="s">
        <v>71</v>
      </c>
      <c r="B3" s="166">
        <v>42234</v>
      </c>
      <c r="C3" s="199">
        <v>2096.92</v>
      </c>
      <c r="D3" s="170">
        <f>(C3-C2)/C2</f>
        <v>-2.6255208234242031E-3</v>
      </c>
      <c r="E3" s="200">
        <f>(C3-$C$2)/$C$2</f>
        <v>-2.6255208234242031E-3</v>
      </c>
      <c r="F3" s="216">
        <v>5059.3500000000004</v>
      </c>
      <c r="G3" s="170">
        <f t="shared" ref="G3:G66" si="2">(F3-F2)/F2</f>
        <v>-6.3534772276448836E-3</v>
      </c>
      <c r="H3" s="200">
        <f>(F3-F$2)/F$2</f>
        <v>-6.3534772276448836E-3</v>
      </c>
      <c r="I3" s="219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2">
        <f t="shared" si="1"/>
        <v>-0.11112769444444437</v>
      </c>
      <c r="O3" s="182"/>
      <c r="P3" s="167" t="b">
        <f>L3&gt;D3</f>
        <v>0</v>
      </c>
      <c r="Q3" s="182">
        <f>COUNTIF(P$2:P3, TRUE)/(COUNTIF(P$2:P3,FALSE) + COUNTIF(P$2:P3, TRUE))</f>
        <v>0</v>
      </c>
      <c r="R3" s="333"/>
      <c r="S3" s="333"/>
      <c r="T3" s="333"/>
      <c r="U3" s="333"/>
      <c r="V3" s="182"/>
      <c r="W3" s="182"/>
      <c r="X3" s="182"/>
      <c r="Y3" s="167"/>
      <c r="Z3" s="792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9">
        <v>2079.61</v>
      </c>
      <c r="D4" s="170">
        <f t="shared" ref="D4:D67" si="4">(C4-C3)/C3</f>
        <v>-8.254964424012334E-3</v>
      </c>
      <c r="E4" s="200">
        <f t="shared" ref="E4:E43" si="5">(C4-$C$2)/$C$2</f>
        <v>-1.0858811666444668E-2</v>
      </c>
      <c r="F4" s="216">
        <v>5019.05</v>
      </c>
      <c r="G4" s="170">
        <f t="shared" si="2"/>
        <v>-7.9654501072272486E-3</v>
      </c>
      <c r="H4" s="200">
        <f t="shared" ref="H4:H66" si="6">(F4-F$2)/F$2</f>
        <v>-1.4268319029007923E-2</v>
      </c>
      <c r="I4" s="219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2">
        <f t="shared" si="1"/>
        <v>-0.13377838888888882</v>
      </c>
      <c r="O4" s="182"/>
      <c r="P4" s="167" t="b">
        <f>L4&gt;D4</f>
        <v>0</v>
      </c>
      <c r="Q4" s="182">
        <f>COUNTIF(P$2:P4, TRUE)/(COUNTIF(P$2:P4,FALSE) + COUNTIF(P$2:P4, TRUE))</f>
        <v>0</v>
      </c>
      <c r="R4" s="333"/>
      <c r="S4" s="333"/>
      <c r="T4" s="333"/>
      <c r="U4" s="333"/>
      <c r="V4" s="182">
        <f>STDEV(D$2:D4)*SQRT(252)</f>
        <v>6.3190347694703594E-2</v>
      </c>
      <c r="W4" s="182">
        <f>STDEV(L$2:L4)*SQRT(252)</f>
        <v>0.19577179003677936</v>
      </c>
      <c r="X4" s="182"/>
      <c r="Y4" s="167"/>
      <c r="Z4" s="792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9">
        <v>2035.73</v>
      </c>
      <c r="D5" s="170">
        <f t="shared" si="4"/>
        <v>-2.1100110116800797E-2</v>
      </c>
      <c r="E5" s="200">
        <f t="shared" si="5"/>
        <v>-3.1729799661345884E-2</v>
      </c>
      <c r="F5" s="216">
        <v>4877.49</v>
      </c>
      <c r="G5" s="170">
        <f t="shared" si="2"/>
        <v>-2.8204540699933334E-2</v>
      </c>
      <c r="H5" s="200">
        <f t="shared" si="6"/>
        <v>-4.2070428344167965E-2</v>
      </c>
      <c r="I5" s="219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2">
        <f t="shared" si="1"/>
        <v>-0.16195163888888897</v>
      </c>
      <c r="O5" s="182"/>
      <c r="P5" s="167" t="b">
        <f>L5&gt;D5</f>
        <v>0</v>
      </c>
      <c r="Q5" s="182">
        <f>COUNTIF(P$2:P5, TRUE)/(COUNTIF(P$2:P5,FALSE) + COUNTIF(P$2:P5, TRUE))</f>
        <v>0</v>
      </c>
      <c r="R5" s="333"/>
      <c r="S5" s="333"/>
      <c r="T5" s="333"/>
      <c r="U5" s="333"/>
      <c r="V5" s="182">
        <f>STDEV(D$2:D5)*SQRT(252)</f>
        <v>0.15031949910961184</v>
      </c>
      <c r="W5" s="182">
        <f>STDEV(L$2:L5)*SQRT(252)</f>
        <v>0.20008182112239786</v>
      </c>
      <c r="X5" s="182"/>
      <c r="Y5" s="167"/>
      <c r="Z5" s="792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9">
        <v>1970.89</v>
      </c>
      <c r="D6" s="170">
        <f t="shared" si="4"/>
        <v>-3.1850982202944356E-2</v>
      </c>
      <c r="E6" s="200">
        <f t="shared" si="5"/>
        <v>-6.2570156579973724E-2</v>
      </c>
      <c r="F6" s="216">
        <v>4706.04</v>
      </c>
      <c r="G6" s="170">
        <f t="shared" si="2"/>
        <v>-3.5151276578732057E-2</v>
      </c>
      <c r="H6" s="200">
        <f t="shared" si="6"/>
        <v>-7.5742875660388453E-2</v>
      </c>
      <c r="I6" s="219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2">
        <f t="shared" si="1"/>
        <v>-0.18029566666666666</v>
      </c>
      <c r="O6" s="182"/>
      <c r="P6" s="167" t="b">
        <f>L6&gt;D6</f>
        <v>1</v>
      </c>
      <c r="Q6" s="182">
        <f>COUNTIF(P$2:P6, TRUE)/(COUNTIF(P$2:P6,FALSE) + COUNTIF(P$2:P6, TRUE))</f>
        <v>0.2</v>
      </c>
      <c r="R6" s="333"/>
      <c r="S6" s="333"/>
      <c r="T6" s="333"/>
      <c r="U6" s="333"/>
      <c r="V6" s="182">
        <f>STDEV(D$2:D6)*SQRT(252)</f>
        <v>0.20821641331654633</v>
      </c>
      <c r="W6" s="182">
        <f>STDEV(L$2:L6)*SQRT(252)</f>
        <v>0.16336924292253127</v>
      </c>
      <c r="X6" s="182"/>
      <c r="Y6" s="167"/>
      <c r="Z6" s="792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1">
        <v>1893.21</v>
      </c>
      <c r="D7" s="170">
        <f t="shared" si="4"/>
        <v>-3.9413665907280494E-2</v>
      </c>
      <c r="E7" s="202">
        <f t="shared" si="5"/>
        <v>-9.95177032400449E-2</v>
      </c>
      <c r="F7" s="217">
        <v>4526.25</v>
      </c>
      <c r="G7" s="170">
        <f t="shared" si="2"/>
        <v>-3.8204095162812035E-2</v>
      </c>
      <c r="H7" s="202">
        <f t="shared" si="6"/>
        <v>-0.11105328279356597</v>
      </c>
      <c r="I7" s="220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3">
        <f t="shared" si="1"/>
        <v>-0.2136241944444445</v>
      </c>
      <c r="O7" s="182"/>
      <c r="P7" s="173" t="b">
        <f t="shared" ref="P7:P58" si="9">L7&gt;D7</f>
        <v>0</v>
      </c>
      <c r="Q7" s="183">
        <f>COUNTIF(P$2:P7, TRUE)/(COUNTIF(P$2:P7,FALSE) + COUNTIF(P$2:P7, TRUE))</f>
        <v>0.16666666666666666</v>
      </c>
      <c r="R7" s="334"/>
      <c r="S7" s="334"/>
      <c r="T7" s="334"/>
      <c r="U7" s="334"/>
      <c r="V7" s="183">
        <f>STDEV(D$2:D7)*SQRT(252)</f>
        <v>0.24544711494961968</v>
      </c>
      <c r="W7" s="183">
        <f>STDEV(L$2:L7)*SQRT(252)</f>
        <v>0.19389190476539761</v>
      </c>
      <c r="X7" s="183"/>
      <c r="Y7" s="173"/>
      <c r="Z7" s="793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1">
        <v>1867.61</v>
      </c>
      <c r="D8" s="170">
        <f t="shared" si="4"/>
        <v>-1.3522007595565277E-2</v>
      </c>
      <c r="E8" s="202">
        <f t="shared" si="5"/>
        <v>-0.11169403169650509</v>
      </c>
      <c r="F8" s="217">
        <v>4506.49</v>
      </c>
      <c r="G8" s="170">
        <f t="shared" si="2"/>
        <v>-4.3656448494891397E-3</v>
      </c>
      <c r="H8" s="202">
        <f t="shared" si="6"/>
        <v>-0.11493410845100852</v>
      </c>
      <c r="I8" s="220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3">
        <f t="shared" si="1"/>
        <v>-0.2307133055555555</v>
      </c>
      <c r="O8" s="182"/>
      <c r="P8" s="173" t="b">
        <f t="shared" si="9"/>
        <v>0</v>
      </c>
      <c r="Q8" s="183">
        <f>COUNTIF(P$2:P8, TRUE)/(COUNTIF(P$2:P8,FALSE) + COUNTIF(P$2:P8, TRUE))</f>
        <v>0.14285714285714285</v>
      </c>
      <c r="R8" s="334"/>
      <c r="S8" s="334"/>
      <c r="T8" s="334"/>
      <c r="U8" s="334"/>
      <c r="V8" s="183">
        <f>STDEV(D$2:D8)*SQRT(252)</f>
        <v>0.22434082778798065</v>
      </c>
      <c r="W8" s="183">
        <f>STDEV(L$2:L8)*SQRT(252)</f>
        <v>0.17533735395795544</v>
      </c>
      <c r="X8" s="183"/>
      <c r="Y8" s="173"/>
      <c r="Z8" s="793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7"/>
    </row>
    <row r="9" spans="1:45" ht="20.100000000000001" customHeight="1" x14ac:dyDescent="0.25">
      <c r="A9" s="162">
        <f t="shared" si="8"/>
        <v>9</v>
      </c>
      <c r="B9" s="171">
        <v>42242</v>
      </c>
      <c r="C9" s="201">
        <v>1940.51</v>
      </c>
      <c r="D9" s="170">
        <f t="shared" si="4"/>
        <v>3.9033845395987435E-2</v>
      </c>
      <c r="E9" s="202">
        <f t="shared" si="5"/>
        <v>-7.7020033865413548E-2</v>
      </c>
      <c r="F9" s="217">
        <v>4697.54</v>
      </c>
      <c r="G9" s="170">
        <f t="shared" si="2"/>
        <v>4.239441339046579E-2</v>
      </c>
      <c r="H9" s="202">
        <f t="shared" si="6"/>
        <v>-7.741225916687941E-2</v>
      </c>
      <c r="I9" s="220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3">
        <f t="shared" si="1"/>
        <v>-0.2087994444444444</v>
      </c>
      <c r="O9" s="182"/>
      <c r="P9" s="173" t="b">
        <f t="shared" si="9"/>
        <v>0</v>
      </c>
      <c r="Q9" s="183">
        <f>COUNTIF(P$2:P9, TRUE)/(COUNTIF(P$2:P9,FALSE) + COUNTIF(P$2:P9, TRUE))</f>
        <v>0.125</v>
      </c>
      <c r="R9" s="334"/>
      <c r="S9" s="334"/>
      <c r="T9" s="334"/>
      <c r="U9" s="334"/>
      <c r="V9" s="183">
        <f>STDEV(D$2:D9)*SQRT(252)</f>
        <v>0.40635063731985605</v>
      </c>
      <c r="W9" s="183">
        <f>STDEV(L$2:L9)*SQRT(252)</f>
        <v>0.35891083910893234</v>
      </c>
      <c r="X9" s="183"/>
      <c r="Y9" s="173"/>
      <c r="Z9" s="793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1">
        <v>1987.66</v>
      </c>
      <c r="D10" s="170">
        <f t="shared" si="4"/>
        <v>2.429773616214299E-2</v>
      </c>
      <c r="E10" s="202">
        <f t="shared" si="5"/>
        <v>-5.4593710165331696E-2</v>
      </c>
      <c r="F10" s="217">
        <v>4812.71</v>
      </c>
      <c r="G10" s="170">
        <f t="shared" si="2"/>
        <v>2.4517087667161978E-2</v>
      </c>
      <c r="H10" s="202">
        <f t="shared" si="6"/>
        <v>-5.4793094644224875E-2</v>
      </c>
      <c r="I10" s="220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3">
        <f t="shared" si="1"/>
        <v>-0.16460283333333339</v>
      </c>
      <c r="O10" s="182"/>
      <c r="P10" s="173" t="b">
        <f t="shared" si="9"/>
        <v>1</v>
      </c>
      <c r="Q10" s="183">
        <f>COUNTIF(P$2:P10, TRUE)/(COUNTIF(P$2:P10,FALSE) + COUNTIF(P$2:P10, TRUE))</f>
        <v>0.22222222222222221</v>
      </c>
      <c r="R10" s="334"/>
      <c r="S10" s="334"/>
      <c r="T10" s="334"/>
      <c r="U10" s="334"/>
      <c r="V10" s="183">
        <f>STDEV(D$2:D10)*SQRT(252)</f>
        <v>0.42545538355052082</v>
      </c>
      <c r="W10" s="183">
        <f>STDEV(L$2:L10)*SQRT(252)</f>
        <v>0.52868202794227925</v>
      </c>
      <c r="X10" s="183"/>
      <c r="Y10" s="173"/>
      <c r="Z10" s="793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1">
        <v>1988.87</v>
      </c>
      <c r="D11" s="170">
        <f t="shared" si="4"/>
        <v>6.0875602467213154E-4</v>
      </c>
      <c r="E11" s="202">
        <f t="shared" si="5"/>
        <v>-5.401818839063191E-2</v>
      </c>
      <c r="F11" s="217">
        <v>4828.32</v>
      </c>
      <c r="G11" s="170">
        <f t="shared" si="2"/>
        <v>3.2434948293164709E-3</v>
      </c>
      <c r="H11" s="202">
        <f t="shared" si="6"/>
        <v>-5.1727320934069197E-2</v>
      </c>
      <c r="I11" s="220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3">
        <f t="shared" si="1"/>
        <v>-0.14460816666666668</v>
      </c>
      <c r="O11" s="182"/>
      <c r="P11" s="173" t="b">
        <f t="shared" si="9"/>
        <v>1</v>
      </c>
      <c r="Q11" s="183">
        <f>COUNTIF(P$2:P11, TRUE)/(COUNTIF(P$2:P11,FALSE) + COUNTIF(P$2:P11, TRUE))</f>
        <v>0.3</v>
      </c>
      <c r="R11" s="334"/>
      <c r="S11" s="334"/>
      <c r="T11" s="334"/>
      <c r="U11" s="334"/>
      <c r="V11" s="183">
        <f>STDEV(D$2:D11)*SQRT(252)</f>
        <v>0.39984128605241964</v>
      </c>
      <c r="W11" s="183">
        <f>STDEV(L$2:L11)*SQRT(252)</f>
        <v>0.52303521027280186</v>
      </c>
      <c r="X11" s="183"/>
      <c r="Y11" s="173"/>
      <c r="Z11" s="793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9">
        <v>1972.18</v>
      </c>
      <c r="D12" s="170">
        <f t="shared" si="4"/>
        <v>-8.391699809439445E-3</v>
      </c>
      <c r="E12" s="200">
        <f t="shared" si="5"/>
        <v>-6.1956583778847427E-2</v>
      </c>
      <c r="F12" s="216">
        <v>4776.51</v>
      </c>
      <c r="G12" s="170">
        <f t="shared" si="2"/>
        <v>-1.0730440401630277E-2</v>
      </c>
      <c r="H12" s="200">
        <f t="shared" si="6"/>
        <v>-6.1902704401280442E-2</v>
      </c>
      <c r="I12" s="466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2">
        <f t="shared" si="1"/>
        <v>-0.13555358333333328</v>
      </c>
      <c r="O12" s="182"/>
      <c r="P12" s="167" t="b">
        <f t="shared" si="9"/>
        <v>1</v>
      </c>
      <c r="Q12" s="182">
        <f>COUNTIF(P$2:P12, TRUE)/(COUNTIF(P$2:P12,FALSE) + COUNTIF(P$2:P12, TRUE))</f>
        <v>0.36363636363636365</v>
      </c>
      <c r="R12" s="333"/>
      <c r="S12" s="333"/>
      <c r="T12" s="333"/>
      <c r="U12" s="333"/>
      <c r="V12" s="182">
        <f>STDEV(D$2:D12)*SQRT(252)</f>
        <v>0.37718652016375942</v>
      </c>
      <c r="W12" s="182">
        <f>STDEV(L$2:L12)*SQRT(252)</f>
        <v>0.49903486890486387</v>
      </c>
      <c r="X12" s="182"/>
      <c r="Y12" s="167"/>
      <c r="Z12" s="792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9">
        <v>1913.85</v>
      </c>
      <c r="D13" s="170">
        <f t="shared" si="4"/>
        <v>-2.9576407832956501E-2</v>
      </c>
      <c r="E13" s="200">
        <f t="shared" si="5"/>
        <v>-8.9700538422023995E-2</v>
      </c>
      <c r="F13" s="216">
        <v>4636.1000000000004</v>
      </c>
      <c r="G13" s="170">
        <f t="shared" si="2"/>
        <v>-2.9395939713305289E-2</v>
      </c>
      <c r="H13" s="200">
        <f t="shared" si="6"/>
        <v>-8.9478955947915134E-2</v>
      </c>
      <c r="I13" s="219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2">
        <f t="shared" si="1"/>
        <v>-0.15769646575342472</v>
      </c>
      <c r="O13" s="182"/>
      <c r="P13" s="167" t="b">
        <f t="shared" si="9"/>
        <v>1</v>
      </c>
      <c r="Q13" s="182">
        <f>COUNTIF(P$2:P13, TRUE)/(COUNTIF(P$2:P13,FALSE) + COUNTIF(P$2:P13, TRUE))</f>
        <v>0.41666666666666669</v>
      </c>
      <c r="R13" s="333"/>
      <c r="S13" s="333"/>
      <c r="T13" s="333"/>
      <c r="U13" s="333"/>
      <c r="V13" s="182">
        <f>STDEV(D$2:D13)*SQRT(252)</f>
        <v>0.37502713989732378</v>
      </c>
      <c r="W13" s="182">
        <f>STDEV(L$2:L13)*SQRT(252)</f>
        <v>0.48831680410668976</v>
      </c>
      <c r="X13" s="182"/>
      <c r="Y13" s="167"/>
      <c r="Z13" s="792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9">
        <v>1948.86</v>
      </c>
      <c r="D14" s="170">
        <f t="shared" si="4"/>
        <v>1.829296966846931E-2</v>
      </c>
      <c r="E14" s="200">
        <f t="shared" si="5"/>
        <v>-7.3048457982154147E-2</v>
      </c>
      <c r="F14" s="216">
        <v>4749.9799999999996</v>
      </c>
      <c r="G14" s="170">
        <f t="shared" si="2"/>
        <v>2.4563749703414333E-2</v>
      </c>
      <c r="H14" s="200">
        <f t="shared" si="6"/>
        <v>-6.7113144922128221E-2</v>
      </c>
      <c r="I14" s="219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2">
        <f t="shared" si="1"/>
        <v>-0.14202121052631578</v>
      </c>
      <c r="O14" s="182"/>
      <c r="P14" s="167" t="b">
        <f t="shared" si="9"/>
        <v>0</v>
      </c>
      <c r="Q14" s="182">
        <f>COUNTIF(P$2:P14, TRUE)/(COUNTIF(P$2:P14,FALSE) + COUNTIF(P$2:P14, TRUE))</f>
        <v>0.38461538461538464</v>
      </c>
      <c r="R14" s="333"/>
      <c r="S14" s="333"/>
      <c r="T14" s="333"/>
      <c r="U14" s="333"/>
      <c r="V14" s="182">
        <f>STDEV(D$2:D14)*SQRT(252)</f>
        <v>0.37770238456909672</v>
      </c>
      <c r="W14" s="182">
        <f>STDEV(L$2:L14)*SQRT(252)</f>
        <v>0.47214016149480637</v>
      </c>
      <c r="X14" s="182"/>
      <c r="Y14" s="167"/>
      <c r="Z14" s="792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9">
        <v>1951.13</v>
      </c>
      <c r="D15" s="170">
        <f t="shared" si="4"/>
        <v>1.1647835144649741E-3</v>
      </c>
      <c r="E15" s="200">
        <f t="shared" si="5"/>
        <v>-7.1968760107303867E-2</v>
      </c>
      <c r="F15" s="216">
        <v>4733.5</v>
      </c>
      <c r="G15" s="170">
        <f t="shared" si="2"/>
        <v>-3.469488292582193E-3</v>
      </c>
      <c r="H15" s="200">
        <f t="shared" si="6"/>
        <v>-7.0349784944124721E-2</v>
      </c>
      <c r="I15" s="219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2">
        <f t="shared" si="1"/>
        <v>-0.13626489473684203</v>
      </c>
      <c r="O15" s="182"/>
      <c r="P15" s="167" t="b">
        <f t="shared" si="9"/>
        <v>1</v>
      </c>
      <c r="Q15" s="182">
        <f>COUNTIF(P$2:P15, TRUE)/(COUNTIF(P$2:P15,FALSE) + COUNTIF(P$2:P15, TRUE))</f>
        <v>0.42857142857142855</v>
      </c>
      <c r="R15" s="333"/>
      <c r="S15" s="333"/>
      <c r="T15" s="333"/>
      <c r="U15" s="333"/>
      <c r="V15" s="182">
        <f>STDEV(D$2:D15)*SQRT(252)</f>
        <v>0.3630118196770083</v>
      </c>
      <c r="W15" s="182">
        <f>STDEV(L$2:L15)*SQRT(252)</f>
        <v>0.45448950679382538</v>
      </c>
      <c r="X15" s="182"/>
      <c r="Y15" s="167"/>
      <c r="Z15" s="792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9">
        <v>1921.22</v>
      </c>
      <c r="D16" s="170">
        <f t="shared" si="4"/>
        <v>-1.5329578244402004E-2</v>
      </c>
      <c r="E16" s="200">
        <f t="shared" si="5"/>
        <v>-8.6195087612488355E-2</v>
      </c>
      <c r="F16" s="216">
        <v>4683.92</v>
      </c>
      <c r="G16" s="170">
        <f t="shared" si="2"/>
        <v>-1.0474279074680454E-2</v>
      </c>
      <c r="H16" s="200">
        <f t="shared" si="6"/>
        <v>-8.0087200738456654E-2</v>
      </c>
      <c r="I16" s="219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2">
        <f t="shared" si="1"/>
        <v>-0.1449226315789473</v>
      </c>
      <c r="O16" s="182"/>
      <c r="P16" s="167" t="b">
        <f t="shared" si="9"/>
        <v>1</v>
      </c>
      <c r="Q16" s="182">
        <f>COUNTIF(P$2:P16, TRUE)/(COUNTIF(P$2:P16,FALSE) + COUNTIF(P$2:P16, TRUE))</f>
        <v>0.46666666666666667</v>
      </c>
      <c r="R16" s="333"/>
      <c r="S16" s="333"/>
      <c r="T16" s="333"/>
      <c r="U16" s="333"/>
      <c r="V16" s="182">
        <f>STDEV(D$2:D16)*SQRT(252)</f>
        <v>0.35126122417304334</v>
      </c>
      <c r="W16" s="182">
        <f>STDEV(L$2:L16)*SQRT(252)</f>
        <v>0.43762621603032426</v>
      </c>
      <c r="X16" s="182"/>
      <c r="Y16" s="167"/>
      <c r="Z16" s="792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1">
        <v>1969.41</v>
      </c>
      <c r="D17" s="170">
        <f t="shared" si="4"/>
        <v>2.5083020164270647E-2</v>
      </c>
      <c r="E17" s="202">
        <f t="shared" si="5"/>
        <v>-6.3274100568862832E-2</v>
      </c>
      <c r="F17" s="217">
        <v>4811.93</v>
      </c>
      <c r="G17" s="170">
        <f t="shared" si="2"/>
        <v>2.7329672581939961E-2</v>
      </c>
      <c r="H17" s="202">
        <f t="shared" si="6"/>
        <v>-5.4946285130702821E-2</v>
      </c>
      <c r="I17" s="220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3">
        <f t="shared" si="1"/>
        <v>-0.1273318421052631</v>
      </c>
      <c r="O17" s="182"/>
      <c r="P17" s="173" t="b">
        <f t="shared" si="9"/>
        <v>0</v>
      </c>
      <c r="Q17" s="183">
        <f>COUNTIF(P$2:P17, TRUE)/(COUNTIF(P$2:P17,FALSE) + COUNTIF(P$2:P17, TRUE))</f>
        <v>0.4375</v>
      </c>
      <c r="R17" s="334"/>
      <c r="S17" s="334"/>
      <c r="T17" s="334"/>
      <c r="U17" s="334"/>
      <c r="V17" s="183">
        <f>STDEV(D$2:D17)*SQRT(252)</f>
        <v>0.36194228365900932</v>
      </c>
      <c r="W17" s="183">
        <f>STDEV(L$2:L17)*SQRT(252)</f>
        <v>0.43324605788841486</v>
      </c>
      <c r="X17" s="183"/>
      <c r="Y17" s="173"/>
      <c r="Z17" s="793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1">
        <v>1942.04</v>
      </c>
      <c r="D18" s="170">
        <f t="shared" si="4"/>
        <v>-1.3897563229596741E-2</v>
      </c>
      <c r="E18" s="202">
        <f t="shared" si="5"/>
        <v>-7.629230798500794E-2</v>
      </c>
      <c r="F18" s="217">
        <v>4756.53</v>
      </c>
      <c r="G18" s="170">
        <f t="shared" si="2"/>
        <v>-1.1513051935502084E-2</v>
      </c>
      <c r="H18" s="202">
        <f t="shared" si="6"/>
        <v>-6.5826737631832208E-2</v>
      </c>
      <c r="I18" s="220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3">
        <f t="shared" si="1"/>
        <v>-0.15317768421052635</v>
      </c>
      <c r="O18" s="182"/>
      <c r="P18" s="173" t="b">
        <f t="shared" si="9"/>
        <v>0</v>
      </c>
      <c r="Q18" s="183">
        <f>COUNTIF(P$2:P18, TRUE)/(COUNTIF(P$2:P18,FALSE) + COUNTIF(P$2:P18, TRUE))</f>
        <v>0.41176470588235292</v>
      </c>
      <c r="R18" s="334"/>
      <c r="S18" s="334"/>
      <c r="T18" s="334"/>
      <c r="U18" s="334"/>
      <c r="V18" s="183">
        <f>STDEV(D$2:D18)*SQRT(252)</f>
        <v>0.35182224095506454</v>
      </c>
      <c r="W18" s="183">
        <f>STDEV(L$2:L18)*SQRT(252)</f>
        <v>0.43262248943141224</v>
      </c>
      <c r="X18" s="183"/>
      <c r="Y18" s="173"/>
      <c r="Z18" s="793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1">
        <v>1952.29</v>
      </c>
      <c r="D19" s="170">
        <f t="shared" si="4"/>
        <v>5.2779551399559227E-3</v>
      </c>
      <c r="E19" s="202">
        <f t="shared" si="5"/>
        <v>-7.1417020224120581E-2</v>
      </c>
      <c r="F19" s="217">
        <v>4796.25</v>
      </c>
      <c r="G19" s="170">
        <f t="shared" si="2"/>
        <v>8.3506253508335397E-3</v>
      </c>
      <c r="H19" s="202">
        <f t="shared" si="6"/>
        <v>-5.8025806705029721E-2</v>
      </c>
      <c r="I19" s="220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3">
        <f t="shared" si="1"/>
        <v>-0.14897371052631581</v>
      </c>
      <c r="O19" s="182"/>
      <c r="P19" s="173" t="b">
        <f t="shared" si="9"/>
        <v>0</v>
      </c>
      <c r="Q19" s="183">
        <f>COUNTIF(P$2:P19, TRUE)/(COUNTIF(P$2:P19,FALSE) + COUNTIF(P$2:P19, TRUE))</f>
        <v>0.3888888888888889</v>
      </c>
      <c r="R19" s="334"/>
      <c r="S19" s="334"/>
      <c r="T19" s="334"/>
      <c r="U19" s="334"/>
      <c r="V19" s="183">
        <f>STDEV(D$2:D19)*SQRT(252)</f>
        <v>0.34281735693264087</v>
      </c>
      <c r="W19" s="183">
        <f>STDEV(L$2:L19)*SQRT(252)</f>
        <v>0.42023205119752755</v>
      </c>
      <c r="X19" s="183"/>
      <c r="Y19" s="173"/>
      <c r="Z19" s="793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1">
        <v>1961.05</v>
      </c>
      <c r="D20" s="170">
        <f t="shared" si="4"/>
        <v>4.4870382986134183E-3</v>
      </c>
      <c r="E20" s="202">
        <f t="shared" si="5"/>
        <v>-6.7250432830425644E-2</v>
      </c>
      <c r="F20" s="217">
        <v>4822.34</v>
      </c>
      <c r="G20" s="170">
        <f t="shared" si="2"/>
        <v>5.4396664060464206E-3</v>
      </c>
      <c r="H20" s="202">
        <f t="shared" si="6"/>
        <v>-5.2901781330400396E-2</v>
      </c>
      <c r="I20" s="220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3">
        <f t="shared" si="1"/>
        <v>-0.14989568421052629</v>
      </c>
      <c r="O20" s="182"/>
      <c r="P20" s="173" t="b">
        <f t="shared" si="9"/>
        <v>0</v>
      </c>
      <c r="Q20" s="183">
        <f>COUNTIF(P$2:P20, TRUE)/(COUNTIF(P$2:P20,FALSE) + COUNTIF(P$2:P20, TRUE))</f>
        <v>0.36842105263157893</v>
      </c>
      <c r="R20" s="334"/>
      <c r="S20" s="334"/>
      <c r="T20" s="334"/>
      <c r="U20" s="334"/>
      <c r="V20" s="183">
        <f>STDEV(D$2:D20)*SQRT(252)</f>
        <v>0.33414073790213511</v>
      </c>
      <c r="W20" s="183">
        <f>STDEV(L$2:L20)*SQRT(252)</f>
        <v>0.40776589668846686</v>
      </c>
      <c r="X20" s="183"/>
      <c r="Y20" s="173"/>
      <c r="Z20" s="793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9">
        <v>1953.03</v>
      </c>
      <c r="D21" s="170">
        <f t="shared" si="4"/>
        <v>-4.0896458529869114E-3</v>
      </c>
      <c r="E21" s="200">
        <f t="shared" si="5"/>
        <v>-7.1065048229676034E-2</v>
      </c>
      <c r="F21" s="216">
        <v>4805.76</v>
      </c>
      <c r="G21" s="170">
        <f t="shared" si="2"/>
        <v>-3.4381648743141147E-3</v>
      </c>
      <c r="H21" s="200">
        <f t="shared" si="6"/>
        <v>-5.6158061158355678E-2</v>
      </c>
      <c r="I21" s="219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2">
        <f t="shared" si="1"/>
        <v>-0.14206381578947369</v>
      </c>
      <c r="O21" s="182"/>
      <c r="P21" s="167" t="b">
        <f t="shared" si="9"/>
        <v>1</v>
      </c>
      <c r="Q21" s="182">
        <f>COUNTIF(P$2:P21, TRUE)/(COUNTIF(P$2:P21,FALSE) + COUNTIF(P$2:P21, TRUE))</f>
        <v>0.4</v>
      </c>
      <c r="R21" s="333"/>
      <c r="S21" s="333"/>
      <c r="T21" s="333"/>
      <c r="U21" s="333"/>
      <c r="V21" s="182">
        <f>STDEV(D$2:D21)*SQRT(252)</f>
        <v>0.3247303591191491</v>
      </c>
      <c r="W21" s="182">
        <f>STDEV(L$2:L21)*SQRT(252)</f>
        <v>0.39882009643497413</v>
      </c>
      <c r="X21" s="182"/>
      <c r="Y21" s="167"/>
      <c r="Z21" s="792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9">
        <v>1978.09</v>
      </c>
      <c r="D22" s="170">
        <f t="shared" si="4"/>
        <v>1.2831344116577803E-2</v>
      </c>
      <c r="E22" s="200">
        <f t="shared" si="5"/>
        <v>-5.9145564201594399E-2</v>
      </c>
      <c r="F22" s="216">
        <v>4860.5200000000004</v>
      </c>
      <c r="G22" s="170">
        <f t="shared" si="2"/>
        <v>1.1394659741643406E-2</v>
      </c>
      <c r="H22" s="200">
        <f t="shared" si="6"/>
        <v>-4.540330341536214E-2</v>
      </c>
      <c r="I22" s="219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2">
        <f t="shared" si="1"/>
        <v>-0.13545068421052633</v>
      </c>
      <c r="O22" s="182"/>
      <c r="P22" s="167" t="b">
        <f t="shared" si="9"/>
        <v>0</v>
      </c>
      <c r="Q22" s="182">
        <f>COUNTIF(P$2:P22, TRUE)/(COUNTIF(P$2:P22,FALSE) + COUNTIF(P$2:P22, TRUE))</f>
        <v>0.38095238095238093</v>
      </c>
      <c r="R22" s="333"/>
      <c r="S22" s="333"/>
      <c r="T22" s="333"/>
      <c r="U22" s="333"/>
      <c r="V22" s="182">
        <f>STDEV(D$2:D22)*SQRT(252)</f>
        <v>0.32145355759875488</v>
      </c>
      <c r="W22" s="182">
        <f>STDEV(L$2:L22)*SQRT(252)</f>
        <v>0.38986525703766828</v>
      </c>
      <c r="X22" s="182"/>
      <c r="Y22" s="167"/>
      <c r="Z22" s="792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9">
        <v>1995.31</v>
      </c>
      <c r="D23" s="170">
        <f t="shared" si="4"/>
        <v>8.7053672987579076E-3</v>
      </c>
      <c r="E23" s="200">
        <f t="shared" si="5"/>
        <v>-5.0955080763303642E-2</v>
      </c>
      <c r="F23" s="216">
        <v>4889.24</v>
      </c>
      <c r="G23" s="170">
        <f t="shared" si="2"/>
        <v>5.908832799782604E-3</v>
      </c>
      <c r="H23" s="200">
        <f t="shared" si="6"/>
        <v>-3.9762751144018706E-2</v>
      </c>
      <c r="I23" s="219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2">
        <f t="shared" si="1"/>
        <v>-0.1231449210526316</v>
      </c>
      <c r="O23" s="182"/>
      <c r="P23" s="167" t="b">
        <f t="shared" si="9"/>
        <v>1</v>
      </c>
      <c r="Q23" s="182">
        <f>COUNTIF(P$2:P23, TRUE)/(COUNTIF(P$2:P23,FALSE) + COUNTIF(P$2:P23, TRUE))</f>
        <v>0.40909090909090912</v>
      </c>
      <c r="R23" s="333"/>
      <c r="S23" s="333"/>
      <c r="T23" s="333"/>
      <c r="U23" s="333"/>
      <c r="V23" s="182">
        <f>STDEV(D$2:D23)*SQRT(252)</f>
        <v>0.31586031332458192</v>
      </c>
      <c r="W23" s="182">
        <f>STDEV(L$2:L23)*SQRT(252)</f>
        <v>0.38411926521956707</v>
      </c>
      <c r="X23" s="182"/>
      <c r="Y23" s="167"/>
      <c r="Z23" s="792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9">
        <v>1990.2</v>
      </c>
      <c r="D24" s="170">
        <f t="shared" si="4"/>
        <v>-2.5610055580335385E-3</v>
      </c>
      <c r="E24" s="200">
        <f t="shared" si="5"/>
        <v>-5.3385590076292309E-2</v>
      </c>
      <c r="F24" s="216">
        <v>4893.95</v>
      </c>
      <c r="G24" s="170">
        <f t="shared" si="2"/>
        <v>9.6333990558860607E-4</v>
      </c>
      <c r="H24" s="200">
        <f t="shared" si="6"/>
        <v>-3.8837716283363119E-2</v>
      </c>
      <c r="I24" s="219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2">
        <f t="shared" si="1"/>
        <v>-0.12128147368421058</v>
      </c>
      <c r="O24" s="182"/>
      <c r="P24" s="167" t="b">
        <f t="shared" si="9"/>
        <v>1</v>
      </c>
      <c r="Q24" s="182">
        <f>COUNTIF(P$2:P24, TRUE)/(COUNTIF(P$2:P24,FALSE) + COUNTIF(P$2:P24, TRUE))</f>
        <v>0.43478260869565216</v>
      </c>
      <c r="R24" s="333"/>
      <c r="S24" s="333"/>
      <c r="T24" s="333"/>
      <c r="U24" s="333"/>
      <c r="V24" s="182">
        <f>STDEV(D$2:D24)*SQRT(252)</f>
        <v>0.30824938276419228</v>
      </c>
      <c r="W24" s="182">
        <f>STDEV(L$2:L24)*SQRT(252)</f>
        <v>0.37503116894241934</v>
      </c>
      <c r="X24" s="182"/>
      <c r="Y24" s="167"/>
      <c r="Z24" s="792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9">
        <v>1958.08</v>
      </c>
      <c r="D25" s="170">
        <f t="shared" si="4"/>
        <v>-1.6139081499346859E-2</v>
      </c>
      <c r="E25" s="200">
        <f t="shared" si="5"/>
        <v>-6.866307718650716E-2</v>
      </c>
      <c r="F25" s="216">
        <v>4827.2299999999996</v>
      </c>
      <c r="G25" s="170">
        <f t="shared" si="2"/>
        <v>-1.3633159308942726E-2</v>
      </c>
      <c r="H25" s="200">
        <f t="shared" si="6"/>
        <v>-5.1941394819019243E-2</v>
      </c>
      <c r="I25" s="219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2">
        <f t="shared" si="1"/>
        <v>-0.14200128205128204</v>
      </c>
      <c r="O25" s="182"/>
      <c r="P25" s="167" t="b">
        <f t="shared" si="9"/>
        <v>0</v>
      </c>
      <c r="Q25" s="182">
        <f>COUNTIF(P$2:P25, TRUE)/(COUNTIF(P$2:P25,FALSE) + COUNTIF(P$2:P25, TRUE))</f>
        <v>0.41666666666666669</v>
      </c>
      <c r="R25" s="333"/>
      <c r="S25" s="333"/>
      <c r="T25" s="333"/>
      <c r="U25" s="333"/>
      <c r="V25" s="182">
        <f>STDEV(D$2:D25)*SQRT(252)</f>
        <v>0.30462094080099172</v>
      </c>
      <c r="W25" s="182">
        <f>STDEV(L$2:L25)*SQRT(252)</f>
        <v>0.37697940519041084</v>
      </c>
      <c r="X25" s="182"/>
      <c r="Y25" s="167"/>
      <c r="Z25" s="792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1">
        <v>1966.97</v>
      </c>
      <c r="D26" s="170">
        <f t="shared" si="4"/>
        <v>4.5401617911423947E-3</v>
      </c>
      <c r="E26" s="202">
        <f t="shared" si="5"/>
        <v>-6.4434656874869212E-2</v>
      </c>
      <c r="F26" s="217">
        <v>4828.95</v>
      </c>
      <c r="G26" s="170">
        <f t="shared" si="2"/>
        <v>3.5631200502156618E-4</v>
      </c>
      <c r="H26" s="202">
        <f t="shared" si="6"/>
        <v>-5.1603590156529253E-2</v>
      </c>
      <c r="I26" s="220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3">
        <f t="shared" si="1"/>
        <v>-0.13641782051282053</v>
      </c>
      <c r="O26" s="182">
        <f t="shared" ref="O26:O70" si="10">N26/(A26/365.25)</f>
        <v>-1.4236173983516487</v>
      </c>
      <c r="P26" s="173" t="b">
        <f t="shared" si="9"/>
        <v>1</v>
      </c>
      <c r="Q26" s="183">
        <f>COUNTIF(P$2:P26, TRUE)/(COUNTIF(P$2:P26,FALSE) + COUNTIF(P$2:P26, TRUE))</f>
        <v>0.44</v>
      </c>
      <c r="R26" s="334"/>
      <c r="S26" s="334"/>
      <c r="T26" s="334"/>
      <c r="U26" s="334"/>
      <c r="V26" s="183">
        <f>STDEV(D$2:D26)*SQRT(252)</f>
        <v>0.29890210628506431</v>
      </c>
      <c r="W26" s="183">
        <f>STDEV(L$2:L26)*SQRT(252)</f>
        <v>0.36977509623053162</v>
      </c>
      <c r="X26" s="173">
        <f>N26/V26</f>
        <v>-0.45639631720332619</v>
      </c>
      <c r="Y26" s="173">
        <f>O26/W26</f>
        <v>-3.8499547775497365</v>
      </c>
      <c r="Z26" s="794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1">
        <v>1942.74</v>
      </c>
      <c r="D27" s="170">
        <f t="shared" si="4"/>
        <v>-1.2318439020422282E-2</v>
      </c>
      <c r="E27" s="202">
        <f t="shared" si="5"/>
        <v>-7.5959361503776579E-2</v>
      </c>
      <c r="F27" s="217">
        <v>4756.72</v>
      </c>
      <c r="G27" s="170">
        <f t="shared" si="2"/>
        <v>-1.4957703020325239E-2</v>
      </c>
      <c r="H27" s="202">
        <f t="shared" si="6"/>
        <v>-6.578942200051055E-2</v>
      </c>
      <c r="I27" s="220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3">
        <f t="shared" si="1"/>
        <v>-0.15736364102564104</v>
      </c>
      <c r="O27" s="182">
        <f t="shared" si="10"/>
        <v>-1.5965852745726496</v>
      </c>
      <c r="P27" s="173" t="b">
        <f t="shared" si="9"/>
        <v>0</v>
      </c>
      <c r="Q27" s="183">
        <f>COUNTIF(P$2:P27, TRUE)/(COUNTIF(P$2:P27,FALSE) + COUNTIF(P$2:P27, TRUE))</f>
        <v>0.42307692307692307</v>
      </c>
      <c r="R27" s="334"/>
      <c r="S27" s="334"/>
      <c r="T27" s="334"/>
      <c r="U27" s="334"/>
      <c r="V27" s="183">
        <f>STDEV(D$2:D27)*SQRT(252)</f>
        <v>0.29423063039577757</v>
      </c>
      <c r="W27" s="183">
        <f>STDEV(L$2:L27)*SQRT(252)</f>
        <v>0.36891081336097858</v>
      </c>
      <c r="X27" s="173">
        <f t="shared" ref="X27:X90" si="11">N27/V27</f>
        <v>-0.53483092774524177</v>
      </c>
      <c r="Y27" s="173">
        <f t="shared" ref="Y27:Y90" si="12">O27/W27</f>
        <v>-4.3278353920474375</v>
      </c>
      <c r="Z27" s="794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1">
        <v>1938.76</v>
      </c>
      <c r="D28" s="170">
        <f t="shared" si="4"/>
        <v>-2.0486529334857047E-3</v>
      </c>
      <c r="E28" s="202">
        <f t="shared" si="5"/>
        <v>-7.7852400068491881E-2</v>
      </c>
      <c r="F28" s="217">
        <v>4752.74</v>
      </c>
      <c r="G28" s="170">
        <f t="shared" si="2"/>
        <v>-8.3671101094882037E-4</v>
      </c>
      <c r="H28" s="202">
        <f t="shared" si="6"/>
        <v>-6.6571086277667585E-2</v>
      </c>
      <c r="I28" s="220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3">
        <f t="shared" si="1"/>
        <v>-0.17482253846153842</v>
      </c>
      <c r="O28" s="182">
        <f t="shared" si="10"/>
        <v>-1.7257819506237002</v>
      </c>
      <c r="P28" s="173" t="b">
        <f t="shared" si="9"/>
        <v>0</v>
      </c>
      <c r="Q28" s="183">
        <f>COUNTIF(P$2:P28, TRUE)/(COUNTIF(P$2:P28,FALSE) + COUNTIF(P$2:P28, TRUE))</f>
        <v>0.40740740740740738</v>
      </c>
      <c r="R28" s="334"/>
      <c r="S28" s="334"/>
      <c r="T28" s="334"/>
      <c r="U28" s="334"/>
      <c r="V28" s="183">
        <f>STDEV(D$2:D28)*SQRT(252)</f>
        <v>0.288300857286579</v>
      </c>
      <c r="W28" s="183">
        <f>STDEV(L$2:L28)*SQRT(252)</f>
        <v>0.36576166417456935</v>
      </c>
      <c r="X28" s="173">
        <f t="shared" si="11"/>
        <v>-0.60638924249802006</v>
      </c>
      <c r="Y28" s="173">
        <f t="shared" si="12"/>
        <v>-4.7183237601413186</v>
      </c>
      <c r="Z28" s="794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1">
        <v>1932.24</v>
      </c>
      <c r="D29" s="170">
        <f t="shared" si="4"/>
        <v>-3.3629742722152212E-3</v>
      </c>
      <c r="E29" s="202">
        <f t="shared" si="5"/>
        <v>-8.0953558722246549E-2</v>
      </c>
      <c r="F29" s="217">
        <v>4734.4799999999996</v>
      </c>
      <c r="G29" s="170">
        <f t="shared" si="2"/>
        <v>-3.8419943022341258E-3</v>
      </c>
      <c r="H29" s="202">
        <f t="shared" si="6"/>
        <v>-7.0157314845729374E-2</v>
      </c>
      <c r="I29" s="221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3">
        <f t="shared" si="1"/>
        <v>-0.17065087179487187</v>
      </c>
      <c r="O29" s="182">
        <f t="shared" si="10"/>
        <v>-1.6402692348178145</v>
      </c>
      <c r="P29" s="173" t="b">
        <f t="shared" si="9"/>
        <v>1</v>
      </c>
      <c r="Q29" s="183">
        <f>COUNTIF(P$2:P29, TRUE)/(COUNTIF(P$2:P29,FALSE) + COUNTIF(P$2:P29, TRUE))</f>
        <v>0.42857142857142855</v>
      </c>
      <c r="R29" s="334"/>
      <c r="S29" s="334"/>
      <c r="T29" s="334"/>
      <c r="U29" s="334"/>
      <c r="V29" s="183">
        <f>STDEV(D$2:D29)*SQRT(252)</f>
        <v>0.28270501442194107</v>
      </c>
      <c r="W29" s="183">
        <f>STDEV(L$2:L29)*SQRT(252)</f>
        <v>0.35959656379312804</v>
      </c>
      <c r="X29" s="173">
        <f t="shared" si="11"/>
        <v>-0.60363581503429975</v>
      </c>
      <c r="Y29" s="173">
        <f t="shared" si="12"/>
        <v>-4.5614152079646777</v>
      </c>
      <c r="Z29" s="794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1">
        <v>1931.34</v>
      </c>
      <c r="D30" s="170">
        <f t="shared" si="4"/>
        <v>-4.6578064836670961E-4</v>
      </c>
      <c r="E30" s="202">
        <f t="shared" si="5"/>
        <v>-8.1381632769544021E-2</v>
      </c>
      <c r="F30" s="217">
        <v>4686.5</v>
      </c>
      <c r="G30" s="170">
        <f t="shared" si="2"/>
        <v>-1.0134164681232061E-2</v>
      </c>
      <c r="H30" s="202">
        <f t="shared" si="6"/>
        <v>-7.9580493744721773E-2</v>
      </c>
      <c r="I30" s="220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3">
        <f t="shared" ref="N30:N61" si="16">M30/J30</f>
        <v>-0.17766174358974363</v>
      </c>
      <c r="O30" s="182">
        <f t="shared" si="10"/>
        <v>-1.6638705601577912</v>
      </c>
      <c r="P30" s="173" t="b">
        <f t="shared" si="9"/>
        <v>0</v>
      </c>
      <c r="Q30" s="183">
        <f>COUNTIF(P$2:P30, TRUE)/(COUNTIF(P$2:P30,FALSE) + COUNTIF(P$2:P30, TRUE))</f>
        <v>0.41379310344827586</v>
      </c>
      <c r="R30" s="334"/>
      <c r="S30" s="334"/>
      <c r="T30" s="334"/>
      <c r="U30" s="334"/>
      <c r="V30" s="183">
        <f>STDEV(D$2:D30)*SQRT(252)</f>
        <v>0.27752195461786261</v>
      </c>
      <c r="W30" s="183">
        <f>STDEV(L$2:L30)*SQRT(252)</f>
        <v>0.35323644241397795</v>
      </c>
      <c r="X30" s="173">
        <f t="shared" si="11"/>
        <v>-0.64017185175269187</v>
      </c>
      <c r="Y30" s="173">
        <f t="shared" si="12"/>
        <v>-4.7103592958503597</v>
      </c>
      <c r="Z30" s="794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9">
        <v>1881.77</v>
      </c>
      <c r="D31" s="170">
        <f t="shared" si="4"/>
        <v>-2.5666117824929811E-2</v>
      </c>
      <c r="E31" s="200">
        <f t="shared" si="5"/>
        <v>-0.10495900001902554</v>
      </c>
      <c r="F31" s="216">
        <v>4543.97</v>
      </c>
      <c r="G31" s="170">
        <f t="shared" si="2"/>
        <v>-3.041288808279094E-2</v>
      </c>
      <c r="H31" s="200">
        <f t="shared" si="6"/>
        <v>-0.10757310917768124</v>
      </c>
      <c r="I31" s="219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2">
        <f t="shared" si="16"/>
        <v>-0.20803097435897441</v>
      </c>
      <c r="O31" s="182">
        <f t="shared" si="10"/>
        <v>-1.8091265091575097</v>
      </c>
      <c r="P31" s="167" t="b">
        <f t="shared" si="9"/>
        <v>0</v>
      </c>
      <c r="Q31" s="182">
        <f>COUNTIF(P$2:P31, TRUE)/(COUNTIF(P$2:P31,FALSE) + COUNTIF(P$2:P31, TRUE))</f>
        <v>0.4</v>
      </c>
      <c r="R31" s="333"/>
      <c r="S31" s="333"/>
      <c r="T31" s="333"/>
      <c r="U31" s="333"/>
      <c r="V31" s="182">
        <f>STDEV(D$2:D31)*SQRT(252)</f>
        <v>0.28067725027853285</v>
      </c>
      <c r="W31" s="182">
        <f>STDEV(L$2:L31)*SQRT(252)</f>
        <v>0.36074758156117998</v>
      </c>
      <c r="X31" s="173">
        <f t="shared" si="11"/>
        <v>-0.74117504768388898</v>
      </c>
      <c r="Y31" s="173">
        <f t="shared" si="12"/>
        <v>-5.0149373180224526</v>
      </c>
      <c r="Z31" s="794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9">
        <v>1884.09</v>
      </c>
      <c r="D32" s="170">
        <f t="shared" si="4"/>
        <v>1.2328818080849075E-3</v>
      </c>
      <c r="E32" s="200">
        <f t="shared" si="5"/>
        <v>-0.10385552025265887</v>
      </c>
      <c r="F32" s="216">
        <v>4517.32</v>
      </c>
      <c r="G32" s="170">
        <f t="shared" si="2"/>
        <v>-5.8649154813963439E-3</v>
      </c>
      <c r="H32" s="200">
        <f t="shared" si="6"/>
        <v>-0.11280711746567947</v>
      </c>
      <c r="I32" s="219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2">
        <f t="shared" si="16"/>
        <v>-0.19991538461538461</v>
      </c>
      <c r="O32" s="182">
        <f t="shared" si="10"/>
        <v>-1.6981184704830052</v>
      </c>
      <c r="P32" s="167" t="b">
        <f t="shared" si="9"/>
        <v>1</v>
      </c>
      <c r="Q32" s="182">
        <f>COUNTIF(P$2:P32, TRUE)/(COUNTIF(P$2:P32,FALSE) + COUNTIF(P$2:P32, TRUE))</f>
        <v>0.41935483870967744</v>
      </c>
      <c r="R32" s="333"/>
      <c r="S32" s="333"/>
      <c r="T32" s="333"/>
      <c r="U32" s="333"/>
      <c r="V32" s="182">
        <f>STDEV(D$2:D32)*SQRT(252)</f>
        <v>0.27616064910345123</v>
      </c>
      <c r="W32" s="182">
        <f>STDEV(L$2:L32)*SQRT(252)</f>
        <v>0.35703191736213136</v>
      </c>
      <c r="X32" s="173">
        <f t="shared" si="11"/>
        <v>-0.72390974334831915</v>
      </c>
      <c r="Y32" s="173">
        <f t="shared" si="12"/>
        <v>-4.7562091451914448</v>
      </c>
      <c r="Z32" s="794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9">
        <v>1920.03</v>
      </c>
      <c r="D33" s="170">
        <f t="shared" si="4"/>
        <v>1.9075521869974393E-2</v>
      </c>
      <c r="E33" s="200">
        <f t="shared" si="5"/>
        <v>-8.6761096630581652E-2</v>
      </c>
      <c r="F33" s="216">
        <v>4620.16</v>
      </c>
      <c r="G33" s="170">
        <f t="shared" si="2"/>
        <v>2.2765710642593431E-2</v>
      </c>
      <c r="H33" s="200">
        <f t="shared" si="6"/>
        <v>-9.2609541017734748E-2</v>
      </c>
      <c r="I33" s="467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2">
        <f t="shared" si="16"/>
        <v>-0.17781158974358979</v>
      </c>
      <c r="O33" s="182">
        <f t="shared" si="10"/>
        <v>-1.476038253496504</v>
      </c>
      <c r="P33" s="167" t="b">
        <f t="shared" si="9"/>
        <v>1</v>
      </c>
      <c r="Q33" s="182">
        <f>COUNTIF(P$2:P33, TRUE)/(COUNTIF(P$2:P33,FALSE) + COUNTIF(P$2:P33, TRUE))</f>
        <v>0.4375</v>
      </c>
      <c r="R33" s="333"/>
      <c r="S33" s="333"/>
      <c r="T33" s="333"/>
      <c r="U33" s="333"/>
      <c r="V33" s="182">
        <f>STDEV(D$2:D33)*SQRT(252)</f>
        <v>0.27904525871697899</v>
      </c>
      <c r="W33" s="182">
        <f>STDEV(L$2:L33)*SQRT(252)</f>
        <v>0.36241608593546876</v>
      </c>
      <c r="X33" s="173">
        <f t="shared" si="11"/>
        <v>-0.63721415859616803</v>
      </c>
      <c r="Y33" s="173">
        <f t="shared" si="12"/>
        <v>-4.0727724589998608</v>
      </c>
      <c r="Z33" s="794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9">
        <v>1923.82</v>
      </c>
      <c r="D34" s="170">
        <f t="shared" si="4"/>
        <v>1.9739274907162718E-3</v>
      </c>
      <c r="E34" s="200">
        <f t="shared" si="5"/>
        <v>-8.4958429253629175E-2</v>
      </c>
      <c r="F34" s="216">
        <v>4627.08</v>
      </c>
      <c r="G34" s="170">
        <f t="shared" si="2"/>
        <v>1.497783626541088E-3</v>
      </c>
      <c r="H34" s="200">
        <f t="shared" si="6"/>
        <v>-9.1250466445391504E-2</v>
      </c>
      <c r="I34" s="219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2">
        <f t="shared" si="16"/>
        <v>-0.17445241025641026</v>
      </c>
      <c r="O34" s="182">
        <f t="shared" si="10"/>
        <v>-1.4159720632478634</v>
      </c>
      <c r="P34" s="167" t="b">
        <f t="shared" si="9"/>
        <v>1</v>
      </c>
      <c r="Q34" s="182">
        <f>COUNTIF(P$2:P34, TRUE)/(COUNTIF(P$2:P34,FALSE) + COUNTIF(P$2:P34, TRUE))</f>
        <v>0.45454545454545453</v>
      </c>
      <c r="R34" s="333"/>
      <c r="S34" s="333"/>
      <c r="T34" s="333"/>
      <c r="U34" s="333"/>
      <c r="V34" s="182">
        <f>STDEV(D$2:D34)*SQRT(252)</f>
        <v>0.27483074679675301</v>
      </c>
      <c r="W34" s="182">
        <f>STDEV(L$2:L34)*SQRT(252)</f>
        <v>0.35707118458821713</v>
      </c>
      <c r="X34" s="173">
        <f t="shared" si="11"/>
        <v>-0.63476307614673089</v>
      </c>
      <c r="Y34" s="173">
        <f t="shared" si="12"/>
        <v>-3.9655175896671575</v>
      </c>
      <c r="Z34" s="794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9">
        <v>1951.36</v>
      </c>
      <c r="D35" s="170">
        <f t="shared" si="4"/>
        <v>1.4315268580220584E-2</v>
      </c>
      <c r="E35" s="200">
        <f t="shared" si="5"/>
        <v>-7.1859363406327953E-2</v>
      </c>
      <c r="F35" s="216">
        <v>4707.78</v>
      </c>
      <c r="G35" s="170">
        <f t="shared" si="2"/>
        <v>1.7440805000129633E-2</v>
      </c>
      <c r="H35" s="200">
        <f t="shared" si="6"/>
        <v>-7.5401143036706808E-2</v>
      </c>
      <c r="I35" s="219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2">
        <f t="shared" si="16"/>
        <v>-0.13762305128205127</v>
      </c>
      <c r="O35" s="182">
        <f t="shared" si="10"/>
        <v>-1.0927569452341137</v>
      </c>
      <c r="P35" s="167" t="b">
        <f t="shared" si="9"/>
        <v>1</v>
      </c>
      <c r="Q35" s="182">
        <f>COUNTIF(P$2:P35, TRUE)/(COUNTIF(P$2:P35,FALSE) + COUNTIF(P$2:P35, TRUE))</f>
        <v>0.47058823529411764</v>
      </c>
      <c r="R35" s="333"/>
      <c r="S35" s="333"/>
      <c r="T35" s="333"/>
      <c r="U35" s="333"/>
      <c r="V35" s="182">
        <f>STDEV(D$2:D35)*SQRT(252)</f>
        <v>0.27452334333609368</v>
      </c>
      <c r="W35" s="182">
        <f>STDEV(L$2:L35)*SQRT(252)</f>
        <v>0.37502060427916972</v>
      </c>
      <c r="X35" s="173">
        <f t="shared" si="11"/>
        <v>-0.50131638938100065</v>
      </c>
      <c r="Y35" s="173">
        <f t="shared" si="12"/>
        <v>-2.9138584194180774</v>
      </c>
      <c r="Z35" s="794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1">
        <v>1987.05</v>
      </c>
      <c r="D36" s="170">
        <f t="shared" si="4"/>
        <v>1.8289808133814395E-2</v>
      </c>
      <c r="E36" s="202">
        <f t="shared" si="5"/>
        <v>-5.4883849241833343E-2</v>
      </c>
      <c r="F36" s="217">
        <v>4781.26</v>
      </c>
      <c r="G36" s="170">
        <f t="shared" si="2"/>
        <v>1.5608205990934257E-2</v>
      </c>
      <c r="H36" s="202">
        <f t="shared" si="6"/>
        <v>-6.0969813618241372E-2</v>
      </c>
      <c r="I36" s="220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3">
        <f t="shared" si="16"/>
        <v>-0.10756530769230763</v>
      </c>
      <c r="O36" s="182">
        <f t="shared" si="10"/>
        <v>-0.80180058437990531</v>
      </c>
      <c r="P36" s="173" t="b">
        <f t="shared" si="9"/>
        <v>1</v>
      </c>
      <c r="Q36" s="183">
        <f>COUNTIF(P$2:P36, TRUE)/(COUNTIF(P$2:P36,FALSE) + COUNTIF(P$2:P36, TRUE))</f>
        <v>0.48571428571428571</v>
      </c>
      <c r="R36" s="334"/>
      <c r="S36" s="334"/>
      <c r="T36" s="334"/>
      <c r="U36" s="334"/>
      <c r="V36" s="183">
        <f>STDEV(D$2:D36)*SQRT(252)</f>
        <v>0.27597887919090974</v>
      </c>
      <c r="W36" s="183">
        <f>STDEV(L$2:L36)*SQRT(252)</f>
        <v>0.38219304301343621</v>
      </c>
      <c r="X36" s="173">
        <f t="shared" si="11"/>
        <v>-0.38975920189131141</v>
      </c>
      <c r="Y36" s="173">
        <f t="shared" si="12"/>
        <v>-2.0978942422866593</v>
      </c>
      <c r="Z36" s="794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1">
        <v>1979.92</v>
      </c>
      <c r="D37" s="170">
        <f t="shared" si="4"/>
        <v>-3.5882338139452364E-3</v>
      </c>
      <c r="E37" s="202">
        <f t="shared" si="5"/>
        <v>-5.8275146972089562E-2</v>
      </c>
      <c r="F37" s="217">
        <v>4748.3599999999997</v>
      </c>
      <c r="G37" s="170">
        <f t="shared" si="2"/>
        <v>-6.8810313599345242E-3</v>
      </c>
      <c r="H37" s="202">
        <f t="shared" si="6"/>
        <v>-6.7431309778659423E-2</v>
      </c>
      <c r="I37" s="220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3">
        <f t="shared" si="16"/>
        <v>-0.10399328205128207</v>
      </c>
      <c r="O37" s="182">
        <f t="shared" si="10"/>
        <v>-0.75967092538461556</v>
      </c>
      <c r="P37" s="173" t="b">
        <f t="shared" si="9"/>
        <v>1</v>
      </c>
      <c r="Q37" s="183">
        <f>COUNTIF(P$2:P37, TRUE)/(COUNTIF(P$2:P37,FALSE) + COUNTIF(P$2:P37, TRUE))</f>
        <v>0.5</v>
      </c>
      <c r="R37" s="334"/>
      <c r="S37" s="334"/>
      <c r="T37" s="334"/>
      <c r="U37" s="334"/>
      <c r="V37" s="183">
        <f>STDEV(D$2:D37)*SQRT(252)</f>
        <v>0.27194715501453054</v>
      </c>
      <c r="W37" s="183">
        <f>STDEV(L$2:L37)*SQRT(252)</f>
        <v>0.37670306697854899</v>
      </c>
      <c r="X37" s="173">
        <f t="shared" si="11"/>
        <v>-0.38240253716103612</v>
      </c>
      <c r="Y37" s="173">
        <f t="shared" si="12"/>
        <v>-2.0166305824844115</v>
      </c>
      <c r="Z37" s="794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1">
        <v>1995.83</v>
      </c>
      <c r="D38" s="170">
        <f t="shared" si="4"/>
        <v>8.0356782092205013E-3</v>
      </c>
      <c r="E38" s="202">
        <f t="shared" si="5"/>
        <v>-5.0707749091531806E-2</v>
      </c>
      <c r="F38" s="217">
        <v>4791.1499999999996</v>
      </c>
      <c r="G38" s="170">
        <f t="shared" si="2"/>
        <v>9.0115324027664218E-3</v>
      </c>
      <c r="H38" s="202">
        <f t="shared" si="6"/>
        <v>-5.9027436808924368E-2</v>
      </c>
      <c r="I38" s="220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3">
        <f t="shared" si="16"/>
        <v>-9.8276179487179538E-2</v>
      </c>
      <c r="O38" s="182">
        <f t="shared" si="10"/>
        <v>-0.70383087368024178</v>
      </c>
      <c r="P38" s="173" t="b">
        <f t="shared" si="9"/>
        <v>0</v>
      </c>
      <c r="Q38" s="183">
        <f>COUNTIF(P$2:P38, TRUE)/(COUNTIF(P$2:P38,FALSE) + COUNTIF(P$2:P38, TRUE))</f>
        <v>0.48648648648648651</v>
      </c>
      <c r="R38" s="334"/>
      <c r="S38" s="334"/>
      <c r="T38" s="334"/>
      <c r="U38" s="334"/>
      <c r="V38" s="183">
        <f>STDEV(D$2:D38)*SQRT(252)</f>
        <v>0.26923649970087526</v>
      </c>
      <c r="W38" s="183">
        <f>STDEV(L$2:L38)*SQRT(252)</f>
        <v>0.37168118749449619</v>
      </c>
      <c r="X38" s="173">
        <f t="shared" si="11"/>
        <v>-0.36501804025964335</v>
      </c>
      <c r="Y38" s="173">
        <f t="shared" si="12"/>
        <v>-1.8936413715872129</v>
      </c>
      <c r="Z38" s="794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1">
        <v>2013.43</v>
      </c>
      <c r="D39" s="170">
        <f t="shared" si="4"/>
        <v>8.8183863355096054E-3</v>
      </c>
      <c r="E39" s="202">
        <f t="shared" si="5"/>
        <v>-4.2336523277715414E-2</v>
      </c>
      <c r="F39" s="217">
        <v>4810.79</v>
      </c>
      <c r="G39" s="170">
        <f t="shared" si="2"/>
        <v>4.0992246120451934E-3</v>
      </c>
      <c r="H39" s="202">
        <f t="shared" si="6"/>
        <v>-5.5170178918632254E-2</v>
      </c>
      <c r="I39" s="220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3">
        <f t="shared" si="16"/>
        <v>-9.0954948717948694E-2</v>
      </c>
      <c r="O39" s="182">
        <f t="shared" si="10"/>
        <v>-0.63887105806212996</v>
      </c>
      <c r="P39" s="173" t="b">
        <f t="shared" si="9"/>
        <v>0</v>
      </c>
      <c r="Q39" s="183">
        <f>COUNTIF(P$2:P39, TRUE)/(COUNTIF(P$2:P39,FALSE) + COUNTIF(P$2:P39, TRUE))</f>
        <v>0.47368421052631576</v>
      </c>
      <c r="R39" s="334"/>
      <c r="S39" s="334"/>
      <c r="T39" s="334"/>
      <c r="U39" s="334"/>
      <c r="V39" s="183">
        <f>STDEV(D$2:D39)*SQRT(252)</f>
        <v>0.26678199068533232</v>
      </c>
      <c r="W39" s="183">
        <f>STDEV(L$2:L39)*SQRT(252)</f>
        <v>0.36708606132795213</v>
      </c>
      <c r="X39" s="173">
        <f t="shared" si="11"/>
        <v>-0.34093361581228132</v>
      </c>
      <c r="Y39" s="173">
        <f t="shared" si="12"/>
        <v>-1.7403849542828786</v>
      </c>
      <c r="Z39" s="794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1">
        <v>2014.89</v>
      </c>
      <c r="D40" s="170">
        <f t="shared" si="4"/>
        <v>7.2513074703368691E-4</v>
      </c>
      <c r="E40" s="202">
        <f t="shared" si="5"/>
        <v>-4.1642092045432906E-2</v>
      </c>
      <c r="F40" s="217">
        <v>4830.47</v>
      </c>
      <c r="G40" s="170">
        <f t="shared" si="2"/>
        <v>4.0908042130295211E-3</v>
      </c>
      <c r="H40" s="202">
        <f t="shared" si="6"/>
        <v>-5.1305065105956671E-2</v>
      </c>
      <c r="I40" s="220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40">
        <f t="shared" si="15"/>
        <v>-38308.080000000016</v>
      </c>
      <c r="N40" s="183">
        <f t="shared" si="16"/>
        <v>-9.8225846153846191E-2</v>
      </c>
      <c r="O40" s="182">
        <f t="shared" si="10"/>
        <v>-0.67692434542815694</v>
      </c>
      <c r="P40" s="240" t="b">
        <f t="shared" si="9"/>
        <v>0</v>
      </c>
      <c r="Q40" s="183">
        <f>COUNTIF(P$2:P40, TRUE)/(COUNTIF(P$2:P40,FALSE) + COUNTIF(P$2:P40, TRUE))</f>
        <v>0.46153846153846156</v>
      </c>
      <c r="R40" s="334"/>
      <c r="S40" s="334"/>
      <c r="T40" s="334"/>
      <c r="U40" s="334"/>
      <c r="V40" s="183">
        <f>STDEV(D$2:D40)*SQRT(252)</f>
        <v>0.26319098013674441</v>
      </c>
      <c r="W40" s="183">
        <f>STDEV(L$2:L40)*SQRT(252)</f>
        <v>0.36271772022566956</v>
      </c>
      <c r="X40" s="173">
        <f t="shared" si="11"/>
        <v>-0.37321129357401089</v>
      </c>
      <c r="Y40" s="173">
        <f t="shared" si="12"/>
        <v>-1.8662566168727561</v>
      </c>
      <c r="Z40" s="794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7">
        <v>2017.46</v>
      </c>
      <c r="D41" s="170">
        <f t="shared" si="4"/>
        <v>1.2755038736605652E-3</v>
      </c>
      <c r="E41" s="198">
        <f t="shared" si="5"/>
        <v>-4.0419702821483619E-2</v>
      </c>
      <c r="F41" s="215">
        <v>4838.6400000000003</v>
      </c>
      <c r="G41" s="170">
        <f t="shared" si="2"/>
        <v>1.6913468047622844E-3</v>
      </c>
      <c r="H41" s="200">
        <f t="shared" si="6"/>
        <v>-4.9700492959129462E-2</v>
      </c>
      <c r="I41" s="219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2">
        <f t="shared" si="16"/>
        <v>-0.10546979487179479</v>
      </c>
      <c r="O41" s="182">
        <f t="shared" si="10"/>
        <v>-0.68790790315934025</v>
      </c>
      <c r="P41" s="174" t="b">
        <f t="shared" si="9"/>
        <v>0</v>
      </c>
      <c r="Q41" s="182">
        <f>COUNTIF(P$2:P41, TRUE)/(COUNTIF(P$2:P41,FALSE) + COUNTIF(P$2:P41, TRUE))</f>
        <v>0.45</v>
      </c>
      <c r="R41" s="333"/>
      <c r="S41" s="333"/>
      <c r="T41" s="333"/>
      <c r="U41" s="333"/>
      <c r="V41" s="182">
        <f>STDEV(D$2:D41)*SQRT(252)</f>
        <v>0.25976838750277326</v>
      </c>
      <c r="W41" s="182">
        <f>STDEV(L$2:L41)*SQRT(252)</f>
        <v>0.35850362464103236</v>
      </c>
      <c r="X41" s="173">
        <f t="shared" si="11"/>
        <v>-0.40601474215436939</v>
      </c>
      <c r="Y41" s="173">
        <f t="shared" si="12"/>
        <v>-1.918831096472563</v>
      </c>
      <c r="Z41" s="794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7">
        <v>2003.69</v>
      </c>
      <c r="D42" s="170">
        <f t="shared" si="4"/>
        <v>-6.8254141346048899E-3</v>
      </c>
      <c r="E42" s="198">
        <f t="shared" si="5"/>
        <v>-4.6969235745134223E-2</v>
      </c>
      <c r="F42" s="215">
        <v>4796.6099999999997</v>
      </c>
      <c r="G42" s="170">
        <f t="shared" si="2"/>
        <v>-8.6863250830813317E-3</v>
      </c>
      <c r="H42" s="200">
        <f t="shared" si="6"/>
        <v>-5.7955103403578401E-2</v>
      </c>
      <c r="I42" s="219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2">
        <f t="shared" si="16"/>
        <v>-0.10895233333333326</v>
      </c>
      <c r="O42" s="182">
        <f t="shared" si="10"/>
        <v>-0.69815508333333287</v>
      </c>
      <c r="P42" s="174" t="b">
        <f t="shared" si="9"/>
        <v>1</v>
      </c>
      <c r="Q42" s="182">
        <f>COUNTIF(P$2:P42, TRUE)/(COUNTIF(P$2:P42,FALSE) + COUNTIF(P$2:P42, TRUE))</f>
        <v>0.46341463414634149</v>
      </c>
      <c r="R42" s="333"/>
      <c r="S42" s="333"/>
      <c r="T42" s="333"/>
      <c r="U42" s="333"/>
      <c r="V42" s="182">
        <f>STDEV(D$2:D42)*SQRT(252)</f>
        <v>0.2568435001245859</v>
      </c>
      <c r="W42" s="182">
        <f>STDEV(L$2:L42)*SQRT(252)</f>
        <v>0.35400225993009587</v>
      </c>
      <c r="X42" s="173">
        <f t="shared" si="11"/>
        <v>-0.42419735473346321</v>
      </c>
      <c r="Y42" s="173">
        <f t="shared" si="12"/>
        <v>-1.9721769105971136</v>
      </c>
      <c r="Z42" s="794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3">
        <v>1994.24</v>
      </c>
      <c r="D43" s="170">
        <f t="shared" si="4"/>
        <v>-4.7162984293977837E-3</v>
      </c>
      <c r="E43" s="198">
        <f t="shared" si="5"/>
        <v>-5.1464013241757214E-2</v>
      </c>
      <c r="F43" s="215">
        <v>4782.8500000000004</v>
      </c>
      <c r="G43" s="170">
        <f t="shared" si="2"/>
        <v>-2.8686926808723888E-3</v>
      </c>
      <c r="H43" s="200">
        <f t="shared" si="6"/>
        <v>-6.0657540703497742E-2</v>
      </c>
      <c r="I43" s="219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2">
        <f t="shared" si="16"/>
        <v>-0.10166756410256404</v>
      </c>
      <c r="O43" s="182">
        <f t="shared" si="10"/>
        <v>-0.64024272049071573</v>
      </c>
      <c r="P43" s="174" t="b">
        <f t="shared" si="9"/>
        <v>1</v>
      </c>
      <c r="Q43" s="182">
        <f>COUNTIF(P$2:P43, TRUE)/(COUNTIF(P$2:P43,FALSE) + COUNTIF(P$2:P43, TRUE))</f>
        <v>0.47619047619047616</v>
      </c>
      <c r="R43" s="333"/>
      <c r="S43" s="333"/>
      <c r="T43" s="333"/>
      <c r="U43" s="333"/>
      <c r="V43" s="182">
        <f>STDEV(D$2:D43)*SQRT(252)</f>
        <v>0.25377333453127793</v>
      </c>
      <c r="W43" s="182">
        <f>STDEV(L$2:L43)*SQRT(252)</f>
        <v>0.35017187352757795</v>
      </c>
      <c r="X43" s="173">
        <f t="shared" si="11"/>
        <v>-0.40062351030830379</v>
      </c>
      <c r="Y43" s="173">
        <f t="shared" si="12"/>
        <v>-1.8283670645532104</v>
      </c>
      <c r="Z43" s="794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3">
        <v>2023.86</v>
      </c>
      <c r="D44" s="170">
        <f t="shared" si="4"/>
        <v>1.4852775994865158E-2</v>
      </c>
      <c r="E44" s="198">
        <f>(C44-$C$2)/$C$2</f>
        <v>-3.7375620707368655E-2</v>
      </c>
      <c r="F44" s="215">
        <v>4870.1000000000004</v>
      </c>
      <c r="G44" s="170">
        <f t="shared" si="2"/>
        <v>1.8242261413174154E-2</v>
      </c>
      <c r="H44" s="200">
        <f t="shared" si="6"/>
        <v>-4.3521810004517048E-2</v>
      </c>
      <c r="I44" s="219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2">
        <f t="shared" si="16"/>
        <v>-9.3111333333333296E-2</v>
      </c>
      <c r="O44" s="182">
        <f t="shared" si="10"/>
        <v>-0.57642227966101678</v>
      </c>
      <c r="P44" s="174" t="b">
        <f t="shared" si="9"/>
        <v>0</v>
      </c>
      <c r="Q44" s="182">
        <f>COUNTIF(P$2:P44, TRUE)/(COUNTIF(P$2:P44,FALSE) + COUNTIF(P$2:P44, TRUE))</f>
        <v>0.46511627906976744</v>
      </c>
      <c r="R44" s="333"/>
      <c r="S44" s="333"/>
      <c r="T44" s="333"/>
      <c r="U44" s="333"/>
      <c r="V44" s="182">
        <f>STDEV(D$2:D44)*SQRT(252)</f>
        <v>0.25371078720500778</v>
      </c>
      <c r="W44" s="182">
        <f>STDEV(L$2:L44)*SQRT(252)</f>
        <v>0.34666743153233776</v>
      </c>
      <c r="X44" s="173">
        <f t="shared" si="11"/>
        <v>-0.36699792846449159</v>
      </c>
      <c r="Y44" s="173">
        <f t="shared" si="12"/>
        <v>-1.6627529073415339</v>
      </c>
      <c r="Z44" s="794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3">
        <v>2033.11</v>
      </c>
      <c r="D45" s="170">
        <f t="shared" si="4"/>
        <v>4.5704742422894868E-3</v>
      </c>
      <c r="E45" s="198">
        <f t="shared" ref="E45:E53" si="17">(C45-$C$2)/$C$2</f>
        <v>-3.2975970776811775E-2</v>
      </c>
      <c r="F45" s="215">
        <v>4886.6899999999996</v>
      </c>
      <c r="G45" s="170">
        <f t="shared" si="2"/>
        <v>3.4065008932053211E-3</v>
      </c>
      <c r="H45" s="200">
        <f t="shared" si="6"/>
        <v>-4.0263566195966029E-2</v>
      </c>
      <c r="I45" s="219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2">
        <f t="shared" si="16"/>
        <v>-9.7517076923076859E-2</v>
      </c>
      <c r="O45" s="182">
        <f t="shared" si="10"/>
        <v>-0.59363520576923046</v>
      </c>
      <c r="P45" s="174" t="b">
        <f t="shared" si="9"/>
        <v>0</v>
      </c>
      <c r="Q45" s="182">
        <f>COUNTIF(P$2:P45, TRUE)/(COUNTIF(P$2:P45,FALSE) + COUNTIF(P$2:P45, TRUE))</f>
        <v>0.45454545454545453</v>
      </c>
      <c r="R45" s="333"/>
      <c r="S45" s="333"/>
      <c r="T45" s="333"/>
      <c r="U45" s="333"/>
      <c r="V45" s="182">
        <f>STDEV(D$2:D45)*SQRT(252)</f>
        <v>0.25100684114352073</v>
      </c>
      <c r="W45" s="182">
        <f>STDEV(L$2:L45)*SQRT(252)</f>
        <v>0.34273345139982825</v>
      </c>
      <c r="X45" s="173">
        <f t="shared" si="11"/>
        <v>-0.38850366180784102</v>
      </c>
      <c r="Y45" s="173">
        <f t="shared" si="12"/>
        <v>-1.7320608868047245</v>
      </c>
      <c r="Z45" s="794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80">
        <v>42296</v>
      </c>
      <c r="C46" s="204">
        <v>2033.66</v>
      </c>
      <c r="D46" s="170">
        <f t="shared" si="4"/>
        <v>2.7052151629778119E-4</v>
      </c>
      <c r="E46" s="205">
        <f t="shared" si="17"/>
        <v>-3.2714369970129928E-2</v>
      </c>
      <c r="F46" s="218">
        <v>4905.47</v>
      </c>
      <c r="G46" s="170">
        <f t="shared" si="2"/>
        <v>3.843092154403217E-3</v>
      </c>
      <c r="H46" s="202">
        <f t="shared" si="6"/>
        <v>-3.657521063691882E-2</v>
      </c>
      <c r="I46" s="220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1">
        <f t="shared" si="15"/>
        <v>-36383.210000000021</v>
      </c>
      <c r="N46" s="183">
        <f t="shared" si="16"/>
        <v>-9.3290282051282106E-2</v>
      </c>
      <c r="O46" s="182">
        <f t="shared" si="10"/>
        <v>-0.5408615161782665</v>
      </c>
      <c r="P46" s="181" t="b">
        <f t="shared" si="9"/>
        <v>1</v>
      </c>
      <c r="Q46" s="183">
        <f>COUNTIF(P$2:P46, TRUE)/(COUNTIF(P$2:P46,FALSE) + COUNTIF(P$2:P46, TRUE))</f>
        <v>0.46666666666666667</v>
      </c>
      <c r="R46" s="334"/>
      <c r="S46" s="334"/>
      <c r="T46" s="334"/>
      <c r="U46" s="334"/>
      <c r="V46" s="183">
        <f>STDEV(D$2:D46)*SQRT(252)</f>
        <v>0.24808092074482793</v>
      </c>
      <c r="W46" s="183">
        <f>STDEV(L$2:L46)*SQRT(252)</f>
        <v>0.33890448472804552</v>
      </c>
      <c r="X46" s="173">
        <f t="shared" si="11"/>
        <v>-0.37604779025807872</v>
      </c>
      <c r="Y46" s="173">
        <f t="shared" si="12"/>
        <v>-1.5959113571845522</v>
      </c>
      <c r="Z46" s="794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80">
        <v>42297</v>
      </c>
      <c r="C47" s="204">
        <v>2030.77</v>
      </c>
      <c r="D47" s="170">
        <f t="shared" si="4"/>
        <v>-1.4210831702448296E-3</v>
      </c>
      <c r="E47" s="205">
        <f t="shared" si="17"/>
        <v>-3.4088963299785044E-2</v>
      </c>
      <c r="F47" s="218">
        <v>4880.97</v>
      </c>
      <c r="G47" s="170">
        <f t="shared" si="2"/>
        <v>-4.9944245913235629E-3</v>
      </c>
      <c r="H47" s="202">
        <f t="shared" si="6"/>
        <v>-4.1386963096804522E-2</v>
      </c>
      <c r="I47" s="220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1">
        <f t="shared" si="15"/>
        <v>-42807</v>
      </c>
      <c r="N47" s="183">
        <f t="shared" si="16"/>
        <v>-0.10837215189873417</v>
      </c>
      <c r="O47" s="182">
        <f t="shared" si="10"/>
        <v>-0.61848325751582278</v>
      </c>
      <c r="P47" s="181" t="b">
        <f t="shared" si="9"/>
        <v>0</v>
      </c>
      <c r="Q47" s="183">
        <f>COUNTIF(P$2:P47, TRUE)/(COUNTIF(P$2:P47,FALSE) + COUNTIF(P$2:P47, TRUE))</f>
        <v>0.45652173913043476</v>
      </c>
      <c r="R47" s="334"/>
      <c r="S47" s="334"/>
      <c r="T47" s="334"/>
      <c r="U47" s="334"/>
      <c r="V47" s="183">
        <f>STDEV(D$2:D47)*SQRT(252)</f>
        <v>0.24525265348900513</v>
      </c>
      <c r="W47" s="183">
        <f>STDEV(L$2:L47)*SQRT(252)</f>
        <v>0.33783134123152347</v>
      </c>
      <c r="X47" s="173">
        <f t="shared" si="11"/>
        <v>-0.44187963048315226</v>
      </c>
      <c r="Y47" s="173">
        <f t="shared" si="12"/>
        <v>-1.8307456474026849</v>
      </c>
      <c r="Z47" s="794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80">
        <v>42298</v>
      </c>
      <c r="C48" s="204">
        <v>2018.94</v>
      </c>
      <c r="D48" s="170">
        <f t="shared" si="4"/>
        <v>-5.8253765812967141E-3</v>
      </c>
      <c r="E48" s="205">
        <f t="shared" si="17"/>
        <v>-3.9715758832594511E-2</v>
      </c>
      <c r="F48" s="218">
        <v>4840.12</v>
      </c>
      <c r="G48" s="170">
        <f t="shared" si="2"/>
        <v>-8.3692380817748033E-3</v>
      </c>
      <c r="H48" s="202">
        <f t="shared" si="6"/>
        <v>-4.9409823830940537E-2</v>
      </c>
      <c r="I48" s="220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1">
        <f t="shared" si="15"/>
        <v>-49688.650000000023</v>
      </c>
      <c r="N48" s="183">
        <f t="shared" si="16"/>
        <v>-0.12422162500000006</v>
      </c>
      <c r="O48" s="182">
        <f t="shared" si="10"/>
        <v>-0.69802997740384654</v>
      </c>
      <c r="P48" s="181" t="b">
        <f t="shared" si="9"/>
        <v>0</v>
      </c>
      <c r="Q48" s="183">
        <f>COUNTIF(P$2:P48, TRUE)/(COUNTIF(P$2:P48,FALSE) + COUNTIF(P$2:P48, TRUE))</f>
        <v>0.44680851063829785</v>
      </c>
      <c r="R48" s="334"/>
      <c r="S48" s="334"/>
      <c r="T48" s="334"/>
      <c r="U48" s="334"/>
      <c r="V48" s="183">
        <f>STDEV(D$2:D48)*SQRT(252)</f>
        <v>0.24281424638505256</v>
      </c>
      <c r="W48" s="183">
        <f>STDEV(L$2:L48)*SQRT(252)</f>
        <v>0.33709966873657005</v>
      </c>
      <c r="X48" s="173">
        <f t="shared" si="11"/>
        <v>-0.51159117246774133</v>
      </c>
      <c r="Y48" s="173">
        <f t="shared" si="12"/>
        <v>-2.0706931573680341</v>
      </c>
      <c r="Z48" s="794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80">
        <v>42299</v>
      </c>
      <c r="C49" s="204">
        <v>2052.5100000000002</v>
      </c>
      <c r="D49" s="170">
        <f t="shared" si="4"/>
        <v>1.6627537222502979E-2</v>
      </c>
      <c r="E49" s="205">
        <f t="shared" si="17"/>
        <v>-2.3748596868400446E-2</v>
      </c>
      <c r="F49" s="218">
        <v>4920.05</v>
      </c>
      <c r="G49" s="170">
        <f t="shared" si="2"/>
        <v>1.6514053370577649E-2</v>
      </c>
      <c r="H49" s="202">
        <f t="shared" si="6"/>
        <v>-3.3711726928137876E-2</v>
      </c>
      <c r="I49" s="220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1">
        <f t="shared" si="15"/>
        <v>-46442.109999999986</v>
      </c>
      <c r="N49" s="183">
        <f t="shared" si="16"/>
        <v>-0.11610527499999997</v>
      </c>
      <c r="O49" s="182">
        <f t="shared" si="10"/>
        <v>-0.64253714687499974</v>
      </c>
      <c r="P49" s="181" t="b">
        <f t="shared" si="9"/>
        <v>0</v>
      </c>
      <c r="Q49" s="183">
        <f>COUNTIF(P$2:P49, TRUE)/(COUNTIF(P$2:P49,FALSE) + COUNTIF(P$2:P49, TRUE))</f>
        <v>0.4375</v>
      </c>
      <c r="R49" s="334"/>
      <c r="S49" s="334"/>
      <c r="T49" s="334"/>
      <c r="U49" s="334"/>
      <c r="V49" s="183">
        <f>STDEV(D$2:D49)*SQRT(252)</f>
        <v>0.24351413133026822</v>
      </c>
      <c r="W49" s="183">
        <f>STDEV(L$2:L49)*SQRT(252)</f>
        <v>0.33420544036824928</v>
      </c>
      <c r="X49" s="173">
        <f t="shared" si="11"/>
        <v>-0.47679070765109377</v>
      </c>
      <c r="Y49" s="173">
        <f t="shared" si="12"/>
        <v>-1.9225813504621905</v>
      </c>
      <c r="Z49" s="794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80">
        <v>42300</v>
      </c>
      <c r="C50" s="204">
        <v>2075.15</v>
      </c>
      <c r="D50" s="170">
        <f t="shared" si="4"/>
        <v>1.103039692863853E-2</v>
      </c>
      <c r="E50" s="205">
        <f t="shared" si="17"/>
        <v>-1.2980156389718596E-2</v>
      </c>
      <c r="F50" s="218">
        <v>5031.8599999999997</v>
      </c>
      <c r="G50" s="170">
        <f t="shared" si="2"/>
        <v>2.2725378807125839E-2</v>
      </c>
      <c r="H50" s="202">
        <f t="shared" si="6"/>
        <v>-1.1752459885696358E-2</v>
      </c>
      <c r="I50" s="220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1">
        <f t="shared" si="15"/>
        <v>-45051.419999999984</v>
      </c>
      <c r="N50" s="183">
        <f t="shared" si="16"/>
        <v>-0.11262854999999997</v>
      </c>
      <c r="O50" s="182">
        <f t="shared" si="10"/>
        <v>-0.61399369981343266</v>
      </c>
      <c r="P50" s="181" t="b">
        <f t="shared" si="9"/>
        <v>0</v>
      </c>
      <c r="Q50" s="183">
        <f>COUNTIF(P$2:P50, TRUE)/(COUNTIF(P$2:P50,FALSE) + COUNTIF(P$2:P50, TRUE))</f>
        <v>0.42857142857142855</v>
      </c>
      <c r="R50" s="334"/>
      <c r="S50" s="334"/>
      <c r="T50" s="334"/>
      <c r="U50" s="334"/>
      <c r="V50" s="183">
        <f>STDEV(D$2:D50)*SQRT(252)</f>
        <v>0.2423280462112376</v>
      </c>
      <c r="W50" s="183">
        <f>STDEV(L$2:L50)*SQRT(252)</f>
        <v>0.33078274353135961</v>
      </c>
      <c r="X50" s="173">
        <f t="shared" si="11"/>
        <v>-0.46477719670063095</v>
      </c>
      <c r="Y50" s="173">
        <f t="shared" si="12"/>
        <v>-1.8561841928589706</v>
      </c>
      <c r="Z50" s="794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7">
        <v>2071.1799999999998</v>
      </c>
      <c r="D51" s="170">
        <f t="shared" si="4"/>
        <v>-1.9131147145990672E-3</v>
      </c>
      <c r="E51" s="198">
        <f t="shared" si="17"/>
        <v>-1.4868438576130695E-2</v>
      </c>
      <c r="F51" s="215">
        <v>5034.7</v>
      </c>
      <c r="G51" s="170">
        <f t="shared" si="2"/>
        <v>5.644036201325446E-4</v>
      </c>
      <c r="H51" s="200">
        <f t="shared" si="6"/>
        <v>-1.1194689396468763E-2</v>
      </c>
      <c r="I51" s="219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2">
        <f t="shared" si="16"/>
        <v>-0.13262320000000008</v>
      </c>
      <c r="O51" s="182">
        <f t="shared" si="10"/>
        <v>-0.6920089114285719</v>
      </c>
      <c r="P51" s="174" t="b">
        <f t="shared" si="9"/>
        <v>0</v>
      </c>
      <c r="Q51" s="182">
        <f>COUNTIF(P$2:P51, TRUE)/(COUNTIF(P$2:P51,FALSE) + COUNTIF(P$2:P51, TRUE))</f>
        <v>0.42</v>
      </c>
      <c r="R51" s="333"/>
      <c r="S51" s="333"/>
      <c r="T51" s="333"/>
      <c r="U51" s="333"/>
      <c r="V51" s="182">
        <f>STDEV(D$2:D51)*SQRT(252)</f>
        <v>0.23982354896201158</v>
      </c>
      <c r="W51" s="182">
        <f>STDEV(L$2:L51)*SQRT(252)</f>
        <v>0.33116253966336157</v>
      </c>
      <c r="X51" s="173">
        <f t="shared" si="11"/>
        <v>-0.55300324165000081</v>
      </c>
      <c r="Y51" s="173">
        <f t="shared" si="12"/>
        <v>-2.0896352351084859</v>
      </c>
      <c r="Z51" s="794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7">
        <v>2065.89</v>
      </c>
      <c r="D52" s="170">
        <f t="shared" si="4"/>
        <v>-2.5540995953997063E-3</v>
      </c>
      <c r="E52" s="198">
        <f t="shared" si="17"/>
        <v>-1.7384562698578881E-2</v>
      </c>
      <c r="F52" s="215">
        <v>5030.1499999999996</v>
      </c>
      <c r="G52" s="170">
        <f t="shared" si="2"/>
        <v>-9.0372812680004412E-4</v>
      </c>
      <c r="H52" s="200">
        <f t="shared" si="6"/>
        <v>-1.2088300567590428E-2</v>
      </c>
      <c r="I52" s="219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2">
        <f t="shared" si="16"/>
        <v>-0.13602884999999995</v>
      </c>
      <c r="O52" s="182">
        <f t="shared" si="10"/>
        <v>-0.69978221778168981</v>
      </c>
      <c r="P52" s="174" t="b">
        <f t="shared" si="9"/>
        <v>0</v>
      </c>
      <c r="Q52" s="182">
        <f>COUNTIF(P$2:P52, TRUE)/(COUNTIF(P$2:P52,FALSE) + COUNTIF(P$2:P52, TRUE))</f>
        <v>0.41176470588235292</v>
      </c>
      <c r="R52" s="333"/>
      <c r="S52" s="333"/>
      <c r="T52" s="333"/>
      <c r="U52" s="333"/>
      <c r="V52" s="182">
        <f>STDEV(D$2:D52)*SQRT(252)</f>
        <v>0.2374229026669446</v>
      </c>
      <c r="W52" s="182">
        <f>STDEV(L$2:L52)*SQRT(252)</f>
        <v>0.32784098915228843</v>
      </c>
      <c r="X52" s="173">
        <f t="shared" si="11"/>
        <v>-0.57293904030320275</v>
      </c>
      <c r="Y52" s="173">
        <f t="shared" si="12"/>
        <v>-2.134517162088684</v>
      </c>
      <c r="Z52" s="794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3">
        <v>2090.31</v>
      </c>
      <c r="D53" s="170">
        <f t="shared" si="4"/>
        <v>1.1820571279206576E-2</v>
      </c>
      <c r="E53" s="198">
        <f t="shared" si="17"/>
        <v>-5.7694868819086909E-3</v>
      </c>
      <c r="F53" s="215">
        <v>5095.6899999999996</v>
      </c>
      <c r="G53" s="170">
        <f t="shared" si="2"/>
        <v>1.3029432521892979E-2</v>
      </c>
      <c r="H53" s="200">
        <f t="shared" si="6"/>
        <v>7.836282577527706E-4</v>
      </c>
      <c r="I53" s="219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2">
        <f t="shared" si="16"/>
        <v>-0.11663</v>
      </c>
      <c r="O53" s="182">
        <f t="shared" si="10"/>
        <v>-0.59165427083333333</v>
      </c>
      <c r="P53" s="174" t="b">
        <f t="shared" si="9"/>
        <v>1</v>
      </c>
      <c r="Q53" s="182">
        <f>COUNTIF(P$2:P53, TRUE)/(COUNTIF(P$2:P53,FALSE) + COUNTIF(P$2:P53, TRUE))</f>
        <v>0.42307692307692307</v>
      </c>
      <c r="R53" s="333"/>
      <c r="S53" s="333"/>
      <c r="T53" s="333"/>
      <c r="U53" s="333"/>
      <c r="V53" s="182">
        <f>STDEV(D$2:D53)*SQRT(252)</f>
        <v>0.23656092323249167</v>
      </c>
      <c r="W53" s="182">
        <f>STDEV(L$2:L53)*SQRT(252)</f>
        <v>0.32865868284465172</v>
      </c>
      <c r="X53" s="173">
        <f t="shared" si="11"/>
        <v>-0.49302310122190485</v>
      </c>
      <c r="Y53" s="173">
        <f t="shared" si="12"/>
        <v>-1.8002088540986232</v>
      </c>
      <c r="Z53" s="794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3">
        <v>2089.41</v>
      </c>
      <c r="D54" s="170">
        <f t="shared" si="4"/>
        <v>-4.3055814687777935E-4</v>
      </c>
      <c r="E54" s="198">
        <f>(C54-$C$2)/$C$2</f>
        <v>-6.1975609292061603E-3</v>
      </c>
      <c r="F54" s="215">
        <v>5074.2700000000004</v>
      </c>
      <c r="G54" s="170">
        <f t="shared" si="2"/>
        <v>-4.203552413902566E-3</v>
      </c>
      <c r="H54" s="200">
        <f t="shared" si="6"/>
        <v>-3.4232181786042742E-3</v>
      </c>
      <c r="I54" s="219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2">
        <f t="shared" si="16"/>
        <v>-0.12718112500000003</v>
      </c>
      <c r="O54" s="182">
        <f t="shared" si="10"/>
        <v>-0.63634117679794533</v>
      </c>
      <c r="P54" s="174" t="b">
        <f t="shared" si="9"/>
        <v>0</v>
      </c>
      <c r="Q54" s="182">
        <f>COUNTIF(P$2:P54, TRUE)/(COUNTIF(P$2:P54,FALSE) + COUNTIF(P$2:P54, TRUE))</f>
        <v>0.41509433962264153</v>
      </c>
      <c r="R54" s="333"/>
      <c r="S54" s="333"/>
      <c r="T54" s="333"/>
      <c r="U54" s="333"/>
      <c r="V54" s="182">
        <f>STDEV(D$2:D54)*SQRT(252)</f>
        <v>0.23423209631374151</v>
      </c>
      <c r="W54" s="182">
        <f>STDEV(L$2:L54)*SQRT(252)</f>
        <v>0.32641026079746971</v>
      </c>
      <c r="X54" s="173">
        <f t="shared" si="11"/>
        <v>-0.542970527957226</v>
      </c>
      <c r="Y54" s="173">
        <f t="shared" si="12"/>
        <v>-1.949513398393995</v>
      </c>
      <c r="Z54" s="794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3">
        <v>2079.36</v>
      </c>
      <c r="D55" s="170">
        <f t="shared" si="4"/>
        <v>-4.8099702786909837E-3</v>
      </c>
      <c r="E55" s="198">
        <f>(C55-$C$2)/$C$2</f>
        <v>-1.0977721124027286E-2</v>
      </c>
      <c r="F55" s="215">
        <v>5053.75</v>
      </c>
      <c r="G55" s="170">
        <f t="shared" si="2"/>
        <v>-4.0439314423553405E-3</v>
      </c>
      <c r="H55" s="200">
        <f t="shared" si="6"/>
        <v>-7.4533063613331143E-3</v>
      </c>
      <c r="I55" s="467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2">
        <f t="shared" si="16"/>
        <v>-0.12215375000000001</v>
      </c>
      <c r="O55" s="182">
        <f t="shared" si="10"/>
        <v>-0.60292779983108113</v>
      </c>
      <c r="P55" s="174" t="b">
        <f t="shared" si="9"/>
        <v>1</v>
      </c>
      <c r="Q55" s="182">
        <f>COUNTIF(P$2:P55, TRUE)/(COUNTIF(P$2:P55,FALSE) + COUNTIF(P$2:P55, TRUE))</f>
        <v>0.42592592592592593</v>
      </c>
      <c r="R55" s="333"/>
      <c r="S55" s="333"/>
      <c r="T55" s="333"/>
      <c r="U55" s="333"/>
      <c r="V55" s="182">
        <f>STDEV(D$2:D55)*SQRT(252)</f>
        <v>0.23220468856265722</v>
      </c>
      <c r="W55" s="182">
        <f>STDEV(L$2:L55)*SQRT(252)</f>
        <v>0.32355647040832186</v>
      </c>
      <c r="X55" s="173">
        <f t="shared" si="11"/>
        <v>-0.52606065259116641</v>
      </c>
      <c r="Y55" s="173">
        <f t="shared" si="12"/>
        <v>-1.8634391674201358</v>
      </c>
      <c r="Z55" s="794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7">
        <v>2104.0500000000002</v>
      </c>
      <c r="D56" s="170">
        <f t="shared" si="4"/>
        <v>1.187384579870732E-2</v>
      </c>
      <c r="E56" s="208">
        <f t="shared" ref="E56:E62" si="19">(C56-$C$2)/$C$2</f>
        <v>7.6577690683212233E-4</v>
      </c>
      <c r="F56" s="218">
        <v>5053.75</v>
      </c>
      <c r="G56" s="170">
        <f t="shared" si="2"/>
        <v>0</v>
      </c>
      <c r="H56" s="202">
        <f t="shared" si="6"/>
        <v>-7.4533063613331143E-3</v>
      </c>
      <c r="I56" s="220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1">
        <f t="shared" si="15"/>
        <v>-43051.19</v>
      </c>
      <c r="N56" s="183">
        <f t="shared" si="16"/>
        <v>-0.107627975</v>
      </c>
      <c r="O56" s="182">
        <f t="shared" si="10"/>
        <v>-0.51053399829545454</v>
      </c>
      <c r="P56" s="181" t="b">
        <f t="shared" si="9"/>
        <v>1</v>
      </c>
      <c r="Q56" s="183">
        <f>COUNTIF(P$2:P56, TRUE)/(COUNTIF(P$2:P56,FALSE) + COUNTIF(P$2:P56, TRUE))</f>
        <v>0.43636363636363634</v>
      </c>
      <c r="R56" s="334"/>
      <c r="S56" s="334"/>
      <c r="T56" s="334"/>
      <c r="U56" s="334"/>
      <c r="V56" s="183">
        <f>STDEV(D$2:D56)*SQRT(252)</f>
        <v>0.23145429539624826</v>
      </c>
      <c r="W56" s="183">
        <f>STDEV(L$2:L56)*SQRT(252)</f>
        <v>0.32260027221647702</v>
      </c>
      <c r="X56" s="173">
        <f t="shared" si="11"/>
        <v>-0.46500746428465112</v>
      </c>
      <c r="Y56" s="173">
        <f t="shared" si="12"/>
        <v>-1.5825591056937076</v>
      </c>
      <c r="Z56" s="794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7">
        <v>2109.79</v>
      </c>
      <c r="D57" s="170">
        <f t="shared" si="4"/>
        <v>2.7280720515195844E-3</v>
      </c>
      <c r="E57" s="208">
        <f t="shared" si="19"/>
        <v>3.4959380529289343E-3</v>
      </c>
      <c r="F57" s="218">
        <v>5145.13</v>
      </c>
      <c r="G57" s="170">
        <f t="shared" si="2"/>
        <v>1.8081622557506824E-2</v>
      </c>
      <c r="H57" s="202">
        <f t="shared" si="6"/>
        <v>1.049354832374262E-2</v>
      </c>
      <c r="I57" s="220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1">
        <f t="shared" si="15"/>
        <v>-37730.559999999998</v>
      </c>
      <c r="N57" s="183">
        <f t="shared" si="16"/>
        <v>-9.4326399999999991E-2</v>
      </c>
      <c r="O57" s="182">
        <f t="shared" si="10"/>
        <v>-0.44170150769230765</v>
      </c>
      <c r="P57" s="181" t="b">
        <f t="shared" si="9"/>
        <v>1</v>
      </c>
      <c r="Q57" s="183">
        <f>COUNTIF(P$2:P57, TRUE)/(COUNTIF(P$2:P57,FALSE) + COUNTIF(P$2:P57, TRUE))</f>
        <v>0.44642857142857145</v>
      </c>
      <c r="R57" s="334"/>
      <c r="S57" s="334"/>
      <c r="T57" s="334"/>
      <c r="U57" s="334"/>
      <c r="V57" s="183">
        <f>STDEV(D$2:D57)*SQRT(252)</f>
        <v>0.22936919812964679</v>
      </c>
      <c r="W57" s="183">
        <f>STDEV(L$2:L57)*SQRT(252)</f>
        <v>0.32122906847311467</v>
      </c>
      <c r="X57" s="173">
        <f t="shared" si="11"/>
        <v>-0.41124266365828116</v>
      </c>
      <c r="Y57" s="173">
        <f t="shared" si="12"/>
        <v>-1.3750359199801869</v>
      </c>
      <c r="Z57" s="794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7">
        <v>2102.31</v>
      </c>
      <c r="D58" s="170">
        <f t="shared" si="4"/>
        <v>-3.5453765540646312E-3</v>
      </c>
      <c r="E58" s="208">
        <f t="shared" si="19"/>
        <v>-6.1832917943013417E-5</v>
      </c>
      <c r="F58" s="218">
        <v>5142.4799999999996</v>
      </c>
      <c r="G58" s="170">
        <f t="shared" si="2"/>
        <v>-5.1505015422361453E-4</v>
      </c>
      <c r="H58" s="202">
        <f t="shared" si="6"/>
        <v>9.9730934658365071E-3</v>
      </c>
      <c r="I58" s="220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1">
        <f t="shared" si="15"/>
        <v>-38345.580000000016</v>
      </c>
      <c r="N58" s="183">
        <f t="shared" si="16"/>
        <v>-9.5863950000000045E-2</v>
      </c>
      <c r="O58" s="182">
        <f t="shared" si="10"/>
        <v>-0.44321908528481035</v>
      </c>
      <c r="P58" s="181" t="b">
        <f t="shared" si="9"/>
        <v>1</v>
      </c>
      <c r="Q58" s="183">
        <f>COUNTIF(P$2:P58, TRUE)/(COUNTIF(P$2:P58,FALSE) + COUNTIF(P$2:P58, TRUE))</f>
        <v>0.45614035087719296</v>
      </c>
      <c r="R58" s="334"/>
      <c r="S58" s="334"/>
      <c r="T58" s="334"/>
      <c r="U58" s="334"/>
      <c r="V58" s="183">
        <f>STDEV(D$2:D58)*SQRT(252)</f>
        <v>0.22741079678230972</v>
      </c>
      <c r="W58" s="183">
        <f>STDEV(L$2:L58)*SQRT(252)</f>
        <v>0.31831780697519846</v>
      </c>
      <c r="X58" s="173">
        <f t="shared" si="11"/>
        <v>-0.42154528877433362</v>
      </c>
      <c r="Y58" s="173">
        <f t="shared" si="12"/>
        <v>-1.392379174437274</v>
      </c>
      <c r="Z58" s="794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7">
        <v>2099.9299999999998</v>
      </c>
      <c r="D59" s="170">
        <f t="shared" si="4"/>
        <v>-1.1320880364932427E-3</v>
      </c>
      <c r="E59" s="208">
        <f t="shared" si="19"/>
        <v>-1.1938509541295915E-3</v>
      </c>
      <c r="F59" s="218">
        <v>5127.74</v>
      </c>
      <c r="G59" s="170">
        <f t="shared" si="2"/>
        <v>-2.8663213080069895E-3</v>
      </c>
      <c r="H59" s="202">
        <f t="shared" si="6"/>
        <v>7.0781860675216456E-3</v>
      </c>
      <c r="I59" s="220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1">
        <f t="shared" si="15"/>
        <v>-48332.56</v>
      </c>
      <c r="N59" s="183">
        <f t="shared" si="16"/>
        <v>-0.12083139999999999</v>
      </c>
      <c r="O59" s="182">
        <f t="shared" si="10"/>
        <v>-0.55167086062500004</v>
      </c>
      <c r="P59" s="181" t="b">
        <f t="shared" ref="P59:P90" si="21">L59&gt;D59</f>
        <v>0</v>
      </c>
      <c r="Q59" s="183">
        <f>COUNTIF(P$2:P59, TRUE)/(COUNTIF(P$2:P59,FALSE) + COUNTIF(P$2:P59, TRUE))</f>
        <v>0.44827586206896552</v>
      </c>
      <c r="R59" s="334"/>
      <c r="S59" s="334"/>
      <c r="T59" s="334"/>
      <c r="U59" s="334"/>
      <c r="V59" s="183">
        <f>STDEV(D$2:D59)*SQRT(252)</f>
        <v>0.2253860839795564</v>
      </c>
      <c r="W59" s="183">
        <f>STDEV(L$2:L59)*SQRT(252)</f>
        <v>0.32078118980306136</v>
      </c>
      <c r="X59" s="173">
        <f t="shared" si="11"/>
        <v>-0.53610852039542944</v>
      </c>
      <c r="Y59" s="173">
        <f t="shared" si="12"/>
        <v>-1.7197730981785118</v>
      </c>
      <c r="Z59" s="794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4">
        <v>2099.1999999999998</v>
      </c>
      <c r="D60" s="170">
        <f t="shared" si="4"/>
        <v>-3.4763063530689989E-4</v>
      </c>
      <c r="E60" s="208">
        <f t="shared" si="19"/>
        <v>-1.5410665702708455E-3</v>
      </c>
      <c r="F60" s="218">
        <v>5147.12</v>
      </c>
      <c r="G60" s="170">
        <f t="shared" si="2"/>
        <v>3.7794427954615699E-3</v>
      </c>
      <c r="H60" s="202">
        <f t="shared" si="6"/>
        <v>1.0884380462321047E-2</v>
      </c>
      <c r="I60" s="220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1">
        <f t="shared" si="15"/>
        <v>-48545.75</v>
      </c>
      <c r="N60" s="183">
        <f t="shared" si="16"/>
        <v>-0.121364375</v>
      </c>
      <c r="O60" s="182">
        <f t="shared" si="10"/>
        <v>-0.54726343171296288</v>
      </c>
      <c r="P60" s="181" t="b">
        <f t="shared" si="21"/>
        <v>0</v>
      </c>
      <c r="Q60" s="183">
        <f>COUNTIF(P$2:P60, TRUE)/(COUNTIF(P$2:P60,FALSE) + COUNTIF(P$2:P60, TRUE))</f>
        <v>0.44067796610169491</v>
      </c>
      <c r="R60" s="334"/>
      <c r="S60" s="334"/>
      <c r="T60" s="334"/>
      <c r="U60" s="334"/>
      <c r="V60" s="183">
        <f>STDEV(D$2:D60)*SQRT(252)</f>
        <v>0.22340202899589548</v>
      </c>
      <c r="W60" s="183">
        <f>STDEV(L$2:L60)*SQRT(252)</f>
        <v>0.31795506965896425</v>
      </c>
      <c r="X60" s="173">
        <f t="shared" si="11"/>
        <v>-0.54325547330740587</v>
      </c>
      <c r="Y60" s="173">
        <f t="shared" si="12"/>
        <v>-1.7211973764090402</v>
      </c>
      <c r="Z60" s="794">
        <f t="shared" si="13"/>
        <v>-0.11982330842972914</v>
      </c>
      <c r="AA60" s="212"/>
    </row>
    <row r="61" spans="1:27" ht="20.100000000000001" customHeight="1" x14ac:dyDescent="0.25">
      <c r="A61" s="162">
        <f t="shared" si="8"/>
        <v>84</v>
      </c>
      <c r="B61" s="166">
        <v>42317</v>
      </c>
      <c r="C61" s="197">
        <v>2078.58</v>
      </c>
      <c r="D61" s="170">
        <f t="shared" si="4"/>
        <v>-9.8227896341462895E-3</v>
      </c>
      <c r="E61" s="198">
        <f t="shared" si="19"/>
        <v>-1.1348718631685149E-2</v>
      </c>
      <c r="F61" s="215">
        <v>5095.3</v>
      </c>
      <c r="G61" s="170">
        <f t="shared" si="2"/>
        <v>-1.0067766051694873E-2</v>
      </c>
      <c r="H61" s="200">
        <f t="shared" si="6"/>
        <v>7.0703301451388806E-4</v>
      </c>
      <c r="I61" s="219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2">
        <f t="shared" si="16"/>
        <v>-0.13246214999999997</v>
      </c>
      <c r="O61" s="182">
        <f t="shared" si="10"/>
        <v>-0.57597381294642847</v>
      </c>
      <c r="P61" s="174" t="b">
        <f t="shared" si="21"/>
        <v>0</v>
      </c>
      <c r="Q61" s="182">
        <f>COUNTIF(P$2:P61, TRUE)/(COUNTIF(P$2:P61,FALSE) + COUNTIF(P$2:P61, TRUE))</f>
        <v>0.43333333333333335</v>
      </c>
      <c r="R61" s="333"/>
      <c r="S61" s="333"/>
      <c r="T61" s="333"/>
      <c r="U61" s="333"/>
      <c r="V61" s="182">
        <f>STDEV(D$2:D61)*SQRT(252)</f>
        <v>0.2224096817728117</v>
      </c>
      <c r="W61" s="182">
        <f>STDEV(L$2:L61)*SQRT(252)</f>
        <v>0.31620783635013966</v>
      </c>
      <c r="X61" s="173">
        <f t="shared" si="11"/>
        <v>-0.59557726509095121</v>
      </c>
      <c r="Y61" s="173">
        <f t="shared" si="12"/>
        <v>-1.821503918418542</v>
      </c>
      <c r="Z61" s="794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7">
        <v>2081.7199999999998</v>
      </c>
      <c r="D62" s="170">
        <f t="shared" si="4"/>
        <v>1.5106466914912454E-3</v>
      </c>
      <c r="E62" s="198">
        <f t="shared" si="19"/>
        <v>-9.8552158444475246E-3</v>
      </c>
      <c r="F62" s="215">
        <v>5083.24</v>
      </c>
      <c r="G62" s="170">
        <f t="shared" si="2"/>
        <v>-2.3668871312779228E-3</v>
      </c>
      <c r="H62" s="200">
        <f t="shared" si="6"/>
        <v>-1.6615275841074762E-3</v>
      </c>
      <c r="I62" s="219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2">
        <f t="shared" ref="N62:N93" si="23">M62/J62</f>
        <v>-0.13377914999999993</v>
      </c>
      <c r="O62" s="182">
        <f t="shared" si="10"/>
        <v>-0.57485687691176446</v>
      </c>
      <c r="P62" s="174" t="b">
        <f t="shared" si="21"/>
        <v>0</v>
      </c>
      <c r="Q62" s="182">
        <f>COUNTIF(P$2:P62, TRUE)/(COUNTIF(P$2:P62,FALSE) + COUNTIF(P$2:P62, TRUE))</f>
        <v>0.42622950819672129</v>
      </c>
      <c r="R62" s="333"/>
      <c r="S62" s="333"/>
      <c r="T62" s="333"/>
      <c r="U62" s="333"/>
      <c r="V62" s="182">
        <f>STDEV(D$2:D62)*SQRT(252)</f>
        <v>0.22054140197015909</v>
      </c>
      <c r="W62" s="182">
        <f>STDEV(L$2:L62)*SQRT(252)</f>
        <v>0.31352177036879675</v>
      </c>
      <c r="X62" s="173">
        <f t="shared" si="11"/>
        <v>-0.60659426667697181</v>
      </c>
      <c r="Y62" s="173">
        <f t="shared" si="12"/>
        <v>-1.8335469215919467</v>
      </c>
      <c r="Z62" s="794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7">
        <v>2075</v>
      </c>
      <c r="D63" s="170">
        <f t="shared" si="4"/>
        <v>-3.2280998405164003E-3</v>
      </c>
      <c r="E63" s="198">
        <f t="shared" ref="E63:E84" si="24">(C63-$C$2)/$C$2</f>
        <v>-1.305150206426821E-2</v>
      </c>
      <c r="F63" s="215">
        <v>5067.0200000000004</v>
      </c>
      <c r="G63" s="170">
        <f t="shared" si="2"/>
        <v>-3.1908782587482289E-3</v>
      </c>
      <c r="H63" s="200">
        <f t="shared" si="6"/>
        <v>-4.8471041106112655E-3</v>
      </c>
      <c r="I63" s="219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2">
        <f t="shared" si="23"/>
        <v>-0.14653845000000001</v>
      </c>
      <c r="O63" s="182">
        <f t="shared" si="10"/>
        <v>-0.62236242863372093</v>
      </c>
      <c r="P63" s="174" t="b">
        <f t="shared" si="21"/>
        <v>0</v>
      </c>
      <c r="Q63" s="182">
        <f>COUNTIF(P$2:P63, TRUE)/(COUNTIF(P$2:P63,FALSE) + COUNTIF(P$2:P63, TRUE))</f>
        <v>0.41935483870967744</v>
      </c>
      <c r="R63" s="333"/>
      <c r="S63" s="333"/>
      <c r="T63" s="333"/>
      <c r="U63" s="333"/>
      <c r="V63" s="182">
        <f>STDEV(D$2:D63)*SQRT(252)</f>
        <v>0.21879001839109452</v>
      </c>
      <c r="W63" s="182">
        <f>STDEV(L$2:L63)*SQRT(252)</f>
        <v>0.31221077177668255</v>
      </c>
      <c r="X63" s="173">
        <f t="shared" si="11"/>
        <v>-0.66976752905636494</v>
      </c>
      <c r="Y63" s="173">
        <f t="shared" si="12"/>
        <v>-1.9934047281330927</v>
      </c>
      <c r="Z63" s="794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3">
        <v>2045.97</v>
      </c>
      <c r="D64" s="170">
        <f t="shared" si="4"/>
        <v>-1.3990361445783119E-2</v>
      </c>
      <c r="E64" s="198">
        <f t="shared" si="24"/>
        <v>-2.6859268278761832E-2</v>
      </c>
      <c r="F64" s="215">
        <v>5005.08</v>
      </c>
      <c r="G64" s="170">
        <f t="shared" si="2"/>
        <v>-1.222414752655417E-2</v>
      </c>
      <c r="H64" s="200">
        <f t="shared" si="6"/>
        <v>-1.7011999921440757E-2</v>
      </c>
      <c r="I64" s="219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2">
        <f t="shared" si="23"/>
        <v>-0.16124845000000002</v>
      </c>
      <c r="O64" s="182">
        <f t="shared" si="10"/>
        <v>-0.67696547543103458</v>
      </c>
      <c r="P64" s="174" t="b">
        <f t="shared" si="21"/>
        <v>0</v>
      </c>
      <c r="Q64" s="182">
        <f>COUNTIF(P$2:P64, TRUE)/(COUNTIF(P$2:P64,FALSE) + COUNTIF(P$2:P64, TRUE))</f>
        <v>0.41269841269841268</v>
      </c>
      <c r="R64" s="333"/>
      <c r="S64" s="333"/>
      <c r="T64" s="333"/>
      <c r="U64" s="333"/>
      <c r="V64" s="182">
        <f>STDEV(D$2:D64)*SQRT(252)</f>
        <v>0.21878322617502383</v>
      </c>
      <c r="W64" s="182">
        <f>STDEV(L$2:L64)*SQRT(252)</f>
        <v>0.311389828072407</v>
      </c>
      <c r="X64" s="173">
        <f t="shared" si="11"/>
        <v>-0.7370238240796545</v>
      </c>
      <c r="Y64" s="173">
        <f t="shared" si="12"/>
        <v>-2.1740128109567562</v>
      </c>
      <c r="Z64" s="794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3">
        <v>2023.04</v>
      </c>
      <c r="D65" s="170">
        <f t="shared" si="4"/>
        <v>-1.1207397957936852E-2</v>
      </c>
      <c r="E65" s="198">
        <f t="shared" si="24"/>
        <v>-3.7765643728239609E-2</v>
      </c>
      <c r="F65" s="215">
        <v>4927.88</v>
      </c>
      <c r="G65" s="170">
        <f t="shared" si="2"/>
        <v>-1.5424328881855999E-2</v>
      </c>
      <c r="H65" s="200">
        <f t="shared" si="6"/>
        <v>-3.217393012157034E-2</v>
      </c>
      <c r="I65" s="219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2">
        <f t="shared" si="23"/>
        <v>-0.16011249999999999</v>
      </c>
      <c r="O65" s="182">
        <f t="shared" si="10"/>
        <v>-0.66455784801136364</v>
      </c>
      <c r="P65" s="174" t="b">
        <f t="shared" si="21"/>
        <v>1</v>
      </c>
      <c r="Q65" s="182">
        <f>COUNTIF(P$2:P65, TRUE)/(COUNTIF(P$2:P65,FALSE) + COUNTIF(P$2:P65, TRUE))</f>
        <v>0.421875</v>
      </c>
      <c r="R65" s="333"/>
      <c r="S65" s="333"/>
      <c r="T65" s="333"/>
      <c r="U65" s="333"/>
      <c r="V65" s="182">
        <f>STDEV(D$2:D65)*SQRT(252)</f>
        <v>0.21809630494176296</v>
      </c>
      <c r="W65" s="182">
        <f>STDEV(L$2:L65)*SQRT(252)</f>
        <v>0.30890912442956392</v>
      </c>
      <c r="X65" s="173">
        <f t="shared" si="11"/>
        <v>-0.7341366926998325</v>
      </c>
      <c r="Y65" s="173">
        <f t="shared" si="12"/>
        <v>-2.1513053369289294</v>
      </c>
      <c r="Z65" s="794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7">
        <v>2053.19</v>
      </c>
      <c r="D66" s="170">
        <f t="shared" si="4"/>
        <v>1.4903313824739053E-2</v>
      </c>
      <c r="E66" s="208">
        <f t="shared" si="24"/>
        <v>-2.3425163143775803E-2</v>
      </c>
      <c r="F66" s="218">
        <v>4984.62</v>
      </c>
      <c r="G66" s="170">
        <f t="shared" si="2"/>
        <v>1.1514079076600847E-2</v>
      </c>
      <c r="H66" s="202">
        <f t="shared" si="6"/>
        <v>-2.1030304220594286E-2</v>
      </c>
      <c r="I66" s="220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1">
        <f t="shared" si="22"/>
        <v>-57165.609999999986</v>
      </c>
      <c r="N66" s="183">
        <f t="shared" si="23"/>
        <v>-0.14291402499999997</v>
      </c>
      <c r="O66" s="182">
        <f t="shared" si="10"/>
        <v>-0.57361920473901085</v>
      </c>
      <c r="P66" s="181" t="b">
        <f t="shared" si="21"/>
        <v>1</v>
      </c>
      <c r="Q66" s="183">
        <f>COUNTIF(P$2:P66, TRUE)/(COUNTIF(P$2:P66,FALSE) + COUNTIF(P$2:P66, TRUE))</f>
        <v>0.43076923076923079</v>
      </c>
      <c r="R66" s="334"/>
      <c r="S66" s="334"/>
      <c r="T66" s="334"/>
      <c r="U66" s="334"/>
      <c r="V66" s="183">
        <f>STDEV(D$2:D66)*SQRT(252)</f>
        <v>0.2185117014996438</v>
      </c>
      <c r="W66" s="183">
        <f>STDEV(L$2:L66)*SQRT(252)</f>
        <v>0.30942792293284299</v>
      </c>
      <c r="X66" s="173">
        <f t="shared" si="11"/>
        <v>-0.65403373832697442</v>
      </c>
      <c r="Y66" s="173">
        <f t="shared" si="12"/>
        <v>-1.8538055625429346</v>
      </c>
      <c r="Z66" s="794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7">
        <v>2050.44</v>
      </c>
      <c r="D67" s="170">
        <f t="shared" si="4"/>
        <v>-1.3393792099123801E-3</v>
      </c>
      <c r="E67" s="208">
        <f t="shared" si="24"/>
        <v>-2.4733167177184604E-2</v>
      </c>
      <c r="F67" s="218">
        <v>4986.01</v>
      </c>
      <c r="G67" s="170">
        <f t="shared" ref="G67:G131" si="25">(F67-F66)/F66</f>
        <v>2.7885776648978807E-4</v>
      </c>
      <c r="H67" s="202">
        <f t="shared" ref="H67:H84" si="26">(F67-F$2)/F$2</f>
        <v>-2.0757310917768054E-2</v>
      </c>
      <c r="I67" s="220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1">
        <f t="shared" si="22"/>
        <v>-58636.929999999993</v>
      </c>
      <c r="N67" s="183">
        <f t="shared" si="23"/>
        <v>-0.146592325</v>
      </c>
      <c r="O67" s="182">
        <f t="shared" si="10"/>
        <v>-0.58198746419836955</v>
      </c>
      <c r="P67" s="181" t="b">
        <f t="shared" si="21"/>
        <v>0</v>
      </c>
      <c r="Q67" s="183">
        <f>COUNTIF(P$2:P67, TRUE)/(COUNTIF(P$2:P67,FALSE) + COUNTIF(P$2:P67, TRUE))</f>
        <v>0.42424242424242425</v>
      </c>
      <c r="R67" s="334"/>
      <c r="S67" s="334"/>
      <c r="T67" s="334"/>
      <c r="U67" s="334"/>
      <c r="V67" s="183">
        <f>STDEV(D$2:D67)*SQRT(252)</f>
        <v>0.21680795188349017</v>
      </c>
      <c r="W67" s="183">
        <f>STDEV(L$2:L67)*SQRT(252)</f>
        <v>0.30707902780871166</v>
      </c>
      <c r="X67" s="173">
        <f t="shared" si="11"/>
        <v>-0.67613906098230592</v>
      </c>
      <c r="Y67" s="173">
        <f t="shared" si="12"/>
        <v>-1.8952367680443036</v>
      </c>
      <c r="Z67" s="794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7">
        <v>2083.58</v>
      </c>
      <c r="D68" s="170">
        <f t="shared" ref="D68:D132" si="27">(C68-C67)/C67</f>
        <v>1.6162384658902417E-2</v>
      </c>
      <c r="E68" s="208">
        <f t="shared" si="24"/>
        <v>-8.970529480032784E-3</v>
      </c>
      <c r="F68" s="218">
        <v>5075.2</v>
      </c>
      <c r="G68" s="170">
        <f t="shared" si="25"/>
        <v>1.7888050766043308E-2</v>
      </c>
      <c r="H68" s="202">
        <f t="shared" si="26"/>
        <v>-3.2405679831883261E-3</v>
      </c>
      <c r="I68" s="220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1">
        <f t="shared" si="22"/>
        <v>-50421.710000000021</v>
      </c>
      <c r="N68" s="183">
        <f t="shared" si="23"/>
        <v>-0.12605427500000005</v>
      </c>
      <c r="O68" s="182">
        <f t="shared" si="10"/>
        <v>-0.4950679993951615</v>
      </c>
      <c r="P68" s="181" t="b">
        <f t="shared" si="21"/>
        <v>1</v>
      </c>
      <c r="Q68" s="183">
        <f>COUNTIF(P$2:P68, TRUE)/(COUNTIF(P$2:P68,FALSE) + COUNTIF(P$2:P68, TRUE))</f>
        <v>0.43283582089552236</v>
      </c>
      <c r="R68" s="334"/>
      <c r="S68" s="334"/>
      <c r="T68" s="334"/>
      <c r="U68" s="334"/>
      <c r="V68" s="183">
        <f>STDEV(D$2:D68)*SQRT(252)</f>
        <v>0.21752341302178005</v>
      </c>
      <c r="W68" s="183">
        <f>STDEV(L$2:L68)*SQRT(252)</f>
        <v>0.30856663188820815</v>
      </c>
      <c r="X68" s="173">
        <f t="shared" si="11"/>
        <v>-0.57949750442440218</v>
      </c>
      <c r="Y68" s="173">
        <f t="shared" si="12"/>
        <v>-1.6044119753509889</v>
      </c>
      <c r="Z68" s="794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7">
        <v>2081.2399999999998</v>
      </c>
      <c r="D69" s="170">
        <f t="shared" si="27"/>
        <v>-1.1230670288638524E-3</v>
      </c>
      <c r="E69" s="208">
        <f t="shared" si="24"/>
        <v>-1.0083522003006161E-2</v>
      </c>
      <c r="F69" s="218">
        <v>5073.63</v>
      </c>
      <c r="G69" s="170">
        <f t="shared" si="25"/>
        <v>-3.0934741488014442E-4</v>
      </c>
      <c r="H69" s="202">
        <f t="shared" si="26"/>
        <v>-3.5489129367401282E-3</v>
      </c>
      <c r="I69" s="220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1">
        <f t="shared" si="22"/>
        <v>-48490.049999999988</v>
      </c>
      <c r="N69" s="183">
        <f t="shared" si="23"/>
        <v>-0.12122512499999998</v>
      </c>
      <c r="O69" s="182">
        <f t="shared" si="10"/>
        <v>-0.47103698836436159</v>
      </c>
      <c r="P69" s="181" t="b">
        <f t="shared" si="21"/>
        <v>1</v>
      </c>
      <c r="Q69" s="183">
        <f>COUNTIF(P$2:P69, TRUE)/(COUNTIF(P$2:P69,FALSE) + COUNTIF(P$2:P69, TRUE))</f>
        <v>0.44117647058823528</v>
      </c>
      <c r="R69" s="334"/>
      <c r="S69" s="334"/>
      <c r="T69" s="334"/>
      <c r="U69" s="334"/>
      <c r="V69" s="183">
        <f>STDEV(D$2:D69)*SQRT(252)</f>
        <v>0.21587936448621181</v>
      </c>
      <c r="W69" s="183">
        <f>STDEV(L$2:L69)*SQRT(252)</f>
        <v>0.30643952094821814</v>
      </c>
      <c r="X69" s="173">
        <f t="shared" si="11"/>
        <v>-0.56154104996794452</v>
      </c>
      <c r="Y69" s="173">
        <f t="shared" si="12"/>
        <v>-1.5371287192553631</v>
      </c>
      <c r="Z69" s="794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4">
        <v>2089.17</v>
      </c>
      <c r="D70" s="170">
        <f t="shared" si="27"/>
        <v>3.8102285176146392E-3</v>
      </c>
      <c r="E70" s="208">
        <f t="shared" si="24"/>
        <v>-6.3117140084853699E-3</v>
      </c>
      <c r="F70" s="218">
        <v>5104.92</v>
      </c>
      <c r="G70" s="170">
        <f t="shared" si="25"/>
        <v>6.1671820767379495E-3</v>
      </c>
      <c r="H70" s="202">
        <f t="shared" si="26"/>
        <v>2.5963823477424546E-3</v>
      </c>
      <c r="I70" s="220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1">
        <f t="shared" si="22"/>
        <v>-50190.669999999984</v>
      </c>
      <c r="N70" s="183">
        <f t="shared" si="23"/>
        <v>-0.12547667499999995</v>
      </c>
      <c r="O70" s="182">
        <f t="shared" si="10"/>
        <v>-0.48242479519736825</v>
      </c>
      <c r="P70" s="181" t="b">
        <f t="shared" si="21"/>
        <v>0</v>
      </c>
      <c r="Q70" s="183">
        <f>COUNTIF(P$2:P70, TRUE)/(COUNTIF(P$2:P70,FALSE) + COUNTIF(P$2:P70, TRUE))</f>
        <v>0.43478260869565216</v>
      </c>
      <c r="R70" s="334"/>
      <c r="S70" s="334"/>
      <c r="T70" s="334"/>
      <c r="U70" s="334"/>
      <c r="V70" s="183">
        <f>STDEV(D$2:D70)*SQRT(252)</f>
        <v>0.21439176321013317</v>
      </c>
      <c r="W70" s="183">
        <f>STDEV(L$2:L70)*SQRT(252)</f>
        <v>0.30426600271918647</v>
      </c>
      <c r="X70" s="173">
        <f t="shared" si="11"/>
        <v>-0.58526817038682455</v>
      </c>
      <c r="Y70" s="173">
        <f t="shared" si="12"/>
        <v>-1.5855363099590469</v>
      </c>
      <c r="Z70" s="794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7">
        <v>2086.59</v>
      </c>
      <c r="D71" s="170">
        <f t="shared" si="27"/>
        <v>-1.2349401915592924E-3</v>
      </c>
      <c r="E71" s="198">
        <f t="shared" si="24"/>
        <v>-7.5388596107379561E-3</v>
      </c>
      <c r="F71" s="215">
        <v>5102.47</v>
      </c>
      <c r="G71" s="170">
        <f t="shared" si="25"/>
        <v>-4.7992916637279687E-4</v>
      </c>
      <c r="H71" s="200">
        <f t="shared" si="26"/>
        <v>2.1152071017539204E-3</v>
      </c>
      <c r="I71" s="219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2">
        <f t="shared" si="23"/>
        <v>-0.11904845000000001</v>
      </c>
      <c r="O71" s="182">
        <f t="shared" ref="O71:O134" si="30">N71/(A71/365.25)</f>
        <v>-0.44369843227040823</v>
      </c>
      <c r="P71" s="174" t="b">
        <f t="shared" si="21"/>
        <v>1</v>
      </c>
      <c r="Q71" s="182">
        <f>COUNTIF(P$2:P71, TRUE)/(COUNTIF(P$2:P71,FALSE) + COUNTIF(P$2:P71, TRUE))</f>
        <v>0.44285714285714284</v>
      </c>
      <c r="R71" s="333"/>
      <c r="S71" s="333"/>
      <c r="T71" s="333"/>
      <c r="U71" s="333"/>
      <c r="V71" s="182">
        <f>STDEV(D$2:D71)*SQRT(252)</f>
        <v>0.21282253565490999</v>
      </c>
      <c r="W71" s="182">
        <f>STDEV(L$2:L71)*SQRT(252)</f>
        <v>0.30238621984250691</v>
      </c>
      <c r="X71" s="173">
        <f t="shared" si="11"/>
        <v>-0.55937896630005435</v>
      </c>
      <c r="Y71" s="173">
        <f t="shared" si="12"/>
        <v>-1.4673235853852784</v>
      </c>
      <c r="Z71" s="794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7">
        <v>2089.14</v>
      </c>
      <c r="D72" s="170">
        <f t="shared" si="27"/>
        <v>1.2220896294910485E-3</v>
      </c>
      <c r="E72" s="198">
        <f t="shared" si="24"/>
        <v>-6.3259831433953792E-3</v>
      </c>
      <c r="F72" s="215">
        <v>5102.8</v>
      </c>
      <c r="G72" s="170">
        <f t="shared" si="25"/>
        <v>6.4674559576034202E-5</v>
      </c>
      <c r="H72" s="200">
        <f t="shared" si="26"/>
        <v>2.1800184614176729E-3</v>
      </c>
      <c r="I72" s="219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2">
        <f t="shared" si="23"/>
        <v>-0.10751327499999999</v>
      </c>
      <c r="O72" s="182">
        <f t="shared" si="30"/>
        <v>-0.39665882518939388</v>
      </c>
      <c r="P72" s="174" t="b">
        <f t="shared" si="21"/>
        <v>1</v>
      </c>
      <c r="Q72" s="182">
        <f>COUNTIF(P$2:P72, TRUE)/(COUNTIF(P$2:P72,FALSE) + COUNTIF(P$2:P72, TRUE))</f>
        <v>0.45070422535211269</v>
      </c>
      <c r="R72" s="333"/>
      <c r="S72" s="333"/>
      <c r="T72" s="333"/>
      <c r="U72" s="333"/>
      <c r="V72" s="182">
        <f>STDEV(D$2:D72)*SQRT(252)</f>
        <v>0.21128787806615651</v>
      </c>
      <c r="W72" s="182">
        <f>STDEV(L$2:L72)*SQRT(252)</f>
        <v>0.30126350583982381</v>
      </c>
      <c r="X72" s="173">
        <f t="shared" si="11"/>
        <v>-0.50884734128635822</v>
      </c>
      <c r="Y72" s="173">
        <f t="shared" si="12"/>
        <v>-1.3166507641993983</v>
      </c>
      <c r="Z72" s="794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7">
        <v>2088.87</v>
      </c>
      <c r="D73" s="170">
        <f t="shared" si="27"/>
        <v>-1.2923978287715607E-4</v>
      </c>
      <c r="E73" s="198">
        <f t="shared" si="24"/>
        <v>-6.4544053575845989E-3</v>
      </c>
      <c r="F73" s="215">
        <v>5116.1400000000003</v>
      </c>
      <c r="G73" s="170">
        <f t="shared" si="25"/>
        <v>2.6142509994513102E-3</v>
      </c>
      <c r="H73" s="200">
        <f t="shared" si="26"/>
        <v>4.7999685763105661E-3</v>
      </c>
      <c r="I73" s="219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2">
        <f t="shared" si="23"/>
        <v>-0.10511645000000004</v>
      </c>
      <c r="O73" s="182">
        <f t="shared" si="30"/>
        <v>-0.38393783362500017</v>
      </c>
      <c r="P73" s="174" t="b">
        <f t="shared" si="21"/>
        <v>1</v>
      </c>
      <c r="Q73" s="182">
        <f>COUNTIF(P$2:P73, TRUE)/(COUNTIF(P$2:P73,FALSE) + COUNTIF(P$2:P73, TRUE))</f>
        <v>0.45833333333333331</v>
      </c>
      <c r="R73" s="333"/>
      <c r="S73" s="333"/>
      <c r="T73" s="333"/>
      <c r="U73" s="333"/>
      <c r="V73" s="182">
        <f>STDEV(D$2:D73)*SQRT(252)</f>
        <v>0.20977338456133537</v>
      </c>
      <c r="W73" s="182">
        <f>STDEV(L$2:L73)*SQRT(252)</f>
        <v>0.29915075312421052</v>
      </c>
      <c r="X73" s="173">
        <f t="shared" si="11"/>
        <v>-0.50109526630279055</v>
      </c>
      <c r="Y73" s="173">
        <f t="shared" si="12"/>
        <v>-1.2834259302886835</v>
      </c>
      <c r="Z73" s="794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3">
        <v>2090.11</v>
      </c>
      <c r="D74" s="170">
        <f t="shared" si="27"/>
        <v>5.9362238913873841E-4</v>
      </c>
      <c r="E74" s="198">
        <f t="shared" si="24"/>
        <v>-5.8646144479746996E-3</v>
      </c>
      <c r="F74" s="215">
        <v>5127.5200000000004</v>
      </c>
      <c r="G74" s="170">
        <f t="shared" si="25"/>
        <v>2.2243331886930592E-3</v>
      </c>
      <c r="H74" s="200">
        <f t="shared" si="26"/>
        <v>7.0349784944125967E-3</v>
      </c>
      <c r="I74" s="219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2">
        <f t="shared" si="23"/>
        <v>-0.11134132500000007</v>
      </c>
      <c r="O74" s="182">
        <f t="shared" si="30"/>
        <v>-0.39870018584558853</v>
      </c>
      <c r="P74" s="174" t="b">
        <f t="shared" si="21"/>
        <v>0</v>
      </c>
      <c r="Q74" s="182">
        <f>COUNTIF(P$2:P74, TRUE)/(COUNTIF(P$2:P74,FALSE) + COUNTIF(P$2:P74, TRUE))</f>
        <v>0.45205479452054792</v>
      </c>
      <c r="R74" s="333"/>
      <c r="S74" s="333"/>
      <c r="T74" s="333"/>
      <c r="U74" s="333"/>
      <c r="V74" s="182">
        <f>STDEV(D$2:D74)*SQRT(252)</f>
        <v>0.20829387869007757</v>
      </c>
      <c r="W74" s="182">
        <f>STDEV(L$2:L74)*SQRT(252)</f>
        <v>0.29731455796464418</v>
      </c>
      <c r="X74" s="173">
        <f t="shared" si="11"/>
        <v>-0.53453959233082349</v>
      </c>
      <c r="Y74" s="173">
        <f t="shared" si="12"/>
        <v>-1.3410045864387201</v>
      </c>
      <c r="Z74" s="794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7">
        <v>2080.41</v>
      </c>
      <c r="D75" s="170">
        <f t="shared" si="27"/>
        <v>-4.6409040672501789E-3</v>
      </c>
      <c r="E75" s="208">
        <f t="shared" si="24"/>
        <v>-1.0478301402180418E-2</v>
      </c>
      <c r="F75" s="218">
        <v>5108.66</v>
      </c>
      <c r="G75" s="170">
        <f t="shared" si="25"/>
        <v>-3.6781914063720045E-3</v>
      </c>
      <c r="H75" s="202">
        <f t="shared" si="26"/>
        <v>3.3309110905984322E-3</v>
      </c>
      <c r="I75" s="465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1">
        <f t="shared" si="22"/>
        <v>-41737.710000000021</v>
      </c>
      <c r="N75" s="183">
        <f t="shared" si="23"/>
        <v>-0.10434427500000006</v>
      </c>
      <c r="O75" s="182">
        <f t="shared" si="30"/>
        <v>-0.36296901375000024</v>
      </c>
      <c r="P75" s="181" t="b">
        <f t="shared" si="21"/>
        <v>1</v>
      </c>
      <c r="Q75" s="183">
        <f>COUNTIF(P$2:P75, TRUE)/(COUNTIF(P$2:P75,FALSE) + COUNTIF(P$2:P75, TRUE))</f>
        <v>0.45945945945945948</v>
      </c>
      <c r="R75" s="334"/>
      <c r="S75" s="334"/>
      <c r="T75" s="334"/>
      <c r="U75" s="334"/>
      <c r="V75" s="183">
        <f>STDEV(D$2:D75)*SQRT(252)</f>
        <v>0.20702224585874895</v>
      </c>
      <c r="W75" s="183">
        <f>STDEV(L$2:L75)*SQRT(252)</f>
        <v>0.29562170062555598</v>
      </c>
      <c r="X75" s="173">
        <f t="shared" si="11"/>
        <v>-0.50402445673009477</v>
      </c>
      <c r="Y75" s="173">
        <f t="shared" si="12"/>
        <v>-1.2278158639299235</v>
      </c>
      <c r="Z75" s="794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7">
        <v>2102.63</v>
      </c>
      <c r="D76" s="170">
        <f t="shared" si="27"/>
        <v>1.0680586999678072E-2</v>
      </c>
      <c r="E76" s="208">
        <f t="shared" si="24"/>
        <v>9.0371187762815854E-5</v>
      </c>
      <c r="F76" s="218">
        <v>5156.3</v>
      </c>
      <c r="G76" s="170">
        <f t="shared" si="25"/>
        <v>9.3253416747249435E-3</v>
      </c>
      <c r="H76" s="202">
        <f t="shared" si="26"/>
        <v>1.2687314649331337E-2</v>
      </c>
      <c r="I76" s="220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1">
        <f t="shared" si="22"/>
        <v>-38718.090000000026</v>
      </c>
      <c r="N76" s="183">
        <f t="shared" si="23"/>
        <v>-9.6795225000000068E-2</v>
      </c>
      <c r="O76" s="182">
        <f t="shared" si="30"/>
        <v>-0.33353260312500022</v>
      </c>
      <c r="P76" s="181" t="b">
        <f t="shared" si="21"/>
        <v>0</v>
      </c>
      <c r="Q76" s="183">
        <f>COUNTIF(P$2:P76, TRUE)/(COUNTIF(P$2:P76,FALSE) + COUNTIF(P$2:P76, TRUE))</f>
        <v>0.45333333333333331</v>
      </c>
      <c r="R76" s="334"/>
      <c r="S76" s="334"/>
      <c r="T76" s="334"/>
      <c r="U76" s="334"/>
      <c r="V76" s="183">
        <f>STDEV(D$2:D76)*SQRT(252)</f>
        <v>0.20655260318517649</v>
      </c>
      <c r="W76" s="183">
        <f>STDEV(L$2:L76)*SQRT(252)</f>
        <v>0.29400855496408335</v>
      </c>
      <c r="X76" s="173">
        <f t="shared" si="11"/>
        <v>-0.46862263417334993</v>
      </c>
      <c r="Y76" s="173">
        <f t="shared" si="12"/>
        <v>-1.134431626201303</v>
      </c>
      <c r="Z76" s="794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7">
        <v>2079.5100000000002</v>
      </c>
      <c r="D77" s="170">
        <f t="shared" si="27"/>
        <v>-1.0995752937987135E-2</v>
      </c>
      <c r="E77" s="208">
        <f t="shared" si="24"/>
        <v>-1.0906375449477671E-2</v>
      </c>
      <c r="F77" s="218">
        <v>5123.22</v>
      </c>
      <c r="G77" s="170">
        <f t="shared" si="25"/>
        <v>-6.415452941062375E-3</v>
      </c>
      <c r="H77" s="202">
        <f t="shared" si="26"/>
        <v>6.1904668381877245E-3</v>
      </c>
      <c r="I77" s="220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1">
        <f t="shared" si="22"/>
        <v>-50358.799999999988</v>
      </c>
      <c r="N77" s="183">
        <f t="shared" si="23"/>
        <v>-0.12589699999999998</v>
      </c>
      <c r="O77" s="182">
        <f t="shared" si="30"/>
        <v>-0.42975588084112148</v>
      </c>
      <c r="P77" s="181" t="b">
        <f t="shared" si="21"/>
        <v>0</v>
      </c>
      <c r="Q77" s="183">
        <f>COUNTIF(P$2:P77, TRUE)/(COUNTIF(P$2:P77,FALSE) + COUNTIF(P$2:P77, TRUE))</f>
        <v>0.44736842105263158</v>
      </c>
      <c r="R77" s="334"/>
      <c r="S77" s="334"/>
      <c r="T77" s="334"/>
      <c r="U77" s="334"/>
      <c r="V77" s="183">
        <f>STDEV(D$2:D77)*SQRT(252)</f>
        <v>0.20615523591080137</v>
      </c>
      <c r="W77" s="183">
        <f>STDEV(L$2:L77)*SQRT(252)</f>
        <v>0.29794414920309426</v>
      </c>
      <c r="X77" s="173">
        <f t="shared" si="11"/>
        <v>-0.61069028610300602</v>
      </c>
      <c r="Y77" s="173">
        <f t="shared" si="12"/>
        <v>-1.4424041619564663</v>
      </c>
      <c r="Z77" s="794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7">
        <v>2049.62</v>
      </c>
      <c r="D78" s="170">
        <f t="shared" si="27"/>
        <v>-1.4373578391063435E-2</v>
      </c>
      <c r="E78" s="208">
        <f t="shared" si="24"/>
        <v>-2.5123190198055669E-2</v>
      </c>
      <c r="F78" s="218">
        <v>5037.5200000000004</v>
      </c>
      <c r="G78" s="170">
        <f t="shared" si="25"/>
        <v>-1.6727761056523009E-2</v>
      </c>
      <c r="H78" s="202">
        <f t="shared" si="26"/>
        <v>-1.0640846868432819E-2</v>
      </c>
      <c r="I78" s="220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1">
        <f t="shared" si="22"/>
        <v>-55569.419999999984</v>
      </c>
      <c r="N78" s="183">
        <f t="shared" si="23"/>
        <v>-0.13892354999999995</v>
      </c>
      <c r="O78" s="182">
        <f t="shared" si="30"/>
        <v>-0.46983172812499985</v>
      </c>
      <c r="P78" s="181" t="b">
        <f t="shared" si="21"/>
        <v>0</v>
      </c>
      <c r="Q78" s="183">
        <f>COUNTIF(P$2:P78, TRUE)/(COUNTIF(P$2:P78,FALSE) + COUNTIF(P$2:P78, TRUE))</f>
        <v>0.44155844155844154</v>
      </c>
      <c r="R78" s="334"/>
      <c r="S78" s="334"/>
      <c r="T78" s="334"/>
      <c r="U78" s="334"/>
      <c r="V78" s="183">
        <f>STDEV(D$2:D78)*SQRT(252)</f>
        <v>0.20642766070992974</v>
      </c>
      <c r="W78" s="183">
        <f>STDEV(L$2:L78)*SQRT(252)</f>
        <v>0.29712936975574017</v>
      </c>
      <c r="X78" s="173">
        <f t="shared" si="11"/>
        <v>-0.67298902444674824</v>
      </c>
      <c r="Y78" s="173">
        <f t="shared" si="12"/>
        <v>-1.5812362423520514</v>
      </c>
      <c r="Z78" s="794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7">
        <v>2091.69</v>
      </c>
      <c r="D79" s="170">
        <f t="shared" si="27"/>
        <v>2.0525755993794054E-2</v>
      </c>
      <c r="E79" s="208">
        <f t="shared" si="24"/>
        <v>-5.1131066760525864E-3</v>
      </c>
      <c r="F79" s="218">
        <v>5142.2700000000004</v>
      </c>
      <c r="G79" s="170">
        <f t="shared" si="25"/>
        <v>2.0793962108339021E-2</v>
      </c>
      <c r="H79" s="202">
        <f t="shared" si="26"/>
        <v>9.9318498733233732E-3</v>
      </c>
      <c r="I79" s="220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1">
        <f t="shared" si="22"/>
        <v>-58935.349999999977</v>
      </c>
      <c r="N79" s="183">
        <f t="shared" si="23"/>
        <v>-0.14733837499999994</v>
      </c>
      <c r="O79" s="182">
        <f t="shared" si="30"/>
        <v>-0.4937187290711007</v>
      </c>
      <c r="P79" s="181" t="b">
        <f t="shared" si="21"/>
        <v>0</v>
      </c>
      <c r="Q79" s="183">
        <f>COUNTIF(P$2:P79, TRUE)/(COUNTIF(P$2:P79,FALSE) + COUNTIF(P$2:P79, TRUE))</f>
        <v>0.4358974358974359</v>
      </c>
      <c r="R79" s="334"/>
      <c r="S79" s="334"/>
      <c r="T79" s="334"/>
      <c r="U79" s="334"/>
      <c r="V79" s="183">
        <f>STDEV(D$2:D79)*SQRT(252)</f>
        <v>0.2084813160993948</v>
      </c>
      <c r="W79" s="183">
        <f>STDEV(L$2:L79)*SQRT(252)</f>
        <v>0.29563649002359699</v>
      </c>
      <c r="X79" s="173">
        <f t="shared" si="11"/>
        <v>-0.70672220300909572</v>
      </c>
      <c r="Y79" s="173">
        <f t="shared" si="12"/>
        <v>-1.6700195873374537</v>
      </c>
      <c r="Z79" s="794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7">
        <v>2077.0700000000002</v>
      </c>
      <c r="D80" s="170">
        <f t="shared" si="27"/>
        <v>-6.9895634630370131E-3</v>
      </c>
      <c r="E80" s="198">
        <f t="shared" si="24"/>
        <v>-1.2066931755484052E-2</v>
      </c>
      <c r="F80" s="215">
        <v>5101.8100000000004</v>
      </c>
      <c r="G80" s="170">
        <f t="shared" si="25"/>
        <v>-7.8681204993125663E-3</v>
      </c>
      <c r="H80" s="200">
        <f t="shared" si="26"/>
        <v>1.9855843824264159E-3</v>
      </c>
      <c r="I80" s="219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2">
        <f t="shared" si="23"/>
        <v>-0.19111164999999994</v>
      </c>
      <c r="O80" s="182">
        <f t="shared" si="30"/>
        <v>-0.6232458050223213</v>
      </c>
      <c r="P80" s="174" t="b">
        <f t="shared" si="21"/>
        <v>0</v>
      </c>
      <c r="Q80" s="182">
        <f>COUNTIF(P$2:P80, TRUE)/(COUNTIF(P$2:P80,FALSE) + COUNTIF(P$2:P80, TRUE))</f>
        <v>0.43037974683544306</v>
      </c>
      <c r="R80" s="333"/>
      <c r="S80" s="333"/>
      <c r="T80" s="333"/>
      <c r="U80" s="333"/>
      <c r="V80" s="182">
        <f>STDEV(D$2:D80)*SQRT(252)</f>
        <v>0.20750582350249624</v>
      </c>
      <c r="W80" s="182">
        <f>STDEV(L$2:L80)*SQRT(252)</f>
        <v>0.3074916653921197</v>
      </c>
      <c r="X80" s="173">
        <f t="shared" si="11"/>
        <v>-0.9209941522325561</v>
      </c>
      <c r="Y80" s="173">
        <f t="shared" si="12"/>
        <v>-2.0268705632315123</v>
      </c>
      <c r="Z80" s="794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7">
        <v>2063.59</v>
      </c>
      <c r="D81" s="170">
        <f t="shared" si="27"/>
        <v>-6.489911269239851E-3</v>
      </c>
      <c r="E81" s="198">
        <f t="shared" si="24"/>
        <v>-1.8478529708338839E-2</v>
      </c>
      <c r="F81" s="215">
        <v>5098.24</v>
      </c>
      <c r="G81" s="170">
        <f t="shared" si="25"/>
        <v>-6.9975165676507318E-4</v>
      </c>
      <c r="H81" s="200">
        <f t="shared" si="26"/>
        <v>1.284443309700093E-3</v>
      </c>
      <c r="I81" s="219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2">
        <f t="shared" si="23"/>
        <v>-0.19772619999999996</v>
      </c>
      <c r="O81" s="182">
        <f t="shared" si="30"/>
        <v>-0.63911057123893789</v>
      </c>
      <c r="P81" s="174" t="b">
        <f t="shared" si="21"/>
        <v>0</v>
      </c>
      <c r="Q81" s="182">
        <f>COUNTIF(P$2:P81, TRUE)/(COUNTIF(P$2:P81,FALSE) + COUNTIF(P$2:P81, TRUE))</f>
        <v>0.42499999999999999</v>
      </c>
      <c r="R81" s="333"/>
      <c r="S81" s="333"/>
      <c r="T81" s="333"/>
      <c r="U81" s="333"/>
      <c r="V81" s="182">
        <f>STDEV(D$2:D81)*SQRT(252)</f>
        <v>0.20648984597109604</v>
      </c>
      <c r="W81" s="182">
        <f>STDEV(L$2:L81)*SQRT(252)</f>
        <v>0.3057577572819663</v>
      </c>
      <c r="X81" s="173">
        <f t="shared" si="11"/>
        <v>-0.95755894954600917</v>
      </c>
      <c r="Y81" s="173">
        <f t="shared" si="12"/>
        <v>-2.0902513706285379</v>
      </c>
      <c r="Z81" s="794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7">
        <v>2047.62</v>
      </c>
      <c r="D82" s="170">
        <f t="shared" si="27"/>
        <v>-7.7389403902908297E-3</v>
      </c>
      <c r="E82" s="198">
        <f t="shared" si="24"/>
        <v>-2.6074465858716617E-2</v>
      </c>
      <c r="F82" s="215">
        <v>5022.8599999999997</v>
      </c>
      <c r="G82" s="170">
        <f t="shared" si="25"/>
        <v>-1.4785494602058772E-2</v>
      </c>
      <c r="H82" s="200">
        <f t="shared" si="26"/>
        <v>-1.3520042421980899E-2</v>
      </c>
      <c r="I82" s="219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2">
        <f t="shared" si="23"/>
        <v>-0.20136720000000002</v>
      </c>
      <c r="O82" s="182">
        <f t="shared" si="30"/>
        <v>-0.64516991052631578</v>
      </c>
      <c r="P82" s="174" t="b">
        <f t="shared" si="21"/>
        <v>1</v>
      </c>
      <c r="Q82" s="182">
        <f>COUNTIF(P$2:P82, TRUE)/(COUNTIF(P$2:P82,FALSE) + COUNTIF(P$2:P82, TRUE))</f>
        <v>0.43209876543209874</v>
      </c>
      <c r="R82" s="333"/>
      <c r="S82" s="333"/>
      <c r="T82" s="333"/>
      <c r="U82" s="333"/>
      <c r="V82" s="182">
        <f>STDEV(D$2:D82)*SQRT(252)</f>
        <v>0.20562012018240991</v>
      </c>
      <c r="W82" s="182">
        <f>STDEV(L$2:L82)*SQRT(252)</f>
        <v>0.30386643217647319</v>
      </c>
      <c r="X82" s="173">
        <f t="shared" si="11"/>
        <v>-0.97931661464531272</v>
      </c>
      <c r="Y82" s="173">
        <f t="shared" si="12"/>
        <v>-2.1232023093344758</v>
      </c>
      <c r="Z82" s="794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3">
        <v>2052.23</v>
      </c>
      <c r="D83" s="170">
        <f t="shared" si="27"/>
        <v>2.2513943016771315E-3</v>
      </c>
      <c r="E83" s="198">
        <f t="shared" si="24"/>
        <v>-2.3881775460893075E-2</v>
      </c>
      <c r="F83" s="215">
        <v>5045.17</v>
      </c>
      <c r="G83" s="170">
        <f t="shared" si="25"/>
        <v>4.4416925815173825E-3</v>
      </c>
      <c r="H83" s="200">
        <f t="shared" si="26"/>
        <v>-9.1384017125910304E-3</v>
      </c>
      <c r="I83" s="219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2">
        <f t="shared" si="23"/>
        <v>-0.18938365000000004</v>
      </c>
      <c r="O83" s="182">
        <f t="shared" si="30"/>
        <v>-0.60149894054347841</v>
      </c>
      <c r="P83" s="174" t="b">
        <f t="shared" si="21"/>
        <v>1</v>
      </c>
      <c r="Q83" s="182">
        <f>COUNTIF(P$2:P83, TRUE)/(COUNTIF(P$2:P83,FALSE) + COUNTIF(P$2:P83, TRUE))</f>
        <v>0.43902439024390244</v>
      </c>
      <c r="R83" s="333"/>
      <c r="S83" s="333"/>
      <c r="T83" s="333"/>
      <c r="U83" s="333"/>
      <c r="V83" s="182">
        <f>STDEV(D$2:D83)*SQRT(252)</f>
        <v>0.20437847650239915</v>
      </c>
      <c r="W83" s="182">
        <f>STDEV(L$2:L83)*SQRT(252)</f>
        <v>0.30335650462124281</v>
      </c>
      <c r="X83" s="173">
        <f t="shared" si="11"/>
        <v>-0.92663206635546536</v>
      </c>
      <c r="Y83" s="173">
        <f t="shared" si="12"/>
        <v>-1.9828120754967253</v>
      </c>
      <c r="Z83" s="794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3">
        <v>2012.37</v>
      </c>
      <c r="D84" s="170">
        <f t="shared" si="27"/>
        <v>-1.9422774250449575E-2</v>
      </c>
      <c r="E84" s="198">
        <f t="shared" si="24"/>
        <v>-4.2840699377865797E-2</v>
      </c>
      <c r="F84" s="215">
        <v>4933.47</v>
      </c>
      <c r="G84" s="170">
        <f t="shared" si="25"/>
        <v>-2.2139987354241743E-2</v>
      </c>
      <c r="H84" s="200">
        <f t="shared" si="26"/>
        <v>-3.1076064968478027E-2</v>
      </c>
      <c r="I84" s="219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2">
        <f t="shared" si="23"/>
        <v>-0.21256369999999997</v>
      </c>
      <c r="O84" s="182">
        <f t="shared" si="30"/>
        <v>-0.66930078814655158</v>
      </c>
      <c r="P84" s="174" t="b">
        <f t="shared" si="21"/>
        <v>0</v>
      </c>
      <c r="Q84" s="182">
        <f>COUNTIF(P$2:P84, TRUE)/(COUNTIF(P$2:P84,FALSE) + COUNTIF(P$2:P84, TRUE))</f>
        <v>0.43373493975903615</v>
      </c>
      <c r="R84" s="333"/>
      <c r="S84" s="333"/>
      <c r="T84" s="333"/>
      <c r="U84" s="333"/>
      <c r="V84" s="182">
        <f>STDEV(D$2:D84)*SQRT(252)</f>
        <v>0.20588473038733746</v>
      </c>
      <c r="W84" s="182">
        <f>STDEV(L$2:L84)*SQRT(252)</f>
        <v>0.3052608066855817</v>
      </c>
      <c r="X84" s="173">
        <f t="shared" si="11"/>
        <v>-1.0324403349393476</v>
      </c>
      <c r="Y84" s="173">
        <f t="shared" si="12"/>
        <v>-2.1925539521879425</v>
      </c>
      <c r="Z84" s="794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7">
        <v>2021.94</v>
      </c>
      <c r="D85" s="170">
        <f t="shared" si="27"/>
        <v>4.7555866962835681E-3</v>
      </c>
      <c r="E85" s="208">
        <f t="shared" ref="E85:E95" si="31">(C85-$C$2)/$C$2</f>
        <v>-3.8288845341603088E-2</v>
      </c>
      <c r="F85" s="218">
        <v>4871.59</v>
      </c>
      <c r="G85" s="170">
        <f t="shared" si="25"/>
        <v>-1.2542895771130685E-2</v>
      </c>
      <c r="H85" s="202">
        <f t="shared" ref="H85:H106" si="32">(F85-F$2)/F$2</f>
        <v>-4.3229176895732205E-2</v>
      </c>
      <c r="I85" s="220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1">
        <f t="shared" si="22"/>
        <v>-82872.25</v>
      </c>
      <c r="N85" s="183">
        <f t="shared" si="23"/>
        <v>-0.20718062500000001</v>
      </c>
      <c r="O85" s="182">
        <f t="shared" si="30"/>
        <v>-0.63590523765756302</v>
      </c>
      <c r="P85" s="181" t="b">
        <f t="shared" si="21"/>
        <v>1</v>
      </c>
      <c r="Q85" s="183">
        <f>COUNTIF(P$2:P85, TRUE)/(COUNTIF(P$2:P85,FALSE) + COUNTIF(P$2:P85, TRUE))</f>
        <v>0.44047619047619047</v>
      </c>
      <c r="R85" s="334"/>
      <c r="S85" s="334"/>
      <c r="T85" s="334"/>
      <c r="U85" s="334"/>
      <c r="V85" s="183">
        <f>STDEV(D$2:D85)*SQRT(252)</f>
        <v>0.20482646913198044</v>
      </c>
      <c r="W85" s="183">
        <f>STDEV(L$2:L85)*SQRT(252)</f>
        <v>0.30374972032355096</v>
      </c>
      <c r="X85" s="173">
        <f t="shared" si="11"/>
        <v>-1.011493416246426</v>
      </c>
      <c r="Y85" s="173">
        <f t="shared" si="12"/>
        <v>-2.093517113300396</v>
      </c>
      <c r="Z85" s="794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7">
        <v>2043.41</v>
      </c>
      <c r="D86" s="170">
        <f t="shared" si="27"/>
        <v>1.0618514891638736E-2</v>
      </c>
      <c r="E86" s="208">
        <f t="shared" si="31"/>
        <v>-2.8076901124407819E-2</v>
      </c>
      <c r="F86" s="218">
        <v>4986.99</v>
      </c>
      <c r="G86" s="170">
        <f t="shared" si="25"/>
        <v>2.3688364579120911E-2</v>
      </c>
      <c r="H86" s="202">
        <f t="shared" si="32"/>
        <v>-2.0564840819372713E-2</v>
      </c>
      <c r="I86" s="220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1">
        <f t="shared" si="22"/>
        <v>-84888.87</v>
      </c>
      <c r="N86" s="183">
        <f t="shared" si="23"/>
        <v>-0.21222217499999999</v>
      </c>
      <c r="O86" s="182">
        <f t="shared" si="30"/>
        <v>-0.64595124515625002</v>
      </c>
      <c r="P86" s="181" t="b">
        <f t="shared" si="21"/>
        <v>0</v>
      </c>
      <c r="Q86" s="183">
        <f>COUNTIF(P$2:P86, TRUE)/(COUNTIF(P$2:P86,FALSE) + COUNTIF(P$2:P86, TRUE))</f>
        <v>0.43529411764705883</v>
      </c>
      <c r="R86" s="334"/>
      <c r="S86" s="334"/>
      <c r="T86" s="334"/>
      <c r="U86" s="334"/>
      <c r="V86" s="183">
        <f>STDEV(D$2:D86)*SQRT(252)</f>
        <v>0.20447942963510182</v>
      </c>
      <c r="W86" s="183">
        <f>STDEV(L$2:L86)*SQRT(252)</f>
        <v>0.30203167512176549</v>
      </c>
      <c r="X86" s="173">
        <f t="shared" si="11"/>
        <v>-1.0378656443766263</v>
      </c>
      <c r="Y86" s="173">
        <f t="shared" si="12"/>
        <v>-2.1386870926561983</v>
      </c>
      <c r="Z86" s="794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7">
        <v>2073.0700000000002</v>
      </c>
      <c r="D87" s="170">
        <f t="shared" si="27"/>
        <v>1.4514952946300586E-2</v>
      </c>
      <c r="E87" s="208">
        <f t="shared" si="31"/>
        <v>-1.3969483076805945E-2</v>
      </c>
      <c r="F87" s="218">
        <v>4992.63</v>
      </c>
      <c r="G87" s="170">
        <f t="shared" si="25"/>
        <v>1.1309427129391331E-3</v>
      </c>
      <c r="H87" s="202">
        <f t="shared" si="32"/>
        <v>-1.9457155763301003E-2</v>
      </c>
      <c r="I87" s="220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1">
        <f t="shared" si="22"/>
        <v>-79932.659999999974</v>
      </c>
      <c r="N87" s="183">
        <f t="shared" si="23"/>
        <v>-0.19983164999999994</v>
      </c>
      <c r="O87" s="182">
        <f t="shared" si="30"/>
        <v>-0.60321082778925605</v>
      </c>
      <c r="P87" s="181" t="b">
        <f t="shared" si="21"/>
        <v>1</v>
      </c>
      <c r="Q87" s="183">
        <f>COUNTIF(P$2:P87, TRUE)/(COUNTIF(P$2:P87,FALSE) + COUNTIF(P$2:P87, TRUE))</f>
        <v>0.44186046511627908</v>
      </c>
      <c r="R87" s="334"/>
      <c r="S87" s="334"/>
      <c r="T87" s="334"/>
      <c r="U87" s="334"/>
      <c r="V87" s="183">
        <f>STDEV(D$2:D87)*SQRT(252)</f>
        <v>0.20484383238315154</v>
      </c>
      <c r="W87" s="183">
        <f>STDEV(L$2:L87)*SQRT(252)</f>
        <v>0.30170012255410639</v>
      </c>
      <c r="X87" s="173">
        <f t="shared" si="11"/>
        <v>-0.97553169004485074</v>
      </c>
      <c r="Y87" s="173">
        <f t="shared" si="12"/>
        <v>-1.9993721669141093</v>
      </c>
      <c r="Z87" s="794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7">
        <v>2041.89</v>
      </c>
      <c r="D88" s="170">
        <f t="shared" si="27"/>
        <v>-1.5040495497016531E-2</v>
      </c>
      <c r="E88" s="208">
        <f t="shared" si="31"/>
        <v>-2.8799870626510127E-2</v>
      </c>
      <c r="F88" s="218">
        <v>5002.55</v>
      </c>
      <c r="G88" s="170">
        <f t="shared" si="25"/>
        <v>1.9869287329523865E-3</v>
      </c>
      <c r="H88" s="202">
        <f t="shared" si="32"/>
        <v>-1.7508887012196248E-2</v>
      </c>
      <c r="I88" s="220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1">
        <f t="shared" si="22"/>
        <v>-85137.31</v>
      </c>
      <c r="N88" s="183">
        <f t="shared" si="23"/>
        <v>-0.212843275</v>
      </c>
      <c r="O88" s="182">
        <f t="shared" si="30"/>
        <v>-0.63722136224385251</v>
      </c>
      <c r="P88" s="181" t="b">
        <f t="shared" si="21"/>
        <v>0</v>
      </c>
      <c r="Q88" s="183">
        <f>COUNTIF(P$2:P88, TRUE)/(COUNTIF(P$2:P88,FALSE) + COUNTIF(P$2:P88, TRUE))</f>
        <v>0.43678160919540232</v>
      </c>
      <c r="R88" s="334"/>
      <c r="S88" s="334"/>
      <c r="T88" s="334"/>
      <c r="U88" s="334"/>
      <c r="V88" s="183">
        <f>STDEV(D$2:D88)*SQRT(252)</f>
        <v>0.20523864420055984</v>
      </c>
      <c r="W88" s="183">
        <f>STDEV(L$2:L88)*SQRT(252)</f>
        <v>0.30100381031831397</v>
      </c>
      <c r="X88" s="173">
        <f t="shared" si="11"/>
        <v>-1.0370526263660604</v>
      </c>
      <c r="Y88" s="173">
        <f t="shared" si="12"/>
        <v>-2.1169876938434293</v>
      </c>
      <c r="Z88" s="794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7">
        <v>2005.52</v>
      </c>
      <c r="D89" s="170">
        <f t="shared" si="27"/>
        <v>-1.7811929144077358E-2</v>
      </c>
      <c r="E89" s="208">
        <f t="shared" si="31"/>
        <v>-4.609881851562949E-2</v>
      </c>
      <c r="F89" s="218">
        <v>4923.08</v>
      </c>
      <c r="G89" s="170">
        <f t="shared" si="25"/>
        <v>-1.5885898191922172E-2</v>
      </c>
      <c r="H89" s="202">
        <f t="shared" si="32"/>
        <v>-3.3116640807588804E-2</v>
      </c>
      <c r="I89" s="220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1">
        <f t="shared" si="22"/>
        <v>-84497.950000000012</v>
      </c>
      <c r="N89" s="183">
        <f t="shared" si="23"/>
        <v>-0.21124487500000003</v>
      </c>
      <c r="O89" s="182">
        <f t="shared" si="30"/>
        <v>-0.62729423246951233</v>
      </c>
      <c r="P89" s="181" t="b">
        <f t="shared" si="21"/>
        <v>1</v>
      </c>
      <c r="Q89" s="183">
        <f>COUNTIF(P$2:P89, TRUE)/(COUNTIF(P$2:P89,FALSE) + COUNTIF(P$2:P89, TRUE))</f>
        <v>0.44318181818181818</v>
      </c>
      <c r="R89" s="334"/>
      <c r="S89" s="334"/>
      <c r="T89" s="334"/>
      <c r="U89" s="334"/>
      <c r="V89" s="183">
        <f>STDEV(D$2:D89)*SQRT(252)</f>
        <v>0.20621771492919441</v>
      </c>
      <c r="W89" s="183">
        <f>STDEV(L$2:L89)*SQRT(252)</f>
        <v>0.29930992001467371</v>
      </c>
      <c r="X89" s="173">
        <f t="shared" si="11"/>
        <v>-1.0243779254005008</v>
      </c>
      <c r="Y89" s="173">
        <f t="shared" si="12"/>
        <v>-2.0958016775346406</v>
      </c>
      <c r="Z89" s="794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7">
        <v>2021.15</v>
      </c>
      <c r="D90" s="170">
        <f t="shared" si="27"/>
        <v>7.7934899676892324E-3</v>
      </c>
      <c r="E90" s="198">
        <f t="shared" si="31"/>
        <v>-3.8664599227564142E-2</v>
      </c>
      <c r="F90" s="215">
        <v>4968.92</v>
      </c>
      <c r="G90" s="170">
        <f t="shared" si="25"/>
        <v>9.3112441804724163E-3</v>
      </c>
      <c r="H90" s="200">
        <f t="shared" si="32"/>
        <v>-2.4113753756112841E-2</v>
      </c>
      <c r="I90" s="219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2">
        <f t="shared" si="23"/>
        <v>-0.19793735000000001</v>
      </c>
      <c r="O90" s="182">
        <f t="shared" si="30"/>
        <v>-0.57378267529761906</v>
      </c>
      <c r="P90" s="174" t="b">
        <f t="shared" si="21"/>
        <v>1</v>
      </c>
      <c r="Q90" s="182">
        <f>COUNTIF(P$2:P90, TRUE)/(COUNTIF(P$2:P90,FALSE) + COUNTIF(P$2:P90, TRUE))</f>
        <v>0.449438202247191</v>
      </c>
      <c r="R90" s="333"/>
      <c r="S90" s="333"/>
      <c r="T90" s="333"/>
      <c r="U90" s="333"/>
      <c r="V90" s="182">
        <f>STDEV(D$2:D90)*SQRT(252)</f>
        <v>0.20550415563548391</v>
      </c>
      <c r="W90" s="182">
        <f>STDEV(L$2:L90)*SQRT(252)</f>
        <v>0.29920187088435746</v>
      </c>
      <c r="X90" s="173">
        <f t="shared" si="11"/>
        <v>-0.96317930597517631</v>
      </c>
      <c r="Y90" s="173">
        <f t="shared" si="12"/>
        <v>-1.9177108538849612</v>
      </c>
      <c r="Z90" s="794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7">
        <v>2038.97</v>
      </c>
      <c r="D91" s="170">
        <f t="shared" si="27"/>
        <v>8.8167627340869983E-3</v>
      </c>
      <c r="E91" s="198">
        <f t="shared" si="31"/>
        <v>-3.0188733091075143E-2</v>
      </c>
      <c r="F91" s="215">
        <v>5001.1099999999997</v>
      </c>
      <c r="G91" s="170">
        <f t="shared" si="25"/>
        <v>6.4782689196041798E-3</v>
      </c>
      <c r="H91" s="200">
        <f t="shared" si="32"/>
        <v>-1.7791700218001874E-2</v>
      </c>
      <c r="I91" s="219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2">
        <f t="shared" si="23"/>
        <v>-0.19524304999999992</v>
      </c>
      <c r="O91" s="182">
        <f t="shared" si="30"/>
        <v>-0.56151593710629899</v>
      </c>
      <c r="P91" s="174" t="b">
        <f t="shared" ref="P91:P122" si="34">L91&gt;D91</f>
        <v>0</v>
      </c>
      <c r="Q91" s="182">
        <f>COUNTIF(P$2:P91, TRUE)/(COUNTIF(P$2:P91,FALSE) + COUNTIF(P$2:P91, TRUE))</f>
        <v>0.44444444444444442</v>
      </c>
      <c r="R91" s="333"/>
      <c r="S91" s="333"/>
      <c r="T91" s="333"/>
      <c r="U91" s="333"/>
      <c r="V91" s="182">
        <f>STDEV(D$2:D91)*SQRT(252)</f>
        <v>0.20491645962952909</v>
      </c>
      <c r="W91" s="182">
        <f>STDEV(L$2:L91)*SQRT(252)</f>
        <v>0.29759929719842121</v>
      </c>
      <c r="X91" s="173">
        <f t="shared" ref="X91:X154" si="35">N91/V91</f>
        <v>-0.95279339860244583</v>
      </c>
      <c r="Y91" s="173">
        <f t="shared" ref="Y91:Y154" si="36">O91/W91</f>
        <v>-1.8868187606367703</v>
      </c>
      <c r="Z91" s="794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7">
        <v>2064.29</v>
      </c>
      <c r="D92" s="170">
        <f t="shared" si="27"/>
        <v>1.2418034595898879E-2</v>
      </c>
      <c r="E92" s="198">
        <f t="shared" si="31"/>
        <v>-1.8145583227107593E-2</v>
      </c>
      <c r="F92" s="215">
        <v>5045.93</v>
      </c>
      <c r="G92" s="170">
        <f t="shared" si="25"/>
        <v>8.9620104336838469E-3</v>
      </c>
      <c r="H92" s="200">
        <f t="shared" si="32"/>
        <v>-8.9891391873047361E-3</v>
      </c>
      <c r="I92" s="219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2">
        <f t="shared" si="23"/>
        <v>-0.17316475000000006</v>
      </c>
      <c r="O92" s="182">
        <f t="shared" si="30"/>
        <v>-0.49412831982421895</v>
      </c>
      <c r="P92" s="174" t="b">
        <f t="shared" si="34"/>
        <v>1</v>
      </c>
      <c r="Q92" s="182">
        <f>COUNTIF(P$2:P92, TRUE)/(COUNTIF(P$2:P92,FALSE) + COUNTIF(P$2:P92, TRUE))</f>
        <v>0.45054945054945056</v>
      </c>
      <c r="R92" s="333"/>
      <c r="S92" s="333"/>
      <c r="T92" s="333"/>
      <c r="U92" s="333"/>
      <c r="V92" s="182">
        <f>STDEV(D$2:D92)*SQRT(252)</f>
        <v>0.20486368921422393</v>
      </c>
      <c r="W92" s="182">
        <f>STDEV(L$2:L92)*SQRT(252)</f>
        <v>0.29978352577242878</v>
      </c>
      <c r="X92" s="173">
        <f t="shared" si="35"/>
        <v>-0.84526814226665326</v>
      </c>
      <c r="Y92" s="173">
        <f t="shared" si="36"/>
        <v>-1.6482837692666303</v>
      </c>
      <c r="Z92" s="794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3">
        <v>2060.9899999999998</v>
      </c>
      <c r="D93" s="170">
        <f t="shared" si="27"/>
        <v>-1.5986125980362168E-3</v>
      </c>
      <c r="E93" s="198">
        <f t="shared" si="31"/>
        <v>-1.9715188067198242E-2</v>
      </c>
      <c r="F93" s="215">
        <v>5048.49</v>
      </c>
      <c r="G93" s="170">
        <f t="shared" si="25"/>
        <v>5.0733957863059742E-4</v>
      </c>
      <c r="H93" s="200">
        <f t="shared" si="32"/>
        <v>-8.4863601547616793E-3</v>
      </c>
      <c r="I93" s="219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2">
        <f t="shared" si="23"/>
        <v>-0.17131919999999998</v>
      </c>
      <c r="O93" s="182">
        <f t="shared" si="30"/>
        <v>-0.48507238604651154</v>
      </c>
      <c r="P93" s="174" t="b">
        <f t="shared" si="34"/>
        <v>1</v>
      </c>
      <c r="Q93" s="182">
        <f>COUNTIF(P$2:P93, TRUE)/(COUNTIF(P$2:P93,FALSE) + COUNTIF(P$2:P93, TRUE))</f>
        <v>0.45652173913043476</v>
      </c>
      <c r="R93" s="333"/>
      <c r="S93" s="333"/>
      <c r="T93" s="333"/>
      <c r="U93" s="333"/>
      <c r="V93" s="182">
        <f>STDEV(D$2:D93)*SQRT(252)</f>
        <v>0.20373721805124861</v>
      </c>
      <c r="W93" s="182">
        <f>STDEV(L$2:L93)*SQRT(252)</f>
        <v>0.29815917239051543</v>
      </c>
      <c r="X93" s="173">
        <f t="shared" si="35"/>
        <v>-0.84088318098515447</v>
      </c>
      <c r="Y93" s="173">
        <f t="shared" si="36"/>
        <v>-1.6268907045770358</v>
      </c>
      <c r="Z93" s="794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4">
        <v>2056.5</v>
      </c>
      <c r="D94" s="170">
        <f t="shared" si="27"/>
        <v>-2.178564670376752E-3</v>
      </c>
      <c r="E94" s="208">
        <f t="shared" si="31"/>
        <v>-2.1850801925381962E-2</v>
      </c>
      <c r="F94" s="218">
        <v>5040.99</v>
      </c>
      <c r="G94" s="170">
        <f t="shared" si="25"/>
        <v>-1.4855927217841374E-3</v>
      </c>
      <c r="H94" s="202">
        <f t="shared" si="32"/>
        <v>-9.9593456016654636E-3</v>
      </c>
      <c r="I94" s="220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1">
        <f t="shared" ref="M94:M125" si="38">I94-J94</f>
        <v>-75566.13</v>
      </c>
      <c r="N94" s="183">
        <f t="shared" ref="N94:N125" si="39">M94/J94</f>
        <v>-0.18891532500000002</v>
      </c>
      <c r="O94" s="182">
        <f t="shared" si="30"/>
        <v>-0.51880693576127823</v>
      </c>
      <c r="P94" s="181" t="b">
        <f t="shared" si="34"/>
        <v>0</v>
      </c>
      <c r="Q94" s="183">
        <f>COUNTIF(P$2:P94, TRUE)/(COUNTIF(P$2:P94,FALSE) + COUNTIF(P$2:P94, TRUE))</f>
        <v>0.45161290322580644</v>
      </c>
      <c r="R94" s="334"/>
      <c r="S94" s="334"/>
      <c r="T94" s="334"/>
      <c r="U94" s="334"/>
      <c r="V94" s="183">
        <f>STDEV(D$2:D94)*SQRT(252)</f>
        <v>0.20264285644820698</v>
      </c>
      <c r="W94" s="183">
        <f>STDEV(L$2:L94)*SQRT(252)</f>
        <v>0.29842518034690152</v>
      </c>
      <c r="X94" s="173">
        <f t="shared" si="35"/>
        <v>-0.9322575111266479</v>
      </c>
      <c r="Y94" s="173">
        <f t="shared" si="36"/>
        <v>-1.7384824402491641</v>
      </c>
      <c r="Z94" s="794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7">
        <v>2078.36</v>
      </c>
      <c r="D95" s="170">
        <f t="shared" si="27"/>
        <v>1.0629710673474412E-2</v>
      </c>
      <c r="E95" s="208">
        <f t="shared" si="31"/>
        <v>-1.1453358954357758E-2</v>
      </c>
      <c r="F95" s="218">
        <v>5107.9399999999996</v>
      </c>
      <c r="G95" s="170">
        <f t="shared" si="25"/>
        <v>1.3281121367033027E-2</v>
      </c>
      <c r="H95" s="202">
        <f t="shared" si="32"/>
        <v>3.1895044876956188E-3</v>
      </c>
      <c r="I95" s="220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1">
        <f t="shared" si="38"/>
        <v>-73737</v>
      </c>
      <c r="N95" s="183">
        <f t="shared" si="39"/>
        <v>-0.18434249999999999</v>
      </c>
      <c r="O95" s="182">
        <f t="shared" si="30"/>
        <v>-0.50247088152985075</v>
      </c>
      <c r="P95" s="181" t="b">
        <f t="shared" si="34"/>
        <v>0</v>
      </c>
      <c r="Q95" s="183">
        <f>COUNTIF(P$2:P95, TRUE)/(COUNTIF(P$2:P95,FALSE) + COUNTIF(P$2:P95, TRUE))</f>
        <v>0.44680851063829785</v>
      </c>
      <c r="R95" s="334"/>
      <c r="S95" s="334"/>
      <c r="T95" s="334"/>
      <c r="U95" s="334"/>
      <c r="V95" s="183">
        <f>STDEV(D$2:D95)*SQRT(252)</f>
        <v>0.2023195411541808</v>
      </c>
      <c r="W95" s="183">
        <f>STDEV(L$2:L95)*SQRT(252)</f>
        <v>0.29700566198828871</v>
      </c>
      <c r="X95" s="173">
        <f t="shared" si="35"/>
        <v>-0.91114530483992584</v>
      </c>
      <c r="Y95" s="173">
        <f t="shared" si="36"/>
        <v>-1.6917888977808908</v>
      </c>
      <c r="Z95" s="794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7">
        <v>2063.36</v>
      </c>
      <c r="D96" s="170">
        <f t="shared" si="27"/>
        <v>-7.2172289689947837E-3</v>
      </c>
      <c r="E96" s="208">
        <f>(C96-$C$2)/$C$2</f>
        <v>-1.8587926409314857E-2</v>
      </c>
      <c r="F96" s="218">
        <v>5065.84</v>
      </c>
      <c r="G96" s="170">
        <f t="shared" si="25"/>
        <v>-8.242070188764836E-3</v>
      </c>
      <c r="H96" s="202">
        <f t="shared" si="32"/>
        <v>-5.0788538209241849E-3</v>
      </c>
      <c r="I96" s="220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1">
        <f t="shared" si="38"/>
        <v>-81946.81</v>
      </c>
      <c r="N96" s="183">
        <f t="shared" si="39"/>
        <v>-0.20486702499999998</v>
      </c>
      <c r="O96" s="182">
        <f t="shared" si="30"/>
        <v>-0.55427911763888882</v>
      </c>
      <c r="P96" s="181" t="b">
        <f t="shared" si="34"/>
        <v>0</v>
      </c>
      <c r="Q96" s="183">
        <f>COUNTIF(P$2:P96, TRUE)/(COUNTIF(P$2:P96,FALSE) + COUNTIF(P$2:P96, TRUE))</f>
        <v>0.44210526315789472</v>
      </c>
      <c r="R96" s="334"/>
      <c r="S96" s="334"/>
      <c r="T96" s="334"/>
      <c r="U96" s="334"/>
      <c r="V96" s="183">
        <f>STDEV(D$2:D96)*SQRT(252)</f>
        <v>0.20157138397467259</v>
      </c>
      <c r="W96" s="183">
        <f>STDEV(L$2:L96)*SQRT(252)</f>
        <v>0.29803742324397353</v>
      </c>
      <c r="X96" s="173">
        <f t="shared" si="35"/>
        <v>-1.0163497464786049</v>
      </c>
      <c r="Y96" s="173">
        <f t="shared" si="36"/>
        <v>-1.8597634874367968</v>
      </c>
      <c r="Z96" s="794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7">
        <v>2043.94</v>
      </c>
      <c r="D97" s="170">
        <f t="shared" si="27"/>
        <v>-9.4118331265509031E-3</v>
      </c>
      <c r="E97" s="208">
        <f>(C97-$C$2)/$C$2</f>
        <v>-2.7824813074332679E-2</v>
      </c>
      <c r="F97" s="218">
        <v>5007.41</v>
      </c>
      <c r="G97" s="170">
        <f t="shared" si="25"/>
        <v>-1.1534118724634076E-2</v>
      </c>
      <c r="H97" s="202">
        <f t="shared" si="32"/>
        <v>-1.655439244260266E-2</v>
      </c>
      <c r="I97" s="409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1">
        <f t="shared" si="38"/>
        <v>-79115.679999999993</v>
      </c>
      <c r="N97" s="183">
        <f t="shared" si="39"/>
        <v>-0.19778919999999997</v>
      </c>
      <c r="O97" s="182">
        <f t="shared" si="30"/>
        <v>-0.53119489191176461</v>
      </c>
      <c r="P97" s="181" t="b">
        <f t="shared" si="34"/>
        <v>1</v>
      </c>
      <c r="Q97" s="183">
        <f>COUNTIF(P$2:P97, TRUE)/(COUNTIF(P$2:P97,FALSE) + COUNTIF(P$2:P97, TRUE))</f>
        <v>0.44791666666666669</v>
      </c>
      <c r="R97" s="334"/>
      <c r="S97" s="334"/>
      <c r="T97" s="334"/>
      <c r="U97" s="334"/>
      <c r="V97" s="183">
        <f>STDEV(D$2:D97)*SQRT(252)</f>
        <v>0.20106669704355981</v>
      </c>
      <c r="W97" s="183">
        <f>STDEV(L$2:L97)*SQRT(252)</f>
        <v>0.29691114338787766</v>
      </c>
      <c r="X97" s="173">
        <f t="shared" si="35"/>
        <v>-0.98369945350596877</v>
      </c>
      <c r="Y97" s="173">
        <f t="shared" si="36"/>
        <v>-1.7890702445540221</v>
      </c>
      <c r="Z97" s="794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7">
        <v>2012.66</v>
      </c>
      <c r="D98" s="170">
        <f t="shared" si="27"/>
        <v>-1.5303776040392561E-2</v>
      </c>
      <c r="E98" s="198">
        <f t="shared" ref="E98:E103" si="40">(C98-$C$2)/$C$2</f>
        <v>-4.2702764407069868E-2</v>
      </c>
      <c r="F98" s="215">
        <v>4903.08</v>
      </c>
      <c r="G98" s="170">
        <f t="shared" si="25"/>
        <v>-2.0835122348679243E-2</v>
      </c>
      <c r="H98" s="200">
        <f t="shared" si="32"/>
        <v>-3.7044601999332225E-2</v>
      </c>
      <c r="I98" s="219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2">
        <f t="shared" si="39"/>
        <v>-0.19060882500000007</v>
      </c>
      <c r="O98" s="182">
        <f t="shared" si="30"/>
        <v>-0.49728480950892878</v>
      </c>
      <c r="P98" s="174" t="b">
        <f t="shared" si="34"/>
        <v>1</v>
      </c>
      <c r="Q98" s="182">
        <f>COUNTIF(P$2:P98, TRUE)/(COUNTIF(P$2:P98,FALSE) + COUNTIF(P$2:P98, TRUE))</f>
        <v>0.45360824742268041</v>
      </c>
      <c r="R98" s="333"/>
      <c r="S98" s="333"/>
      <c r="T98" s="333"/>
      <c r="U98" s="333"/>
      <c r="V98" s="182">
        <f>STDEV(D$2:D98)*SQRT(252)</f>
        <v>0.20149367115092381</v>
      </c>
      <c r="W98" s="182">
        <f>STDEV(L$2:L98)*SQRT(252)</f>
        <v>0.29579926006722401</v>
      </c>
      <c r="X98" s="173">
        <f t="shared" si="35"/>
        <v>-0.94597921568082044</v>
      </c>
      <c r="Y98" s="173">
        <f t="shared" si="36"/>
        <v>-1.6811563673144914</v>
      </c>
      <c r="Z98" s="794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7">
        <v>2016.71</v>
      </c>
      <c r="D99" s="170">
        <f t="shared" si="27"/>
        <v>2.0122623791400209E-3</v>
      </c>
      <c r="E99" s="198">
        <f t="shared" si="40"/>
        <v>-4.0776431194231473E-2</v>
      </c>
      <c r="F99" s="215">
        <v>4891.43</v>
      </c>
      <c r="G99" s="170">
        <f t="shared" si="25"/>
        <v>-2.3760574985518565E-3</v>
      </c>
      <c r="H99" s="200">
        <f t="shared" si="32"/>
        <v>-3.9332639393522703E-2</v>
      </c>
      <c r="I99" s="219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2">
        <f t="shared" si="39"/>
        <v>-0.18469872499999998</v>
      </c>
      <c r="O99" s="182">
        <f t="shared" si="30"/>
        <v>-0.4784482929521276</v>
      </c>
      <c r="P99" s="174" t="b">
        <f t="shared" si="34"/>
        <v>1</v>
      </c>
      <c r="Q99" s="182">
        <f>COUNTIF(P$2:P99, TRUE)/(COUNTIF(P$2:P99,FALSE) + COUNTIF(P$2:P99, TRUE))</f>
        <v>0.45918367346938777</v>
      </c>
      <c r="R99" s="333"/>
      <c r="S99" s="333"/>
      <c r="T99" s="333"/>
      <c r="U99" s="333"/>
      <c r="V99" s="182">
        <f>STDEV(D$2:D99)*SQRT(252)</f>
        <v>0.20047839614181759</v>
      </c>
      <c r="W99" s="182">
        <f>STDEV(L$2:L99)*SQRT(252)</f>
        <v>0.29456352660323443</v>
      </c>
      <c r="X99" s="173">
        <f t="shared" si="35"/>
        <v>-0.92128991729036414</v>
      </c>
      <c r="Y99" s="173">
        <f t="shared" si="36"/>
        <v>-1.6242618306121068</v>
      </c>
      <c r="Z99" s="794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7">
        <v>1990.26</v>
      </c>
      <c r="D100" s="170">
        <f t="shared" si="27"/>
        <v>-1.3115420660382527E-2</v>
      </c>
      <c r="E100" s="198">
        <f t="shared" si="40"/>
        <v>-5.3357051806472509E-2</v>
      </c>
      <c r="F100" s="215">
        <v>4835.76</v>
      </c>
      <c r="G100" s="170">
        <f t="shared" si="25"/>
        <v>-1.1381129853641996E-2</v>
      </c>
      <c r="H100" s="200">
        <f t="shared" si="32"/>
        <v>-5.026611937074054E-2</v>
      </c>
      <c r="I100" s="219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2">
        <f t="shared" si="39"/>
        <v>-0.23196175000000002</v>
      </c>
      <c r="O100" s="182">
        <f t="shared" si="30"/>
        <v>-0.59664809286971832</v>
      </c>
      <c r="P100" s="174" t="b">
        <f t="shared" si="34"/>
        <v>0</v>
      </c>
      <c r="Q100" s="182">
        <f>COUNTIF(P$2:P100, TRUE)/(COUNTIF(P$2:P100,FALSE) + COUNTIF(P$2:P100, TRUE))</f>
        <v>0.45454545454545453</v>
      </c>
      <c r="R100" s="333"/>
      <c r="S100" s="333"/>
      <c r="T100" s="333"/>
      <c r="U100" s="333"/>
      <c r="V100" s="182">
        <f>STDEV(D$2:D100)*SQRT(252)</f>
        <v>0.20049006957671658</v>
      </c>
      <c r="W100" s="182">
        <f>STDEV(L$2:L100)*SQRT(252)</f>
        <v>0.30696087260477756</v>
      </c>
      <c r="X100" s="173">
        <f t="shared" si="35"/>
        <v>-1.1569737617914335</v>
      </c>
      <c r="Y100" s="173">
        <f t="shared" si="36"/>
        <v>-1.9437268594096122</v>
      </c>
      <c r="Z100" s="794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3">
        <v>1943.09</v>
      </c>
      <c r="D101" s="170">
        <f t="shared" si="27"/>
        <v>-2.3700421050516049E-2</v>
      </c>
      <c r="E101" s="198">
        <f t="shared" si="40"/>
        <v>-7.5792888263160968E-2</v>
      </c>
      <c r="F101" s="215">
        <v>4689.42</v>
      </c>
      <c r="G101" s="170">
        <f t="shared" si="25"/>
        <v>-3.0262047744304958E-2</v>
      </c>
      <c r="H101" s="200">
        <f t="shared" si="32"/>
        <v>-7.9007011410727218E-2</v>
      </c>
      <c r="I101" s="219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2">
        <f t="shared" si="39"/>
        <v>-0.25887287500000006</v>
      </c>
      <c r="O101" s="182">
        <f t="shared" si="30"/>
        <v>-0.66121201114510508</v>
      </c>
      <c r="P101" s="174" t="b">
        <f t="shared" si="34"/>
        <v>0</v>
      </c>
      <c r="Q101" s="182">
        <f>COUNTIF(P$2:P101, TRUE)/(COUNTIF(P$2:P101,FALSE) + COUNTIF(P$2:P101, TRUE))</f>
        <v>0.45</v>
      </c>
      <c r="R101" s="333"/>
      <c r="S101" s="333"/>
      <c r="T101" s="333"/>
      <c r="U101" s="333"/>
      <c r="V101" s="182">
        <f>STDEV(D$2:D101)*SQRT(252)</f>
        <v>0.20287568849216503</v>
      </c>
      <c r="W101" s="182">
        <f>STDEV(L$2:L101)*SQRT(252)</f>
        <v>0.3100263800011836</v>
      </c>
      <c r="X101" s="173">
        <f t="shared" si="35"/>
        <v>-1.2760172346130947</v>
      </c>
      <c r="Y101" s="173">
        <f t="shared" si="36"/>
        <v>-2.132760480390671</v>
      </c>
      <c r="Z101" s="794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3">
        <v>1922.03</v>
      </c>
      <c r="D102" s="170">
        <f t="shared" si="27"/>
        <v>-1.0838406867412187E-2</v>
      </c>
      <c r="E102" s="198">
        <f t="shared" si="40"/>
        <v>-8.5809820969920694E-2</v>
      </c>
      <c r="F102" s="215">
        <v>4643.63</v>
      </c>
      <c r="G102" s="170">
        <f t="shared" si="25"/>
        <v>-9.7645337802969162E-3</v>
      </c>
      <c r="H102" s="200">
        <f t="shared" si="32"/>
        <v>-8.8000078559223788E-2</v>
      </c>
      <c r="I102" s="219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2">
        <f t="shared" si="39"/>
        <v>-0.27072690000000005</v>
      </c>
      <c r="O102" s="182">
        <f t="shared" si="30"/>
        <v>-0.68668750156250014</v>
      </c>
      <c r="P102" s="174" t="b">
        <f t="shared" si="34"/>
        <v>0</v>
      </c>
      <c r="Q102" s="182">
        <f>COUNTIF(P$2:P102, TRUE)/(COUNTIF(P$2:P102,FALSE) + COUNTIF(P$2:P102, TRUE))</f>
        <v>0.44554455445544555</v>
      </c>
      <c r="R102" s="333"/>
      <c r="S102" s="333"/>
      <c r="T102" s="333"/>
      <c r="U102" s="333"/>
      <c r="V102" s="182">
        <f>STDEV(D$2:D102)*SQRT(252)</f>
        <v>0.20248720457618641</v>
      </c>
      <c r="W102" s="182">
        <f>STDEV(L$2:L102)*SQRT(252)</f>
        <v>0.30926714125463156</v>
      </c>
      <c r="X102" s="173">
        <f t="shared" si="35"/>
        <v>-1.3370074448241902</v>
      </c>
      <c r="Y102" s="173">
        <f t="shared" si="36"/>
        <v>-2.2203700618719266</v>
      </c>
      <c r="Z102" s="794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4">
        <v>1923.67</v>
      </c>
      <c r="D103" s="170">
        <f t="shared" si="27"/>
        <v>8.5326451720321749E-4</v>
      </c>
      <c r="E103" s="208">
        <f t="shared" si="40"/>
        <v>-8.5029774928178675E-2</v>
      </c>
      <c r="F103" s="218">
        <v>4637.9799999999996</v>
      </c>
      <c r="G103" s="170">
        <f t="shared" si="25"/>
        <v>-1.2167205397502698E-3</v>
      </c>
      <c r="H103" s="202">
        <f t="shared" si="32"/>
        <v>-8.9109727595891405E-2</v>
      </c>
      <c r="I103" s="220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1">
        <f t="shared" si="38"/>
        <v>-121488.53000000003</v>
      </c>
      <c r="N103" s="183">
        <f t="shared" si="39"/>
        <v>-0.3037213250000001</v>
      </c>
      <c r="O103" s="182">
        <f t="shared" si="30"/>
        <v>-0.75465451670918382</v>
      </c>
      <c r="P103" s="181" t="b">
        <f t="shared" si="34"/>
        <v>0</v>
      </c>
      <c r="Q103" s="183">
        <f>COUNTIF(P$2:P103, TRUE)/(COUNTIF(P$2:P103,FALSE) + COUNTIF(P$2:P103, TRUE))</f>
        <v>0.44117647058823528</v>
      </c>
      <c r="R103" s="334"/>
      <c r="S103" s="334"/>
      <c r="T103" s="334"/>
      <c r="U103" s="334"/>
      <c r="V103" s="183">
        <f>STDEV(D$2:D103)*SQRT(252)</f>
        <v>0.20148947946934948</v>
      </c>
      <c r="W103" s="183">
        <f>STDEV(L$2:L103)*SQRT(252)</f>
        <v>0.31519307674971891</v>
      </c>
      <c r="X103" s="173">
        <f t="shared" si="35"/>
        <v>-1.5073805629946158</v>
      </c>
      <c r="Y103" s="173">
        <f t="shared" si="36"/>
        <v>-2.3942610811481182</v>
      </c>
      <c r="Z103" s="794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7">
        <v>1938.68</v>
      </c>
      <c r="D104" s="170">
        <f t="shared" si="27"/>
        <v>7.8027936184480659E-3</v>
      </c>
      <c r="E104" s="208">
        <f>(C104-$C$2)/$C$2</f>
        <v>-7.7890451094918281E-2</v>
      </c>
      <c r="F104" s="218">
        <v>4685.6099999999997</v>
      </c>
      <c r="G104" s="170">
        <f t="shared" si="25"/>
        <v>1.0269557005420487E-2</v>
      </c>
      <c r="H104" s="202">
        <f t="shared" si="32"/>
        <v>-7.9755288017754417E-2</v>
      </c>
      <c r="I104" s="220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1">
        <f t="shared" si="38"/>
        <v>-127719.40999999997</v>
      </c>
      <c r="N104" s="183">
        <f t="shared" si="39"/>
        <v>-0.31929852499999994</v>
      </c>
      <c r="O104" s="182">
        <f t="shared" si="30"/>
        <v>-0.78799855578547284</v>
      </c>
      <c r="P104" s="181" t="b">
        <f t="shared" si="34"/>
        <v>0</v>
      </c>
      <c r="Q104" s="183">
        <f>COUNTIF(P$2:P104, TRUE)/(COUNTIF(P$2:P104,FALSE) + COUNTIF(P$2:P104, TRUE))</f>
        <v>0.43689320388349512</v>
      </c>
      <c r="R104" s="334"/>
      <c r="S104" s="334"/>
      <c r="T104" s="334"/>
      <c r="U104" s="334"/>
      <c r="V104" s="183">
        <f>STDEV(D$2:D104)*SQRT(252)</f>
        <v>0.20094495344626548</v>
      </c>
      <c r="W104" s="183">
        <f>STDEV(L$2:L104)*SQRT(252)</f>
        <v>0.31518540993187888</v>
      </c>
      <c r="X104" s="173">
        <f t="shared" si="35"/>
        <v>-1.5889850405493429</v>
      </c>
      <c r="Y104" s="173">
        <f t="shared" si="36"/>
        <v>-2.5001111439637489</v>
      </c>
      <c r="Z104" s="794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7">
        <v>1890.28</v>
      </c>
      <c r="D105" s="170">
        <f t="shared" si="27"/>
        <v>-2.4965440402748309E-2</v>
      </c>
      <c r="E105" s="208">
        <f>(C105-$C$2)/$C$2</f>
        <v>-0.10091132208291323</v>
      </c>
      <c r="F105" s="218">
        <v>4526.0600000000004</v>
      </c>
      <c r="G105" s="170">
        <f t="shared" si="25"/>
        <v>-3.4051062721822623E-2</v>
      </c>
      <c r="H105" s="202">
        <f t="shared" si="32"/>
        <v>-0.11109059842488746</v>
      </c>
      <c r="I105" s="220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1">
        <f t="shared" si="38"/>
        <v>-140939.35999999999</v>
      </c>
      <c r="N105" s="183">
        <f t="shared" si="39"/>
        <v>-0.35234839999999995</v>
      </c>
      <c r="O105" s="182">
        <f t="shared" si="30"/>
        <v>-0.86372653087248308</v>
      </c>
      <c r="P105" s="181" t="b">
        <f t="shared" si="34"/>
        <v>0</v>
      </c>
      <c r="Q105" s="183">
        <f>COUNTIF(P$2:P105, TRUE)/(COUNTIF(P$2:P105,FALSE) + COUNTIF(P$2:P105, TRUE))</f>
        <v>0.43269230769230771</v>
      </c>
      <c r="R105" s="334"/>
      <c r="S105" s="334"/>
      <c r="T105" s="334"/>
      <c r="U105" s="334"/>
      <c r="V105" s="183">
        <f>STDEV(D$2:D105)*SQRT(252)</f>
        <v>0.20352342454405692</v>
      </c>
      <c r="W105" s="183">
        <f>STDEV(L$2:L105)*SQRT(252)</f>
        <v>0.32174542830097441</v>
      </c>
      <c r="X105" s="173">
        <f t="shared" si="35"/>
        <v>-1.7312424886194204</v>
      </c>
      <c r="Y105" s="173">
        <f t="shared" si="36"/>
        <v>-2.6845028861280862</v>
      </c>
      <c r="Z105" s="794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7">
        <v>1921.84</v>
      </c>
      <c r="D106" s="170">
        <f t="shared" si="27"/>
        <v>1.6695939225934753E-2</v>
      </c>
      <c r="E106" s="208">
        <f t="shared" ref="E106:E113" si="41">(C106-$C$2)/$C$2</f>
        <v>-8.5900192157683519E-2</v>
      </c>
      <c r="F106" s="218">
        <v>4615</v>
      </c>
      <c r="G106" s="170">
        <f t="shared" si="25"/>
        <v>1.9650645373680331E-2</v>
      </c>
      <c r="H106" s="202">
        <f t="shared" si="32"/>
        <v>-9.3622955005204511E-2</v>
      </c>
      <c r="I106" s="220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1">
        <f t="shared" si="38"/>
        <v>-132922.59999999998</v>
      </c>
      <c r="N106" s="183">
        <f t="shared" si="39"/>
        <v>-0.33230649999999995</v>
      </c>
      <c r="O106" s="182">
        <f t="shared" si="30"/>
        <v>-0.80916632749999995</v>
      </c>
      <c r="P106" s="181" t="b">
        <f t="shared" si="34"/>
        <v>1</v>
      </c>
      <c r="Q106" s="183">
        <f>COUNTIF(P$2:P106, TRUE)/(COUNTIF(P$2:P106,FALSE) + COUNTIF(P$2:P106, TRUE))</f>
        <v>0.43809523809523809</v>
      </c>
      <c r="R106" s="334"/>
      <c r="S106" s="334"/>
      <c r="T106" s="334"/>
      <c r="U106" s="334"/>
      <c r="V106" s="183">
        <f>STDEV(D$2:D106)*SQRT(252)</f>
        <v>0.20438733546247476</v>
      </c>
      <c r="W106" s="183">
        <f>STDEV(L$2:L106)*SQRT(252)</f>
        <v>0.32453820781135018</v>
      </c>
      <c r="X106" s="173">
        <f t="shared" si="35"/>
        <v>-1.6258663935711954</v>
      </c>
      <c r="Y106" s="173">
        <f t="shared" si="36"/>
        <v>-2.4932852527809537</v>
      </c>
      <c r="Z106" s="794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7">
        <v>1880.33</v>
      </c>
      <c r="D107" s="170">
        <f t="shared" si="27"/>
        <v>-2.1599092536319357E-2</v>
      </c>
      <c r="E107" s="208">
        <f t="shared" si="41"/>
        <v>-0.10564391849470145</v>
      </c>
      <c r="F107" s="218">
        <v>4488.41</v>
      </c>
      <c r="G107" s="170">
        <f t="shared" si="25"/>
        <v>-2.7430119176598083E-2</v>
      </c>
      <c r="H107" s="202">
        <f t="shared" ref="H107:H121" si="42">(F107-F$2)/F$2</f>
        <v>-0.11848498536834456</v>
      </c>
      <c r="I107" s="220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1">
        <f t="shared" si="38"/>
        <v>-150602.43</v>
      </c>
      <c r="N107" s="183">
        <f t="shared" si="39"/>
        <v>-0.376506075</v>
      </c>
      <c r="O107" s="182">
        <f t="shared" si="30"/>
        <v>-0.91072082048841063</v>
      </c>
      <c r="P107" s="181" t="b">
        <f t="shared" si="34"/>
        <v>0</v>
      </c>
      <c r="Q107" s="183">
        <f>COUNTIF(P$2:P107, TRUE)/(COUNTIF(P$2:P107,FALSE) + COUNTIF(P$2:P107, TRUE))</f>
        <v>0.43396226415094341</v>
      </c>
      <c r="R107" s="334"/>
      <c r="S107" s="334"/>
      <c r="T107" s="334"/>
      <c r="U107" s="334"/>
      <c r="V107" s="183">
        <f>STDEV(D$2:D107)*SQRT(252)</f>
        <v>0.20594332584152428</v>
      </c>
      <c r="W107" s="183">
        <f>STDEV(L$2:L107)*SQRT(252)</f>
        <v>0.33758588878684614</v>
      </c>
      <c r="X107" s="173">
        <f t="shared" si="35"/>
        <v>-1.828202363254664</v>
      </c>
      <c r="Y107" s="173">
        <f t="shared" si="36"/>
        <v>-2.6977455241425847</v>
      </c>
      <c r="Z107" s="794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7">
        <v>1881.33</v>
      </c>
      <c r="D108" s="170">
        <f t="shared" si="27"/>
        <v>5.3182154196337883E-4</v>
      </c>
      <c r="E108" s="198">
        <f t="shared" si="41"/>
        <v>-0.10516828066437098</v>
      </c>
      <c r="F108" s="215">
        <v>4476.95</v>
      </c>
      <c r="G108" s="170">
        <f t="shared" si="25"/>
        <v>-2.5532426850488339E-3</v>
      </c>
      <c r="H108" s="200">
        <f t="shared" si="42"/>
        <v>-0.12073570713121355</v>
      </c>
      <c r="I108" s="219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2">
        <f t="shared" si="39"/>
        <v>-0.39575739999999998</v>
      </c>
      <c r="O108" s="182">
        <f t="shared" si="30"/>
        <v>-0.93258316354838711</v>
      </c>
      <c r="P108" s="174" t="b">
        <f t="shared" si="34"/>
        <v>0</v>
      </c>
      <c r="Q108" s="182">
        <f>COUNTIF(P$2:P108, TRUE)/(COUNTIF(P$2:P108,FALSE) + COUNTIF(P$2:P108, TRUE))</f>
        <v>0.42990654205607476</v>
      </c>
      <c r="R108" s="333"/>
      <c r="S108" s="333"/>
      <c r="T108" s="333"/>
      <c r="U108" s="333"/>
      <c r="V108" s="182">
        <f>STDEV(D$2:D108)*SQRT(252)</f>
        <v>0.20497353903003479</v>
      </c>
      <c r="W108" s="182">
        <f>STDEV(L$2:L108)*SQRT(252)</f>
        <v>0.33863790038958375</v>
      </c>
      <c r="X108" s="173">
        <f t="shared" si="35"/>
        <v>-1.9307731225834452</v>
      </c>
      <c r="Y108" s="173">
        <f t="shared" si="36"/>
        <v>-2.7539243613178055</v>
      </c>
      <c r="Z108" s="794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7">
        <v>1859.33</v>
      </c>
      <c r="D109" s="170">
        <f t="shared" si="27"/>
        <v>-1.1693854879260949E-2</v>
      </c>
      <c r="E109" s="198">
        <f t="shared" si="41"/>
        <v>-0.11563231293164139</v>
      </c>
      <c r="F109" s="215">
        <v>4471.68</v>
      </c>
      <c r="G109" s="170">
        <f t="shared" si="25"/>
        <v>-1.1771406872981666E-3</v>
      </c>
      <c r="H109" s="200">
        <f t="shared" si="42"/>
        <v>-0.12177072490523785</v>
      </c>
      <c r="I109" s="219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2">
        <f t="shared" si="39"/>
        <v>-0.40249610000000002</v>
      </c>
      <c r="O109" s="182">
        <f t="shared" si="30"/>
        <v>-0.94238269567307698</v>
      </c>
      <c r="P109" s="174" t="b">
        <f t="shared" si="34"/>
        <v>1</v>
      </c>
      <c r="Q109" s="182">
        <f>COUNTIF(P$2:P109, TRUE)/(COUNTIF(P$2:P109,FALSE) + COUNTIF(P$2:P109, TRUE))</f>
        <v>0.43518518518518517</v>
      </c>
      <c r="R109" s="333"/>
      <c r="S109" s="333"/>
      <c r="T109" s="333"/>
      <c r="U109" s="333"/>
      <c r="V109" s="182">
        <f>STDEV(D$2:D109)*SQRT(252)</f>
        <v>0.20466775158586656</v>
      </c>
      <c r="W109" s="182">
        <f>STDEV(L$2:L109)*SQRT(252)</f>
        <v>0.33723365750596535</v>
      </c>
      <c r="X109" s="173">
        <f t="shared" si="35"/>
        <v>-1.9665828978002737</v>
      </c>
      <c r="Y109" s="173">
        <f t="shared" si="36"/>
        <v>-2.794450300846401</v>
      </c>
      <c r="Z109" s="794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7">
        <v>1868.99</v>
      </c>
      <c r="D110" s="170">
        <f t="shared" si="27"/>
        <v>5.1954198555394055E-3</v>
      </c>
      <c r="E110" s="198">
        <f t="shared" si="41"/>
        <v>-0.11103765149064898</v>
      </c>
      <c r="F110" s="215">
        <v>4472.0600000000004</v>
      </c>
      <c r="G110" s="170">
        <f t="shared" si="25"/>
        <v>8.4979247173346285E-5</v>
      </c>
      <c r="H110" s="200">
        <f t="shared" si="42"/>
        <v>-0.1216960936425947</v>
      </c>
      <c r="I110" s="219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2">
        <f t="shared" si="39"/>
        <v>-0.362521225</v>
      </c>
      <c r="O110" s="182">
        <f t="shared" si="30"/>
        <v>-0.84338138491242032</v>
      </c>
      <c r="P110" s="174" t="b">
        <f t="shared" si="34"/>
        <v>1</v>
      </c>
      <c r="Q110" s="182">
        <f>COUNTIF(P$2:P110, TRUE)/(COUNTIF(P$2:P110,FALSE) + COUNTIF(P$2:P110, TRUE))</f>
        <v>0.44036697247706424</v>
      </c>
      <c r="R110" s="333"/>
      <c r="S110" s="333"/>
      <c r="T110" s="333"/>
      <c r="U110" s="333"/>
      <c r="V110" s="182">
        <f>STDEV(D$2:D110)*SQRT(252)</f>
        <v>0.20393347244728127</v>
      </c>
      <c r="W110" s="182">
        <f>STDEV(L$2:L110)*SQRT(252)</f>
        <v>0.35256157198523613</v>
      </c>
      <c r="X110" s="173">
        <f t="shared" si="35"/>
        <v>-1.7776445457903687</v>
      </c>
      <c r="Y110" s="173">
        <f t="shared" si="36"/>
        <v>-2.3921534617724527</v>
      </c>
      <c r="Z110" s="794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3">
        <v>1906.9</v>
      </c>
      <c r="D111" s="170">
        <f t="shared" si="27"/>
        <v>2.0283682630725729E-2</v>
      </c>
      <c r="E111" s="198">
        <f t="shared" si="41"/>
        <v>-9.3006221342820702E-2</v>
      </c>
      <c r="F111" s="215">
        <v>4591.18</v>
      </c>
      <c r="G111" s="170">
        <f t="shared" si="25"/>
        <v>2.6636494143638476E-2</v>
      </c>
      <c r="H111" s="200">
        <f t="shared" si="42"/>
        <v>-9.8301156784570881E-2</v>
      </c>
      <c r="I111" s="219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2">
        <f t="shared" si="39"/>
        <v>-0.34975297500000002</v>
      </c>
      <c r="O111" s="182">
        <f t="shared" si="30"/>
        <v>-0.80852705138449377</v>
      </c>
      <c r="P111" s="174" t="b">
        <f t="shared" si="34"/>
        <v>0</v>
      </c>
      <c r="Q111" s="182">
        <f>COUNTIF(P$2:P111, TRUE)/(COUNTIF(P$2:P111,FALSE) + COUNTIF(P$2:P111, TRUE))</f>
        <v>0.43636363636363634</v>
      </c>
      <c r="R111" s="333"/>
      <c r="S111" s="333"/>
      <c r="T111" s="333"/>
      <c r="U111" s="333"/>
      <c r="V111" s="182">
        <f>STDEV(D$2:D111)*SQRT(252)</f>
        <v>0.20555239783673285</v>
      </c>
      <c r="W111" s="182">
        <f>STDEV(L$2:L111)*SQRT(252)</f>
        <v>0.35267737853182896</v>
      </c>
      <c r="X111" s="173">
        <f t="shared" si="35"/>
        <v>-1.7015270981066517</v>
      </c>
      <c r="Y111" s="173">
        <f t="shared" si="36"/>
        <v>-2.2925401531290008</v>
      </c>
      <c r="Z111" s="794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4">
        <v>1877.08</v>
      </c>
      <c r="D112" s="170">
        <f t="shared" si="27"/>
        <v>-1.5637946405160294E-2</v>
      </c>
      <c r="E112" s="208">
        <f t="shared" si="41"/>
        <v>-0.10718974144327549</v>
      </c>
      <c r="F112" s="218">
        <v>4518.49</v>
      </c>
      <c r="G112" s="170">
        <f t="shared" si="25"/>
        <v>-1.5832531070443873E-2</v>
      </c>
      <c r="H112" s="202">
        <f t="shared" si="42"/>
        <v>-0.11257733173596246</v>
      </c>
      <c r="I112" s="220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1">
        <f t="shared" si="38"/>
        <v>-158154.19</v>
      </c>
      <c r="N112" s="183">
        <f t="shared" si="39"/>
        <v>-0.39538547499999999</v>
      </c>
      <c r="O112" s="182">
        <f t="shared" si="30"/>
        <v>-0.89698474996118005</v>
      </c>
      <c r="P112" s="181" t="b">
        <f t="shared" si="34"/>
        <v>0</v>
      </c>
      <c r="Q112" s="183">
        <f>COUNTIF(P$2:P112, TRUE)/(COUNTIF(P$2:P112,FALSE) + COUNTIF(P$2:P112, TRUE))</f>
        <v>0.43243243243243246</v>
      </c>
      <c r="R112" s="334"/>
      <c r="S112" s="334"/>
      <c r="T112" s="334"/>
      <c r="U112" s="334"/>
      <c r="V112" s="183">
        <f>STDEV(D$2:D112)*SQRT(252)</f>
        <v>0.2058342089719612</v>
      </c>
      <c r="W112" s="183">
        <f>STDEV(L$2:L112)*SQRT(252)</f>
        <v>0.36554774877731538</v>
      </c>
      <c r="X112" s="173">
        <f t="shared" si="35"/>
        <v>-1.9208929214184194</v>
      </c>
      <c r="Y112" s="173">
        <f t="shared" si="36"/>
        <v>-2.4538100780579715</v>
      </c>
      <c r="Z112" s="794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7">
        <v>1903.63</v>
      </c>
      <c r="D113" s="170">
        <f t="shared" si="27"/>
        <v>1.4144309246276229E-2</v>
      </c>
      <c r="E113" s="208">
        <f t="shared" si="41"/>
        <v>-9.4561557048001343E-2</v>
      </c>
      <c r="F113" s="218">
        <v>4567.67</v>
      </c>
      <c r="G113" s="170">
        <f t="shared" si="25"/>
        <v>1.0884167055808532E-2</v>
      </c>
      <c r="H113" s="202">
        <f t="shared" si="42"/>
        <v>-0.10291847516546532</v>
      </c>
      <c r="I113" s="220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1">
        <f t="shared" si="38"/>
        <v>-151944.43</v>
      </c>
      <c r="N113" s="183">
        <f t="shared" si="39"/>
        <v>-0.37986107499999999</v>
      </c>
      <c r="O113" s="182">
        <f t="shared" si="30"/>
        <v>-0.85644603483796289</v>
      </c>
      <c r="P113" s="181" t="b">
        <f t="shared" si="34"/>
        <v>1</v>
      </c>
      <c r="Q113" s="183">
        <f>COUNTIF(P$2:P113, TRUE)/(COUNTIF(P$2:P113,FALSE) + COUNTIF(P$2:P113, TRUE))</f>
        <v>0.4375</v>
      </c>
      <c r="R113" s="334"/>
      <c r="S113" s="334"/>
      <c r="T113" s="334"/>
      <c r="U113" s="334"/>
      <c r="V113" s="183">
        <f>STDEV(D$2:D113)*SQRT(252)</f>
        <v>0.20615429037873539</v>
      </c>
      <c r="W113" s="183">
        <f>STDEV(L$2:L113)*SQRT(252)</f>
        <v>0.36652123813825849</v>
      </c>
      <c r="X113" s="173">
        <f t="shared" si="35"/>
        <v>-1.84260572167642</v>
      </c>
      <c r="Y113" s="173">
        <f t="shared" si="36"/>
        <v>-2.3366886982819146</v>
      </c>
      <c r="Z113" s="794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7">
        <v>1882.95</v>
      </c>
      <c r="D114" s="170">
        <f t="shared" si="27"/>
        <v>-1.0863455608495382E-2</v>
      </c>
      <c r="E114" s="208">
        <f>(C114-$C$2)/$C$2</f>
        <v>-0.10439774737923556</v>
      </c>
      <c r="F114" s="218">
        <v>4468.16</v>
      </c>
      <c r="G114" s="170">
        <f t="shared" si="25"/>
        <v>-2.1785724450321547E-2</v>
      </c>
      <c r="H114" s="202">
        <f t="shared" si="42"/>
        <v>-0.12246204607498477</v>
      </c>
      <c r="I114" s="220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1">
        <f t="shared" si="38"/>
        <v>-148414.24</v>
      </c>
      <c r="N114" s="183">
        <f t="shared" si="39"/>
        <v>-0.37103559999999997</v>
      </c>
      <c r="O114" s="182">
        <f t="shared" si="30"/>
        <v>-0.83141566196319017</v>
      </c>
      <c r="P114" s="181" t="b">
        <f t="shared" si="34"/>
        <v>1</v>
      </c>
      <c r="Q114" s="183">
        <f>COUNTIF(P$2:P114, TRUE)/(COUNTIF(P$2:P114,FALSE) + COUNTIF(P$2:P114, TRUE))</f>
        <v>0.44247787610619471</v>
      </c>
      <c r="R114" s="334"/>
      <c r="S114" s="334"/>
      <c r="T114" s="334"/>
      <c r="U114" s="334"/>
      <c r="V114" s="183">
        <f>STDEV(D$2:D114)*SQRT(252)</f>
        <v>0.20577679311518093</v>
      </c>
      <c r="W114" s="183">
        <f>STDEV(L$2:L114)*SQRT(252)</f>
        <v>0.36580201811385399</v>
      </c>
      <c r="X114" s="173">
        <f t="shared" si="35"/>
        <v>-1.8030973968591177</v>
      </c>
      <c r="Y114" s="173">
        <f t="shared" si="36"/>
        <v>-2.272856957569918</v>
      </c>
      <c r="Z114" s="794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7">
        <v>1893.36</v>
      </c>
      <c r="D115" s="170">
        <f t="shared" si="27"/>
        <v>5.5285589102205867E-3</v>
      </c>
      <c r="E115" s="208">
        <f t="shared" ref="E115:E124" si="43">(C115-$C$2)/$C$2</f>
        <v>-9.94463575654954E-2</v>
      </c>
      <c r="F115" s="218">
        <v>4506.67</v>
      </c>
      <c r="G115" s="170">
        <f t="shared" si="25"/>
        <v>8.6187602950655792E-3</v>
      </c>
      <c r="H115" s="202">
        <f t="shared" si="42"/>
        <v>-0.11489875680028276</v>
      </c>
      <c r="I115" s="220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1">
        <f t="shared" si="38"/>
        <v>-143312.4</v>
      </c>
      <c r="N115" s="183">
        <f t="shared" si="39"/>
        <v>-0.35828099999999996</v>
      </c>
      <c r="O115" s="182">
        <f t="shared" si="30"/>
        <v>-0.79793984908536575</v>
      </c>
      <c r="P115" s="181" t="b">
        <f t="shared" si="34"/>
        <v>1</v>
      </c>
      <c r="Q115" s="183">
        <f>COUNTIF(P$2:P115, TRUE)/(COUNTIF(P$2:P115,FALSE) + COUNTIF(P$2:P115, TRUE))</f>
        <v>0.44736842105263158</v>
      </c>
      <c r="R115" s="334"/>
      <c r="S115" s="334"/>
      <c r="T115" s="334"/>
      <c r="U115" s="334"/>
      <c r="V115" s="183">
        <f>STDEV(D$2:D115)*SQRT(252)</f>
        <v>0.20508094349641362</v>
      </c>
      <c r="W115" s="183">
        <f>STDEV(L$2:L115)*SQRT(252)</f>
        <v>0.36582687593251006</v>
      </c>
      <c r="X115" s="173">
        <f t="shared" si="35"/>
        <v>-1.7470223897534656</v>
      </c>
      <c r="Y115" s="173">
        <f t="shared" si="36"/>
        <v>-2.18119526361036</v>
      </c>
      <c r="Z115" s="794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7">
        <v>1940.24</v>
      </c>
      <c r="D116" s="170">
        <f t="shared" si="27"/>
        <v>2.4760214644864217E-2</v>
      </c>
      <c r="E116" s="208">
        <f t="shared" si="43"/>
        <v>-7.7148456079602773E-2</v>
      </c>
      <c r="F116" s="218">
        <v>4613.95</v>
      </c>
      <c r="G116" s="170">
        <f t="shared" si="25"/>
        <v>2.3804716120772042E-2</v>
      </c>
      <c r="H116" s="202">
        <f t="shared" si="42"/>
        <v>-9.3829172967771088E-2</v>
      </c>
      <c r="I116" s="409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1">
        <f t="shared" si="38"/>
        <v>-127458.39000000001</v>
      </c>
      <c r="N116" s="183">
        <f t="shared" si="39"/>
        <v>-0.31864597500000003</v>
      </c>
      <c r="O116" s="182">
        <f t="shared" si="30"/>
        <v>-0.70536631738636368</v>
      </c>
      <c r="P116" s="181" t="b">
        <f t="shared" si="34"/>
        <v>1</v>
      </c>
      <c r="Q116" s="183">
        <f>COUNTIF(P$2:P116, TRUE)/(COUNTIF(P$2:P116,FALSE) + COUNTIF(P$2:P116, TRUE))</f>
        <v>0.45217391304347826</v>
      </c>
      <c r="R116" s="334"/>
      <c r="S116" s="334"/>
      <c r="T116" s="334"/>
      <c r="U116" s="334"/>
      <c r="V116" s="183">
        <f>STDEV(D$2:D116)*SQRT(252)</f>
        <v>0.2076899725605586</v>
      </c>
      <c r="W116" s="183">
        <f>STDEV(L$2:L116)*SQRT(252)</f>
        <v>0.37665623164224904</v>
      </c>
      <c r="X116" s="173">
        <f t="shared" si="35"/>
        <v>-1.5342386109039938</v>
      </c>
      <c r="Y116" s="173">
        <f t="shared" si="36"/>
        <v>-1.8727058206654761</v>
      </c>
      <c r="Z116" s="794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1">
        <v>42401</v>
      </c>
      <c r="C117" s="242">
        <v>1939.38</v>
      </c>
      <c r="D117" s="170">
        <f t="shared" si="27"/>
        <v>-4.4324413474616542E-4</v>
      </c>
      <c r="E117" s="243">
        <f t="shared" si="43"/>
        <v>-7.755750461368692E-2</v>
      </c>
      <c r="F117" s="244">
        <v>4620.3599999999997</v>
      </c>
      <c r="G117" s="170">
        <f t="shared" si="25"/>
        <v>1.3892651632548803E-3</v>
      </c>
      <c r="H117" s="245">
        <f t="shared" si="42"/>
        <v>-9.2570261405817339E-2</v>
      </c>
      <c r="I117" s="246">
        <v>271687.27</v>
      </c>
      <c r="J117" s="247">
        <v>400000</v>
      </c>
      <c r="K117" s="247">
        <f t="shared" si="33"/>
        <v>-854.3399999999674</v>
      </c>
      <c r="L117" s="170">
        <f t="shared" si="28"/>
        <v>-3.1347139983504443E-3</v>
      </c>
      <c r="M117" s="248">
        <f t="shared" si="38"/>
        <v>-128312.72999999998</v>
      </c>
      <c r="N117" s="249">
        <f t="shared" si="39"/>
        <v>-0.32078182499999996</v>
      </c>
      <c r="O117" s="182">
        <f t="shared" si="30"/>
        <v>-0.69741405703124992</v>
      </c>
      <c r="P117" s="248" t="b">
        <f t="shared" si="34"/>
        <v>0</v>
      </c>
      <c r="Q117" s="249">
        <f>COUNTIF(P$2:P117, TRUE)/(COUNTIF(P$2:P117,FALSE) + COUNTIF(P$2:P117, TRUE))</f>
        <v>0.44827586206896552</v>
      </c>
      <c r="R117" s="335"/>
      <c r="S117" s="335"/>
      <c r="T117" s="335"/>
      <c r="U117" s="335"/>
      <c r="V117" s="249">
        <f>STDEV(D$2:D117)*SQRT(252)</f>
        <v>0.20677720896061949</v>
      </c>
      <c r="W117" s="249">
        <f>STDEV(L$2:L117)*SQRT(252)</f>
        <v>0.37500277790793834</v>
      </c>
      <c r="X117" s="173">
        <f t="shared" si="35"/>
        <v>-1.5513403368409548</v>
      </c>
      <c r="Y117" s="173">
        <f t="shared" si="36"/>
        <v>-1.8597570421263978</v>
      </c>
      <c r="Z117" s="794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1">
        <v>42402</v>
      </c>
      <c r="C118" s="242">
        <v>1903.03</v>
      </c>
      <c r="D118" s="170">
        <f t="shared" si="27"/>
        <v>-1.8743103466056232E-2</v>
      </c>
      <c r="E118" s="243">
        <f t="shared" si="43"/>
        <v>-9.484693974619969E-2</v>
      </c>
      <c r="F118" s="244">
        <v>4516.9399999999996</v>
      </c>
      <c r="G118" s="170">
        <f t="shared" si="25"/>
        <v>-2.2383537213550478E-2</v>
      </c>
      <c r="H118" s="245">
        <f t="shared" si="42"/>
        <v>-0.11288174872832261</v>
      </c>
      <c r="I118" s="246">
        <v>258167.62</v>
      </c>
      <c r="J118" s="247">
        <v>400000</v>
      </c>
      <c r="K118" s="247">
        <f t="shared" si="33"/>
        <v>-13519.650000000023</v>
      </c>
      <c r="L118" s="170">
        <f t="shared" si="28"/>
        <v>-4.9761808862078899E-2</v>
      </c>
      <c r="M118" s="248">
        <f t="shared" si="38"/>
        <v>-141832.38</v>
      </c>
      <c r="N118" s="249">
        <f t="shared" si="39"/>
        <v>-0.35458095000000001</v>
      </c>
      <c r="O118" s="182">
        <f t="shared" si="30"/>
        <v>-0.76633545554733729</v>
      </c>
      <c r="P118" s="248" t="b">
        <f t="shared" si="34"/>
        <v>0</v>
      </c>
      <c r="Q118" s="249">
        <f>COUNTIF(P$2:P118, TRUE)/(COUNTIF(P$2:P118,FALSE) + COUNTIF(P$2:P118, TRUE))</f>
        <v>0.44444444444444442</v>
      </c>
      <c r="R118" s="335"/>
      <c r="S118" s="335"/>
      <c r="T118" s="335"/>
      <c r="U118" s="335"/>
      <c r="V118" s="249">
        <f>STDEV(D$2:D118)*SQRT(252)</f>
        <v>0.20760234411553996</v>
      </c>
      <c r="W118" s="249">
        <f>STDEV(L$2:L118)*SQRT(252)</f>
        <v>0.37987177172236325</v>
      </c>
      <c r="X118" s="173">
        <f t="shared" si="35"/>
        <v>-1.7079814368698067</v>
      </c>
      <c r="Y118" s="173">
        <f t="shared" si="36"/>
        <v>-2.0173529927552201</v>
      </c>
      <c r="Z118" s="794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1">
        <v>42403</v>
      </c>
      <c r="C119" s="242">
        <v>1912.53</v>
      </c>
      <c r="D119" s="170">
        <f t="shared" si="27"/>
        <v>4.9920390114711801E-3</v>
      </c>
      <c r="E119" s="243">
        <f t="shared" si="43"/>
        <v>-9.0328380358060192E-2</v>
      </c>
      <c r="F119" s="244">
        <v>4504.2299999999996</v>
      </c>
      <c r="G119" s="170">
        <f t="shared" si="25"/>
        <v>-2.8138518554596779E-3</v>
      </c>
      <c r="H119" s="245">
        <f t="shared" si="42"/>
        <v>-0.11537796806567556</v>
      </c>
      <c r="I119" s="246">
        <v>270997.09999999998</v>
      </c>
      <c r="J119" s="247">
        <v>400000</v>
      </c>
      <c r="K119" s="247">
        <f t="shared" si="33"/>
        <v>12829.479999999981</v>
      </c>
      <c r="L119" s="170">
        <f t="shared" si="28"/>
        <v>4.9694380728303504E-2</v>
      </c>
      <c r="M119" s="248">
        <f t="shared" si="38"/>
        <v>-129002.90000000002</v>
      </c>
      <c r="N119" s="249">
        <f t="shared" si="39"/>
        <v>-0.32250725000000008</v>
      </c>
      <c r="O119" s="182">
        <f t="shared" si="30"/>
        <v>-0.69291631213235316</v>
      </c>
      <c r="P119" s="248" t="b">
        <f t="shared" si="34"/>
        <v>1</v>
      </c>
      <c r="Q119" s="249">
        <f>COUNTIF(P$2:P119, TRUE)/(COUNTIF(P$2:P119,FALSE) + COUNTIF(P$2:P119, TRUE))</f>
        <v>0.44915254237288138</v>
      </c>
      <c r="R119" s="335"/>
      <c r="S119" s="335"/>
      <c r="T119" s="335"/>
      <c r="U119" s="335"/>
      <c r="V119" s="249">
        <f>STDEV(D$2:D119)*SQRT(252)</f>
        <v>0.20687869960829744</v>
      </c>
      <c r="W119" s="249">
        <f>STDEV(L$2:L119)*SQRT(252)</f>
        <v>0.38596402182857842</v>
      </c>
      <c r="X119" s="173">
        <f t="shared" si="35"/>
        <v>-1.5589195533935241</v>
      </c>
      <c r="Y119" s="173">
        <f t="shared" si="36"/>
        <v>-1.7952873142152721</v>
      </c>
      <c r="Z119" s="794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1">
        <v>42404</v>
      </c>
      <c r="C120" s="242">
        <v>1915.45</v>
      </c>
      <c r="D120" s="170">
        <f t="shared" si="27"/>
        <v>1.5267734362337181E-3</v>
      </c>
      <c r="E120" s="243">
        <f t="shared" si="43"/>
        <v>-8.8939517893495176E-2</v>
      </c>
      <c r="F120" s="244">
        <v>4509.55</v>
      </c>
      <c r="G120" s="170">
        <f t="shared" si="25"/>
        <v>1.1811119769640137E-3</v>
      </c>
      <c r="H120" s="245">
        <f t="shared" si="42"/>
        <v>-0.1143331303886717</v>
      </c>
      <c r="I120" s="246">
        <v>272162.3</v>
      </c>
      <c r="J120" s="247">
        <v>400000</v>
      </c>
      <c r="K120" s="247">
        <f t="shared" ref="K120:K151" si="44">I120-I119-J120+J119</f>
        <v>1165.2000000000116</v>
      </c>
      <c r="L120" s="170">
        <f t="shared" si="28"/>
        <v>4.2996770076137777E-3</v>
      </c>
      <c r="M120" s="248">
        <f t="shared" si="38"/>
        <v>-127837.70000000001</v>
      </c>
      <c r="N120" s="249">
        <f t="shared" si="39"/>
        <v>-0.31959425000000002</v>
      </c>
      <c r="O120" s="182">
        <f t="shared" si="30"/>
        <v>-0.68264210416666671</v>
      </c>
      <c r="P120" s="248" t="b">
        <f t="shared" si="34"/>
        <v>1</v>
      </c>
      <c r="Q120" s="249">
        <f>COUNTIF(P$2:P120, TRUE)/(COUNTIF(P$2:P120,FALSE) + COUNTIF(P$2:P120, TRUE))</f>
        <v>0.45378151260504201</v>
      </c>
      <c r="R120" s="335"/>
      <c r="S120" s="335"/>
      <c r="T120" s="335"/>
      <c r="U120" s="335"/>
      <c r="V120" s="249">
        <f>STDEV(D$2:D120)*SQRT(252)</f>
        <v>0.20601897567851155</v>
      </c>
      <c r="W120" s="249">
        <f>STDEV(L$2:L120)*SQRT(252)</f>
        <v>0.38442983265447928</v>
      </c>
      <c r="X120" s="173">
        <f t="shared" si="35"/>
        <v>-1.5512855014807976</v>
      </c>
      <c r="Y120" s="173">
        <f t="shared" si="36"/>
        <v>-1.7757261434499982</v>
      </c>
      <c r="Z120" s="794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1">
        <v>42405</v>
      </c>
      <c r="C121" s="242">
        <v>1880.02</v>
      </c>
      <c r="D121" s="170">
        <f t="shared" si="27"/>
        <v>-1.8496958939152711E-2</v>
      </c>
      <c r="E121" s="243">
        <f t="shared" si="43"/>
        <v>-0.10579136622210387</v>
      </c>
      <c r="F121" s="244">
        <v>4363.1400000000003</v>
      </c>
      <c r="G121" s="170">
        <f t="shared" si="25"/>
        <v>-3.2466654100741725E-2</v>
      </c>
      <c r="H121" s="245">
        <f t="shared" si="42"/>
        <v>-0.1430877702928294</v>
      </c>
      <c r="I121" s="246">
        <v>257957.43</v>
      </c>
      <c r="J121" s="247">
        <v>400000</v>
      </c>
      <c r="K121" s="247">
        <f t="shared" si="44"/>
        <v>-14204.869999999995</v>
      </c>
      <c r="L121" s="170">
        <f t="shared" si="28"/>
        <v>-5.2192643874629206E-2</v>
      </c>
      <c r="M121" s="248">
        <f t="shared" si="38"/>
        <v>-142042.57</v>
      </c>
      <c r="N121" s="249">
        <f t="shared" si="39"/>
        <v>-0.355106425</v>
      </c>
      <c r="O121" s="182">
        <f t="shared" si="30"/>
        <v>-0.75408501006540696</v>
      </c>
      <c r="P121" s="248" t="b">
        <f t="shared" si="34"/>
        <v>0</v>
      </c>
      <c r="Q121" s="249">
        <f>COUNTIF(P$2:P121, TRUE)/(COUNTIF(P$2:P121,FALSE) + COUNTIF(P$2:P121, TRUE))</f>
        <v>0.45</v>
      </c>
      <c r="R121" s="335"/>
      <c r="S121" s="335"/>
      <c r="T121" s="335"/>
      <c r="U121" s="335"/>
      <c r="V121" s="249">
        <f>STDEV(D$2:D121)*SQRT(252)</f>
        <v>0.20677147424628983</v>
      </c>
      <c r="W121" s="249">
        <f>STDEV(L$2:L121)*SQRT(252)</f>
        <v>0.38965360022711565</v>
      </c>
      <c r="X121" s="173">
        <f t="shared" si="35"/>
        <v>-1.717385951299188</v>
      </c>
      <c r="Y121" s="173">
        <f t="shared" si="36"/>
        <v>-1.935270223670144</v>
      </c>
      <c r="Z121" s="794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4">
        <v>1853.44</v>
      </c>
      <c r="D122" s="170">
        <f t="shared" si="27"/>
        <v>-1.4138147466516275E-2</v>
      </c>
      <c r="E122" s="208">
        <f t="shared" si="43"/>
        <v>-0.11843381975228781</v>
      </c>
      <c r="F122" s="218">
        <v>4283.75</v>
      </c>
      <c r="G122" s="170">
        <f t="shared" si="25"/>
        <v>-1.8195611417465476E-2</v>
      </c>
      <c r="H122" s="202">
        <f t="shared" ref="H122:H127" si="45">(F122-F$2)/F$2</f>
        <v>-0.15867981224345501</v>
      </c>
      <c r="I122" s="220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1">
        <f t="shared" si="38"/>
        <v>-155455.39000000001</v>
      </c>
      <c r="N122" s="183">
        <f t="shared" si="39"/>
        <v>-0.38863847500000004</v>
      </c>
      <c r="O122" s="182">
        <f t="shared" si="30"/>
        <v>-0.81114401710714301</v>
      </c>
      <c r="P122" s="181" t="b">
        <f t="shared" si="34"/>
        <v>0</v>
      </c>
      <c r="Q122" s="183">
        <f>COUNTIF(P$2:P122, TRUE)/(COUNTIF(P$2:P122,FALSE) + COUNTIF(P$2:P122, TRUE))</f>
        <v>0.4462809917355372</v>
      </c>
      <c r="R122" s="334"/>
      <c r="S122" s="334"/>
      <c r="T122" s="334"/>
      <c r="U122" s="334"/>
      <c r="V122" s="183">
        <f>STDEV(D$2:D122)*SQRT(252)</f>
        <v>0.20679867923754305</v>
      </c>
      <c r="W122" s="183">
        <f>STDEV(L$2:L122)*SQRT(252)</f>
        <v>0.39455956732672759</v>
      </c>
      <c r="X122" s="173">
        <f t="shared" si="35"/>
        <v>-1.8793083032874858</v>
      </c>
      <c r="Y122" s="173">
        <f t="shared" si="36"/>
        <v>-2.0558214380731248</v>
      </c>
      <c r="Z122" s="794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7">
        <v>1852.21</v>
      </c>
      <c r="D123" s="170">
        <f t="shared" si="27"/>
        <v>-6.6363087016575565E-4</v>
      </c>
      <c r="E123" s="208">
        <f t="shared" si="43"/>
        <v>-0.11901885428359431</v>
      </c>
      <c r="F123" s="218">
        <v>4268.76</v>
      </c>
      <c r="G123" s="170">
        <f t="shared" si="25"/>
        <v>-3.4992704989786475E-3</v>
      </c>
      <c r="H123" s="202">
        <f t="shared" si="45"/>
        <v>-0.16162381915666665</v>
      </c>
      <c r="I123" s="220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1">
        <f t="shared" si="38"/>
        <v>-160944.14000000001</v>
      </c>
      <c r="N123" s="183">
        <f t="shared" si="39"/>
        <v>-0.40236035000000003</v>
      </c>
      <c r="O123" s="182">
        <f t="shared" si="30"/>
        <v>-0.83501203316761374</v>
      </c>
      <c r="P123" s="181" t="b">
        <f t="shared" ref="P123:P154" si="46">L123&gt;D123</f>
        <v>0</v>
      </c>
      <c r="Q123" s="183">
        <f>COUNTIF(P$2:P123, TRUE)/(COUNTIF(P$2:P123,FALSE) + COUNTIF(P$2:P123, TRUE))</f>
        <v>0.44262295081967212</v>
      </c>
      <c r="R123" s="334"/>
      <c r="S123" s="334"/>
      <c r="T123" s="334"/>
      <c r="U123" s="334"/>
      <c r="V123" s="183">
        <f>STDEV(D$2:D123)*SQRT(252)</f>
        <v>0.20593567657799225</v>
      </c>
      <c r="W123" s="183">
        <f>STDEV(L$2:L123)*SQRT(252)</f>
        <v>0.39391134458203264</v>
      </c>
      <c r="X123" s="173">
        <f t="shared" si="35"/>
        <v>-1.9538156607246124</v>
      </c>
      <c r="Y123" s="173">
        <f t="shared" si="36"/>
        <v>-2.1197968645803273</v>
      </c>
      <c r="Z123" s="794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7">
        <v>1851.86</v>
      </c>
      <c r="D124" s="170">
        <f t="shared" si="27"/>
        <v>-1.8896345446797955E-4</v>
      </c>
      <c r="E124" s="208">
        <f t="shared" si="43"/>
        <v>-0.11918532752421003</v>
      </c>
      <c r="F124" s="218">
        <v>4283.59</v>
      </c>
      <c r="G124" s="170">
        <f t="shared" si="25"/>
        <v>3.4740767810792659E-3</v>
      </c>
      <c r="H124" s="202">
        <f t="shared" si="45"/>
        <v>-0.15871123593298891</v>
      </c>
      <c r="I124" s="220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1">
        <f t="shared" si="38"/>
        <v>-164126.03</v>
      </c>
      <c r="N124" s="183">
        <f t="shared" si="39"/>
        <v>-0.41031507499999997</v>
      </c>
      <c r="O124" s="182">
        <f t="shared" si="30"/>
        <v>-0.84670949798728801</v>
      </c>
      <c r="P124" s="181" t="b">
        <f t="shared" si="46"/>
        <v>0</v>
      </c>
      <c r="Q124" s="183">
        <f>COUNTIF(P$2:P124, TRUE)/(COUNTIF(P$2:P124,FALSE) + COUNTIF(P$2:P124, TRUE))</f>
        <v>0.43902439024390244</v>
      </c>
      <c r="R124" s="334"/>
      <c r="S124" s="334"/>
      <c r="T124" s="334"/>
      <c r="U124" s="334"/>
      <c r="V124" s="183">
        <f>STDEV(D$2:D124)*SQRT(252)</f>
        <v>0.20508595535618429</v>
      </c>
      <c r="W124" s="183">
        <f>STDEV(L$2:L124)*SQRT(252)</f>
        <v>0.39255054022656277</v>
      </c>
      <c r="X124" s="173">
        <f t="shared" si="35"/>
        <v>-2.0006980696819672</v>
      </c>
      <c r="Y124" s="173">
        <f t="shared" si="36"/>
        <v>-2.156943912237657</v>
      </c>
      <c r="Z124" s="794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7">
        <v>1829.08</v>
      </c>
      <c r="D125" s="170">
        <f t="shared" si="27"/>
        <v>-1.2301145874958137E-2</v>
      </c>
      <c r="E125" s="208">
        <f>(C125-$C$2)/$C$2</f>
        <v>-0.13002035729913819</v>
      </c>
      <c r="F125" s="218">
        <v>4266.83</v>
      </c>
      <c r="G125" s="170">
        <f t="shared" si="25"/>
        <v>-3.9126060150481761E-3</v>
      </c>
      <c r="H125" s="202">
        <f t="shared" si="45"/>
        <v>-0.16200286741166997</v>
      </c>
      <c r="I125" s="220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1">
        <f t="shared" si="38"/>
        <v>-169390.87</v>
      </c>
      <c r="N125" s="183">
        <f t="shared" si="39"/>
        <v>-0.42347717499999998</v>
      </c>
      <c r="O125" s="182">
        <f t="shared" si="30"/>
        <v>-0.86896088858848308</v>
      </c>
      <c r="P125" s="181" t="b">
        <f t="shared" si="46"/>
        <v>0</v>
      </c>
      <c r="Q125" s="183">
        <f>COUNTIF(P$2:P125, TRUE)/(COUNTIF(P$2:P125,FALSE) + COUNTIF(P$2:P125, TRUE))</f>
        <v>0.43548387096774194</v>
      </c>
      <c r="R125" s="334"/>
      <c r="S125" s="334"/>
      <c r="T125" s="334"/>
      <c r="U125" s="334"/>
      <c r="V125" s="183">
        <f>STDEV(D$2:D125)*SQRT(252)</f>
        <v>0.20488816456150158</v>
      </c>
      <c r="W125" s="183">
        <f>STDEV(L$2:L125)*SQRT(252)</f>
        <v>0.39188934391979374</v>
      </c>
      <c r="X125" s="173">
        <f t="shared" si="35"/>
        <v>-2.0668698746280398</v>
      </c>
      <c r="Y125" s="173">
        <f t="shared" si="36"/>
        <v>-2.2173628910061138</v>
      </c>
      <c r="Z125" s="794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7">
        <v>1864.78</v>
      </c>
      <c r="D126" s="170">
        <f t="shared" si="27"/>
        <v>1.9518009053731956E-2</v>
      </c>
      <c r="E126" s="208">
        <f>(C126-$C$2)/$C$2</f>
        <v>-0.11304008675634029</v>
      </c>
      <c r="F126" s="218">
        <v>4337.51</v>
      </c>
      <c r="G126" s="170">
        <f t="shared" si="25"/>
        <v>1.656499087144327E-2</v>
      </c>
      <c r="H126" s="202">
        <f t="shared" si="45"/>
        <v>-0.14812145256004863</v>
      </c>
      <c r="I126" s="220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1">
        <f t="shared" ref="M126:M157" si="47">I126-J126</f>
        <v>-163010.17000000001</v>
      </c>
      <c r="N126" s="183">
        <f t="shared" ref="N126:N157" si="48">M126/J126</f>
        <v>-0.40752542500000005</v>
      </c>
      <c r="O126" s="182">
        <f t="shared" si="30"/>
        <v>-0.83155676805167611</v>
      </c>
      <c r="P126" s="181" t="b">
        <f t="shared" si="46"/>
        <v>1</v>
      </c>
      <c r="Q126" s="183">
        <f>COUNTIF(P$2:P126, TRUE)/(COUNTIF(P$2:P126,FALSE) + COUNTIF(P$2:P126, TRUE))</f>
        <v>0.44</v>
      </c>
      <c r="R126" s="334"/>
      <c r="S126" s="334"/>
      <c r="T126" s="334"/>
      <c r="U126" s="334"/>
      <c r="V126" s="183">
        <f>STDEV(D$2:D126)*SQRT(252)</f>
        <v>0.20614925630726783</v>
      </c>
      <c r="W126" s="183">
        <f>STDEV(L$2:L126)*SQRT(252)</f>
        <v>0.39280034902438915</v>
      </c>
      <c r="X126" s="173">
        <f t="shared" si="35"/>
        <v>-1.976846447568934</v>
      </c>
      <c r="Y126" s="173">
        <f t="shared" si="36"/>
        <v>-2.1169960009379838</v>
      </c>
      <c r="Z126" s="794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1">
        <v>42416</v>
      </c>
      <c r="C127" s="242">
        <v>1895.58</v>
      </c>
      <c r="D127" s="170">
        <f t="shared" si="27"/>
        <v>1.651669365823312E-2</v>
      </c>
      <c r="E127" s="243">
        <f>(C127-$C$2)/$C$2</f>
        <v>-9.8390441582161731E-2</v>
      </c>
      <c r="F127" s="244">
        <v>4435.96</v>
      </c>
      <c r="G127" s="170">
        <f t="shared" si="25"/>
        <v>2.2697354011863905E-2</v>
      </c>
      <c r="H127" s="245">
        <f t="shared" si="45"/>
        <v>-0.12878606359369166</v>
      </c>
      <c r="I127" s="246">
        <v>243663.46</v>
      </c>
      <c r="J127" s="247">
        <v>400000</v>
      </c>
      <c r="K127" s="247">
        <f t="shared" si="44"/>
        <v>6673.6300000000047</v>
      </c>
      <c r="L127" s="170">
        <f t="shared" si="28"/>
        <v>2.8159984755463999E-2</v>
      </c>
      <c r="M127" s="248">
        <f t="shared" si="47"/>
        <v>-156336.54</v>
      </c>
      <c r="N127" s="249">
        <f t="shared" si="48"/>
        <v>-0.39084135000000003</v>
      </c>
      <c r="O127" s="182">
        <f t="shared" si="30"/>
        <v>-0.78008089118852464</v>
      </c>
      <c r="P127" s="248" t="b">
        <f t="shared" si="46"/>
        <v>1</v>
      </c>
      <c r="Q127" s="249">
        <f>COUNTIF(P$2:P127, TRUE)/(COUNTIF(P$2:P127,FALSE) + COUNTIF(P$2:P127, TRUE))</f>
        <v>0.44444444444444442</v>
      </c>
      <c r="R127" s="335"/>
      <c r="S127" s="335"/>
      <c r="T127" s="335"/>
      <c r="U127" s="335"/>
      <c r="V127" s="249">
        <f>STDEV(D$2:D127)*SQRT(252)</f>
        <v>0.2067973574201509</v>
      </c>
      <c r="W127" s="249">
        <f>STDEV(L$2:L127)*SQRT(252)</f>
        <v>0.39373317711022293</v>
      </c>
      <c r="X127" s="173">
        <f t="shared" si="35"/>
        <v>-1.8899726518551507</v>
      </c>
      <c r="Y127" s="173">
        <f t="shared" si="36"/>
        <v>-1.9812424670785269</v>
      </c>
      <c r="Z127" s="794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1">
        <v>42417</v>
      </c>
      <c r="C128" s="242">
        <v>1926.82</v>
      </c>
      <c r="D128" s="170">
        <f t="shared" si="27"/>
        <v>1.648044398020659E-2</v>
      </c>
      <c r="E128" s="243">
        <f t="shared" ref="E128:E133" si="49">(C128-$C$2)/$C$2</f>
        <v>-8.3531515762637745E-2</v>
      </c>
      <c r="F128" s="244">
        <v>4534.0600000000004</v>
      </c>
      <c r="G128" s="170">
        <f t="shared" si="25"/>
        <v>2.2114716994743044E-2</v>
      </c>
      <c r="H128" s="245">
        <f t="shared" ref="H128:H141" si="50">(F128-F$2)/F$2</f>
        <v>-0.10951941394819008</v>
      </c>
      <c r="I128" s="246">
        <v>249365.31</v>
      </c>
      <c r="J128" s="247">
        <v>400000</v>
      </c>
      <c r="K128" s="247">
        <f t="shared" si="44"/>
        <v>5701.8499999999767</v>
      </c>
      <c r="L128" s="170">
        <f t="shared" si="28"/>
        <v>2.3400513150391843E-2</v>
      </c>
      <c r="M128" s="248">
        <f t="shared" si="47"/>
        <v>-150634.69</v>
      </c>
      <c r="N128" s="249">
        <f t="shared" si="48"/>
        <v>-0.37658672500000001</v>
      </c>
      <c r="O128" s="182">
        <f t="shared" si="30"/>
        <v>-0.74754511579483707</v>
      </c>
      <c r="P128" s="248" t="b">
        <f t="shared" si="46"/>
        <v>1</v>
      </c>
      <c r="Q128" s="249">
        <f>COUNTIF(P$2:P128, TRUE)/(COUNTIF(P$2:P128,FALSE) + COUNTIF(P$2:P128, TRUE))</f>
        <v>0.44881889763779526</v>
      </c>
      <c r="R128" s="335"/>
      <c r="S128" s="335"/>
      <c r="T128" s="335"/>
      <c r="U128" s="335"/>
      <c r="V128" s="249">
        <f>STDEV(D$2:D128)*SQRT(252)</f>
        <v>0.20740391827467</v>
      </c>
      <c r="W128" s="249">
        <f>STDEV(L$2:L128)*SQRT(252)</f>
        <v>0.39391671411506929</v>
      </c>
      <c r="X128" s="173">
        <f t="shared" si="35"/>
        <v>-1.815716540616543</v>
      </c>
      <c r="Y128" s="173">
        <f t="shared" si="36"/>
        <v>-1.8977237802010791</v>
      </c>
      <c r="Z128" s="794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1">
        <v>42418</v>
      </c>
      <c r="C129" s="242">
        <v>1917.83</v>
      </c>
      <c r="D129" s="170">
        <f t="shared" si="27"/>
        <v>-4.6657186452289312E-3</v>
      </c>
      <c r="E129" s="243">
        <f t="shared" si="49"/>
        <v>-8.7807499857308707E-2</v>
      </c>
      <c r="F129" s="244">
        <v>4487.53</v>
      </c>
      <c r="G129" s="170">
        <f t="shared" si="25"/>
        <v>-1.0262325597808731E-2</v>
      </c>
      <c r="H129" s="245">
        <f t="shared" si="50"/>
        <v>-0.11865781566078129</v>
      </c>
      <c r="I129" s="246">
        <v>241680.12</v>
      </c>
      <c r="J129" s="247">
        <v>400000</v>
      </c>
      <c r="K129" s="247">
        <f t="shared" si="44"/>
        <v>-7685.1900000000023</v>
      </c>
      <c r="L129" s="170">
        <f t="shared" si="28"/>
        <v>-3.0819002049643562E-2</v>
      </c>
      <c r="M129" s="248">
        <f t="shared" si="47"/>
        <v>-158319.88</v>
      </c>
      <c r="N129" s="249">
        <f t="shared" si="48"/>
        <v>-0.39579970000000003</v>
      </c>
      <c r="O129" s="182">
        <f t="shared" si="30"/>
        <v>-0.78143697527027034</v>
      </c>
      <c r="P129" s="248" t="b">
        <f t="shared" si="46"/>
        <v>0</v>
      </c>
      <c r="Q129" s="249">
        <f>COUNTIF(P$2:P129, TRUE)/(COUNTIF(P$2:P129,FALSE) + COUNTIF(P$2:P129, TRUE))</f>
        <v>0.4453125</v>
      </c>
      <c r="R129" s="335"/>
      <c r="S129" s="335"/>
      <c r="T129" s="335"/>
      <c r="U129" s="335"/>
      <c r="V129" s="249">
        <f>STDEV(D$2:D129)*SQRT(252)</f>
        <v>0.20665833739123632</v>
      </c>
      <c r="W129" s="249">
        <f>STDEV(L$2:L129)*SQRT(252)</f>
        <v>0.39434419152440775</v>
      </c>
      <c r="X129" s="173">
        <f t="shared" si="35"/>
        <v>-1.9152370284035032</v>
      </c>
      <c r="Y129" s="173">
        <f t="shared" si="36"/>
        <v>-1.9816114756235828</v>
      </c>
      <c r="Z129" s="794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1">
        <v>42419</v>
      </c>
      <c r="C130" s="242">
        <v>1917.78</v>
      </c>
      <c r="D130" s="170">
        <f t="shared" si="27"/>
        <v>-2.6071132477828863E-5</v>
      </c>
      <c r="E130" s="243">
        <f t="shared" si="49"/>
        <v>-8.7831281748825207E-2</v>
      </c>
      <c r="F130" s="244">
        <v>4504.43</v>
      </c>
      <c r="G130" s="170">
        <f t="shared" si="25"/>
        <v>3.7659915365469529E-3</v>
      </c>
      <c r="H130" s="245">
        <f t="shared" si="50"/>
        <v>-0.11533868845375798</v>
      </c>
      <c r="I130" s="246">
        <v>236145.17</v>
      </c>
      <c r="J130" s="247">
        <v>400000</v>
      </c>
      <c r="K130" s="247">
        <f t="shared" si="44"/>
        <v>-5534.9499999999534</v>
      </c>
      <c r="L130" s="170">
        <f t="shared" si="28"/>
        <v>-2.290196645052954E-2</v>
      </c>
      <c r="M130" s="248">
        <f t="shared" si="47"/>
        <v>-163854.82999999999</v>
      </c>
      <c r="N130" s="249">
        <f t="shared" si="48"/>
        <v>-0.40963707499999996</v>
      </c>
      <c r="O130" s="182">
        <f t="shared" si="30"/>
        <v>-0.80440828840725798</v>
      </c>
      <c r="P130" s="248" t="b">
        <f t="shared" si="46"/>
        <v>0</v>
      </c>
      <c r="Q130" s="249">
        <f>COUNTIF(P$2:P130, TRUE)/(COUNTIF(P$2:P130,FALSE) + COUNTIF(P$2:P130, TRUE))</f>
        <v>0.44186046511627908</v>
      </c>
      <c r="R130" s="335"/>
      <c r="S130" s="335"/>
      <c r="T130" s="335"/>
      <c r="U130" s="335"/>
      <c r="V130" s="249">
        <f>STDEV(D$2:D130)*SQRT(252)</f>
        <v>0.20584491170892685</v>
      </c>
      <c r="W130" s="249">
        <f>STDEV(L$2:L130)*SQRT(252)</f>
        <v>0.39378743351445816</v>
      </c>
      <c r="X130" s="173">
        <f t="shared" si="35"/>
        <v>-1.9900276941469586</v>
      </c>
      <c r="Y130" s="173">
        <f t="shared" si="36"/>
        <v>-2.0427474823868996</v>
      </c>
      <c r="Z130" s="794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4">
        <v>1945.5</v>
      </c>
      <c r="D131" s="170">
        <f t="shared" si="27"/>
        <v>1.4454212683415213E-2</v>
      </c>
      <c r="E131" s="208">
        <f t="shared" si="49"/>
        <v>-7.4646601092064488E-2</v>
      </c>
      <c r="F131" s="218">
        <v>4570.6000000000004</v>
      </c>
      <c r="G131" s="170">
        <f t="shared" si="25"/>
        <v>1.4689982972318378E-2</v>
      </c>
      <c r="H131" s="202">
        <f t="shared" si="50"/>
        <v>-0.10234302885087485</v>
      </c>
      <c r="I131" s="220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1">
        <f t="shared" si="47"/>
        <v>-151584.76999999999</v>
      </c>
      <c r="N131" s="183">
        <f t="shared" si="48"/>
        <v>-0.37896192499999998</v>
      </c>
      <c r="O131" s="182">
        <f t="shared" si="30"/>
        <v>-0.73235895823412689</v>
      </c>
      <c r="P131" s="181" t="b">
        <f t="shared" si="46"/>
        <v>1</v>
      </c>
      <c r="Q131" s="183">
        <f>COUNTIF(P$2:P131, TRUE)/(COUNTIF(P$2:P131,FALSE) + COUNTIF(P$2:P131, TRUE))</f>
        <v>0.44615384615384618</v>
      </c>
      <c r="R131" s="334"/>
      <c r="S131" s="334"/>
      <c r="T131" s="334"/>
      <c r="U131" s="334"/>
      <c r="V131" s="183">
        <f>STDEV(D$2:D131)*SQRT(252)</f>
        <v>0.20612093442208271</v>
      </c>
      <c r="W131" s="183">
        <f>STDEV(L$2:L131)*SQRT(252)</f>
        <v>0.39971891584326358</v>
      </c>
      <c r="X131" s="173">
        <f t="shared" si="35"/>
        <v>-1.8385416603244353</v>
      </c>
      <c r="Y131" s="173">
        <f t="shared" si="36"/>
        <v>-1.8321848909479606</v>
      </c>
      <c r="Z131" s="794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7">
        <v>1921.27</v>
      </c>
      <c r="D132" s="170">
        <f t="shared" si="27"/>
        <v>-1.2454381906964801E-2</v>
      </c>
      <c r="E132" s="208">
        <f t="shared" si="49"/>
        <v>-8.6171305720971855E-2</v>
      </c>
      <c r="F132" s="218">
        <v>4503.58</v>
      </c>
      <c r="G132" s="170">
        <f t="shared" ref="G132:G165" si="51">(F132-F131)/F131</f>
        <v>-1.4663282719993093E-2</v>
      </c>
      <c r="H132" s="202">
        <f t="shared" si="50"/>
        <v>-0.11550562680440715</v>
      </c>
      <c r="I132" s="220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1">
        <f t="shared" si="47"/>
        <v>-161205.76999999999</v>
      </c>
      <c r="N132" s="183">
        <f t="shared" si="48"/>
        <v>-0.40301442499999995</v>
      </c>
      <c r="O132" s="182">
        <f t="shared" si="30"/>
        <v>-0.7747422038486842</v>
      </c>
      <c r="P132" s="181" t="b">
        <f t="shared" si="46"/>
        <v>0</v>
      </c>
      <c r="Q132" s="183">
        <f>COUNTIF(P$2:P132, TRUE)/(COUNTIF(P$2:P132,FALSE) + COUNTIF(P$2:P132, TRUE))</f>
        <v>0.44274809160305345</v>
      </c>
      <c r="R132" s="334"/>
      <c r="S132" s="334"/>
      <c r="T132" s="334"/>
      <c r="U132" s="334"/>
      <c r="V132" s="183">
        <f>STDEV(D$2:D132)*SQRT(252)</f>
        <v>0.20599200020691141</v>
      </c>
      <c r="W132" s="183">
        <f>STDEV(L$2:L132)*SQRT(252)</f>
        <v>0.40132200578539856</v>
      </c>
      <c r="X132" s="173">
        <f t="shared" si="35"/>
        <v>-1.9564566808186081</v>
      </c>
      <c r="Y132" s="173">
        <f t="shared" si="36"/>
        <v>-1.9304752609628064</v>
      </c>
      <c r="Z132" s="794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4">
        <v>1929.8</v>
      </c>
      <c r="D133" s="170">
        <f t="shared" ref="D133:D165" si="53">(C133-C132)/C132</f>
        <v>4.439771609404182E-3</v>
      </c>
      <c r="E133" s="208">
        <f t="shared" si="49"/>
        <v>-8.2114115028252929E-2</v>
      </c>
      <c r="F133" s="218">
        <v>4542.6000000000004</v>
      </c>
      <c r="G133" s="170">
        <f t="shared" si="51"/>
        <v>8.6642182441525276E-3</v>
      </c>
      <c r="H133" s="202">
        <f t="shared" si="50"/>
        <v>-0.10784217451931565</v>
      </c>
      <c r="I133" s="220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1">
        <f t="shared" si="47"/>
        <v>-157577.54</v>
      </c>
      <c r="N133" s="183">
        <f t="shared" si="48"/>
        <v>-0.39394385000000004</v>
      </c>
      <c r="O133" s="182">
        <f t="shared" si="30"/>
        <v>-0.75334026812827226</v>
      </c>
      <c r="P133" s="181" t="b">
        <f t="shared" si="46"/>
        <v>1</v>
      </c>
      <c r="Q133" s="183">
        <f>COUNTIF(P$2:P133, TRUE)/(COUNTIF(P$2:P133,FALSE) + COUNTIF(P$2:P133, TRUE))</f>
        <v>0.44696969696969696</v>
      </c>
      <c r="R133" s="334"/>
      <c r="S133" s="334"/>
      <c r="T133" s="334"/>
      <c r="U133" s="334"/>
      <c r="V133" s="183">
        <f>STDEV(D$2:D133)*SQRT(252)</f>
        <v>0.2053176523633603</v>
      </c>
      <c r="W133" s="183">
        <f>STDEV(L$2:L133)*SQRT(252)</f>
        <v>0.40056518042041067</v>
      </c>
      <c r="X133" s="173">
        <f t="shared" si="35"/>
        <v>-1.9187042393355398</v>
      </c>
      <c r="Y133" s="173">
        <f t="shared" si="36"/>
        <v>-1.8806933426854744</v>
      </c>
      <c r="Z133" s="794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4">
        <v>1951.7</v>
      </c>
      <c r="D134" s="170">
        <f t="shared" si="53"/>
        <v>1.1348326251425065E-2</v>
      </c>
      <c r="E134" s="208">
        <f t="shared" ref="E134:E139" si="54">(C134-$C$2)/$C$2</f>
        <v>-7.1697646544015531E-2</v>
      </c>
      <c r="F134" s="218">
        <v>4582.2</v>
      </c>
      <c r="G134" s="170">
        <f t="shared" si="51"/>
        <v>8.7174745740323713E-3</v>
      </c>
      <c r="H134" s="202">
        <f t="shared" si="50"/>
        <v>-0.10006481135966377</v>
      </c>
      <c r="I134" s="220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1">
        <f t="shared" si="47"/>
        <v>-155475.23000000001</v>
      </c>
      <c r="N134" s="183">
        <f t="shared" si="48"/>
        <v>-0.38868807500000002</v>
      </c>
      <c r="O134" s="182">
        <f t="shared" si="30"/>
        <v>-0.73941833017578129</v>
      </c>
      <c r="P134" s="181" t="b">
        <f t="shared" si="46"/>
        <v>0</v>
      </c>
      <c r="Q134" s="183">
        <f>COUNTIF(P$2:P134, TRUE)/(COUNTIF(P$2:P134,FALSE) + COUNTIF(P$2:P134, TRUE))</f>
        <v>0.44360902255639095</v>
      </c>
      <c r="R134" s="334"/>
      <c r="S134" s="334"/>
      <c r="T134" s="334"/>
      <c r="U134" s="334"/>
      <c r="V134" s="183">
        <f>STDEV(D$2:D134)*SQRT(252)</f>
        <v>0.2051944315202551</v>
      </c>
      <c r="W134" s="183">
        <f>STDEV(L$2:L134)*SQRT(252)</f>
        <v>0.399347738080158</v>
      </c>
      <c r="X134" s="173">
        <f t="shared" si="35"/>
        <v>-1.8942428024009605</v>
      </c>
      <c r="Y134" s="173">
        <f t="shared" si="36"/>
        <v>-1.8515650889385118</v>
      </c>
      <c r="Z134" s="794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4">
        <v>1948.05</v>
      </c>
      <c r="D135" s="170">
        <f t="shared" si="53"/>
        <v>-1.8701644719988169E-3</v>
      </c>
      <c r="E135" s="208">
        <f t="shared" si="54"/>
        <v>-7.3433724624721794E-2</v>
      </c>
      <c r="F135" s="218">
        <v>4590.47</v>
      </c>
      <c r="G135" s="170">
        <f t="shared" si="51"/>
        <v>1.8048099166340266E-3</v>
      </c>
      <c r="H135" s="202">
        <f t="shared" si="50"/>
        <v>-9.8440599406877771E-2</v>
      </c>
      <c r="I135" s="220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1">
        <f t="shared" si="47"/>
        <v>-148083.32999999999</v>
      </c>
      <c r="N135" s="183">
        <f t="shared" si="48"/>
        <v>-0.37020832499999995</v>
      </c>
      <c r="O135" s="182">
        <f t="shared" ref="O135:O198" si="56">N135/(A135/365.25)</f>
        <v>-0.70061445961787561</v>
      </c>
      <c r="P135" s="181" t="b">
        <f t="shared" si="46"/>
        <v>1</v>
      </c>
      <c r="Q135" s="183">
        <f>COUNTIF(P$2:P135, TRUE)/(COUNTIF(P$2:P135,FALSE) + COUNTIF(P$2:P135, TRUE))</f>
        <v>0.44776119402985076</v>
      </c>
      <c r="R135" s="334"/>
      <c r="S135" s="334"/>
      <c r="T135" s="334"/>
      <c r="U135" s="334"/>
      <c r="V135" s="183">
        <f>STDEV(D$2:D135)*SQRT(252)</f>
        <v>0.20442465292014791</v>
      </c>
      <c r="W135" s="183">
        <f>STDEV(L$2:L135)*SQRT(252)</f>
        <v>0.40040715107254371</v>
      </c>
      <c r="X135" s="173">
        <f t="shared" si="35"/>
        <v>-1.8109769037720231</v>
      </c>
      <c r="Y135" s="173">
        <f t="shared" si="36"/>
        <v>-1.7497551123679653</v>
      </c>
      <c r="Z135" s="794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1">
        <v>42429</v>
      </c>
      <c r="C136" s="242">
        <v>1932.23</v>
      </c>
      <c r="D136" s="170">
        <f t="shared" si="53"/>
        <v>-8.1209414542747545E-3</v>
      </c>
      <c r="E136" s="243">
        <f t="shared" si="54"/>
        <v>-8.0958315100549849E-2</v>
      </c>
      <c r="F136" s="244">
        <v>4557.95</v>
      </c>
      <c r="G136" s="170">
        <f t="shared" si="51"/>
        <v>-7.0842419185835953E-3</v>
      </c>
      <c r="H136" s="245">
        <f t="shared" si="50"/>
        <v>-0.10482746430465267</v>
      </c>
      <c r="I136" s="408">
        <v>254134.09</v>
      </c>
      <c r="J136" s="247">
        <v>400000</v>
      </c>
      <c r="K136" s="247">
        <f t="shared" si="44"/>
        <v>2217.4199999999837</v>
      </c>
      <c r="L136" s="170">
        <f t="shared" si="52"/>
        <v>8.8021963770797042E-3</v>
      </c>
      <c r="M136" s="248">
        <f t="shared" si="47"/>
        <v>-145865.91</v>
      </c>
      <c r="N136" s="249">
        <f t="shared" si="48"/>
        <v>-0.364664775</v>
      </c>
      <c r="O136" s="182">
        <f t="shared" si="56"/>
        <v>-0.67956025035076528</v>
      </c>
      <c r="P136" s="248" t="b">
        <f t="shared" si="46"/>
        <v>1</v>
      </c>
      <c r="Q136" s="249">
        <f>COUNTIF(P$2:P136, TRUE)/(COUNTIF(P$2:P136,FALSE) + COUNTIF(P$2:P136, TRUE))</f>
        <v>0.45185185185185184</v>
      </c>
      <c r="R136" s="335"/>
      <c r="S136" s="335"/>
      <c r="T136" s="335"/>
      <c r="U136" s="335"/>
      <c r="V136" s="249">
        <f>STDEV(D$2:D136)*SQRT(252)</f>
        <v>0.20392331073233147</v>
      </c>
      <c r="W136" s="249">
        <f>STDEV(L$2:L136)*SQRT(252)</f>
        <v>0.39919785402030938</v>
      </c>
      <c r="X136" s="173">
        <f t="shared" si="35"/>
        <v>-1.7882446773270408</v>
      </c>
      <c r="Y136" s="173">
        <f t="shared" si="36"/>
        <v>-1.7023143874821338</v>
      </c>
      <c r="Z136" s="794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1">
        <v>42430</v>
      </c>
      <c r="C137" s="242">
        <v>1978.35</v>
      </c>
      <c r="D137" s="170">
        <f t="shared" si="53"/>
        <v>2.3868794087660315E-2</v>
      </c>
      <c r="E137" s="243">
        <f t="shared" si="54"/>
        <v>-5.9021898365708481E-2</v>
      </c>
      <c r="F137" s="244">
        <v>4689.59</v>
      </c>
      <c r="G137" s="170">
        <f t="shared" si="51"/>
        <v>2.8881405017606672E-2</v>
      </c>
      <c r="H137" s="245">
        <f t="shared" si="50"/>
        <v>-7.8973623740597382E-2</v>
      </c>
      <c r="I137" s="246">
        <v>256289.63</v>
      </c>
      <c r="J137" s="247">
        <v>400000</v>
      </c>
      <c r="K137" s="247">
        <f t="shared" si="44"/>
        <v>2155.5400000000373</v>
      </c>
      <c r="L137" s="170">
        <f t="shared" si="52"/>
        <v>8.4819002440799547E-3</v>
      </c>
      <c r="M137" s="248">
        <f t="shared" si="47"/>
        <v>-143710.37</v>
      </c>
      <c r="N137" s="249">
        <f t="shared" si="48"/>
        <v>-0.359275925</v>
      </c>
      <c r="O137" s="182">
        <f t="shared" si="56"/>
        <v>-0.66611944977791882</v>
      </c>
      <c r="P137" s="248" t="b">
        <f t="shared" si="46"/>
        <v>0</v>
      </c>
      <c r="Q137" s="249">
        <f>COUNTIF(P$2:P137, TRUE)/(COUNTIF(P$2:P137,FALSE) + COUNTIF(P$2:P137, TRUE))</f>
        <v>0.4485294117647059</v>
      </c>
      <c r="R137" s="335"/>
      <c r="S137" s="335"/>
      <c r="T137" s="335"/>
      <c r="U137" s="335"/>
      <c r="V137" s="249">
        <f>STDEV(D$2:D137)*SQRT(252)</f>
        <v>0.205881606235845</v>
      </c>
      <c r="W137" s="249">
        <f>STDEV(L$2:L137)*SQRT(252)</f>
        <v>0.39798205719407453</v>
      </c>
      <c r="X137" s="173">
        <f t="shared" si="35"/>
        <v>-1.7450608219387802</v>
      </c>
      <c r="Y137" s="173">
        <f t="shared" si="36"/>
        <v>-1.6737424156111842</v>
      </c>
      <c r="Z137" s="794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1">
        <v>42431</v>
      </c>
      <c r="C138" s="330">
        <v>1986.4749999999999</v>
      </c>
      <c r="D138" s="170">
        <f t="shared" si="53"/>
        <v>4.1069578183840069E-3</v>
      </c>
      <c r="E138" s="243">
        <f t="shared" si="54"/>
        <v>-5.5157340994273385E-2</v>
      </c>
      <c r="F138" s="244">
        <v>4703.42</v>
      </c>
      <c r="G138" s="170">
        <f t="shared" si="51"/>
        <v>2.9490851012561711E-3</v>
      </c>
      <c r="H138" s="245">
        <f t="shared" si="50"/>
        <v>-7.6257438576506811E-2</v>
      </c>
      <c r="I138" s="246">
        <v>273591.05</v>
      </c>
      <c r="J138" s="247">
        <v>400000</v>
      </c>
      <c r="K138" s="247">
        <f t="shared" si="44"/>
        <v>17301.419999999984</v>
      </c>
      <c r="L138" s="170">
        <f t="shared" si="52"/>
        <v>6.7507296335009667E-2</v>
      </c>
      <c r="M138" s="248">
        <f t="shared" si="47"/>
        <v>-126408.95000000001</v>
      </c>
      <c r="N138" s="249">
        <f t="shared" si="48"/>
        <v>-0.31602237500000002</v>
      </c>
      <c r="O138" s="182">
        <f t="shared" si="56"/>
        <v>-0.58296551751893944</v>
      </c>
      <c r="P138" s="248" t="b">
        <f t="shared" si="46"/>
        <v>1</v>
      </c>
      <c r="Q138" s="249">
        <f>COUNTIF(P$2:P138, TRUE)/(COUNTIF(P$2:P138,FALSE) + COUNTIF(P$2:P138, TRUE))</f>
        <v>0.45255474452554745</v>
      </c>
      <c r="R138" s="335"/>
      <c r="S138" s="335"/>
      <c r="T138" s="335"/>
      <c r="U138" s="335"/>
      <c r="V138" s="249">
        <f>STDEV(D$2:D138)*SQRT(252)</f>
        <v>0.20520805198323436</v>
      </c>
      <c r="W138" s="249">
        <f>STDEV(L$2:L138)*SQRT(252)</f>
        <v>0.40773104370834762</v>
      </c>
      <c r="X138" s="173">
        <f t="shared" si="35"/>
        <v>-1.5400096241146486</v>
      </c>
      <c r="Y138" s="173">
        <f t="shared" si="36"/>
        <v>-1.4297795728694578</v>
      </c>
      <c r="Z138" s="794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1">
        <v>42432</v>
      </c>
      <c r="C139" s="330">
        <v>1993.4</v>
      </c>
      <c r="D139" s="170">
        <f t="shared" si="53"/>
        <v>3.4860745793428975E-3</v>
      </c>
      <c r="E139" s="243">
        <f t="shared" si="54"/>
        <v>-5.1863549019234775E-2</v>
      </c>
      <c r="F139" s="244">
        <v>4707.42</v>
      </c>
      <c r="G139" s="170">
        <f t="shared" si="51"/>
        <v>8.5044499534381367E-4</v>
      </c>
      <c r="H139" s="245">
        <f t="shared" si="50"/>
        <v>-7.5471846338158136E-2</v>
      </c>
      <c r="I139" s="246">
        <v>284465.09999999998</v>
      </c>
      <c r="J139" s="247">
        <v>400000</v>
      </c>
      <c r="K139" s="247">
        <f t="shared" si="44"/>
        <v>10874.049999999988</v>
      </c>
      <c r="L139" s="170">
        <f t="shared" si="52"/>
        <v>3.9745634954067355E-2</v>
      </c>
      <c r="M139" s="248">
        <f t="shared" si="47"/>
        <v>-115534.90000000002</v>
      </c>
      <c r="N139" s="249">
        <f t="shared" si="48"/>
        <v>-0.28883725000000005</v>
      </c>
      <c r="O139" s="182">
        <f t="shared" si="56"/>
        <v>-0.53013972644472374</v>
      </c>
      <c r="P139" s="248" t="b">
        <f t="shared" si="46"/>
        <v>1</v>
      </c>
      <c r="Q139" s="249">
        <f>COUNTIF(P$2:P139, TRUE)/(COUNTIF(P$2:P139,FALSE) + COUNTIF(P$2:P139, TRUE))</f>
        <v>0.45652173913043476</v>
      </c>
      <c r="R139" s="335"/>
      <c r="S139" s="335"/>
      <c r="T139" s="335"/>
      <c r="U139" s="335"/>
      <c r="V139" s="249">
        <f>STDEV(D$2:D139)*SQRT(252)</f>
        <v>0.20451785527923064</v>
      </c>
      <c r="W139" s="249">
        <f>STDEV(L$2:L139)*SQRT(252)</f>
        <v>0.41011498593156359</v>
      </c>
      <c r="X139" s="173">
        <f t="shared" si="35"/>
        <v>-1.4122837813140918</v>
      </c>
      <c r="Y139" s="173">
        <f t="shared" si="36"/>
        <v>-1.2926611916912221</v>
      </c>
      <c r="Z139" s="794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1">
        <v>42433</v>
      </c>
      <c r="C140" s="242">
        <v>1999.99</v>
      </c>
      <c r="D140" s="170">
        <f t="shared" si="53"/>
        <v>3.3059095013544286E-3</v>
      </c>
      <c r="E140" s="243">
        <f t="shared" ref="E140:E171" si="57">(C140-$C$2)/$C$2</f>
        <v>-4.8729095717356993E-2</v>
      </c>
      <c r="F140" s="244">
        <v>4717.0200000000004</v>
      </c>
      <c r="G140" s="170">
        <f t="shared" si="51"/>
        <v>2.0393336477306811E-3</v>
      </c>
      <c r="H140" s="245">
        <f t="shared" si="50"/>
        <v>-7.3586424966121222E-2</v>
      </c>
      <c r="I140" s="246">
        <v>295168.58</v>
      </c>
      <c r="J140" s="247">
        <v>400000</v>
      </c>
      <c r="K140" s="247">
        <f t="shared" si="44"/>
        <v>10703.48000000004</v>
      </c>
      <c r="L140" s="170">
        <f t="shared" si="52"/>
        <v>3.7626689530631495E-2</v>
      </c>
      <c r="M140" s="248">
        <f t="shared" si="47"/>
        <v>-104831.41999999998</v>
      </c>
      <c r="N140" s="249">
        <f t="shared" si="48"/>
        <v>-0.26207854999999997</v>
      </c>
      <c r="O140" s="182">
        <f t="shared" si="56"/>
        <v>-0.47862095193749998</v>
      </c>
      <c r="P140" s="248" t="b">
        <f t="shared" si="46"/>
        <v>1</v>
      </c>
      <c r="Q140" s="249">
        <f>COUNTIF(P$2:P140, TRUE)/(COUNTIF(P$2:P140,FALSE) + COUNTIF(P$2:P140, TRUE))</f>
        <v>0.46043165467625902</v>
      </c>
      <c r="R140" s="335"/>
      <c r="S140" s="335"/>
      <c r="T140" s="335"/>
      <c r="U140" s="335"/>
      <c r="V140" s="249">
        <f>STDEV(D$2:D140)*SQRT(252)</f>
        <v>0.20382852547723848</v>
      </c>
      <c r="W140" s="249">
        <f>STDEV(L$2:L140)*SQRT(252)</f>
        <v>0.41201829569755161</v>
      </c>
      <c r="X140" s="173">
        <f t="shared" si="35"/>
        <v>-1.2857795511515206</v>
      </c>
      <c r="Y140" s="173">
        <f t="shared" si="36"/>
        <v>-1.1616497542352806</v>
      </c>
      <c r="Z140" s="794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4">
        <v>2001.76</v>
      </c>
      <c r="D141" s="170">
        <f t="shared" si="53"/>
        <v>8.8500442502211603E-4</v>
      </c>
      <c r="E141" s="208">
        <f t="shared" si="57"/>
        <v>-4.7887216757672067E-2</v>
      </c>
      <c r="F141" s="218">
        <v>4708.5200000000004</v>
      </c>
      <c r="G141" s="170">
        <f t="shared" si="51"/>
        <v>-1.8019851516423502E-3</v>
      </c>
      <c r="H141" s="202">
        <f t="shared" si="50"/>
        <v>-7.5255808472612165E-2</v>
      </c>
      <c r="I141" s="220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1">
        <f t="shared" si="47"/>
        <v>-104667.88</v>
      </c>
      <c r="N141" s="183">
        <f t="shared" si="48"/>
        <v>-0.26166970000000001</v>
      </c>
      <c r="O141" s="182">
        <f t="shared" si="56"/>
        <v>-0.47081210800492612</v>
      </c>
      <c r="P141" s="181" t="b">
        <f t="shared" si="46"/>
        <v>0</v>
      </c>
      <c r="Q141" s="183">
        <f>COUNTIF(P$2:P141, TRUE)/(COUNTIF(P$2:P141,FALSE) + COUNTIF(P$2:P141, TRUE))</f>
        <v>0.45714285714285713</v>
      </c>
      <c r="R141" s="334"/>
      <c r="S141" s="334"/>
      <c r="T141" s="334"/>
      <c r="U141" s="334"/>
      <c r="V141" s="183">
        <f>STDEV(D$2:D141)*SQRT(252)</f>
        <v>0.20309473146639889</v>
      </c>
      <c r="W141" s="183">
        <f>STDEV(L$2:L141)*SQRT(252)</f>
        <v>0.41052951691081185</v>
      </c>
      <c r="X141" s="173">
        <f t="shared" si="35"/>
        <v>-1.2884120533835319</v>
      </c>
      <c r="Y141" s="173">
        <f t="shared" si="36"/>
        <v>-1.1468410640670468</v>
      </c>
      <c r="Z141" s="794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4">
        <v>1979.26</v>
      </c>
      <c r="D142" s="170">
        <f t="shared" si="53"/>
        <v>-1.124010870434018E-2</v>
      </c>
      <c r="E142" s="208">
        <f t="shared" si="57"/>
        <v>-5.8589067940107716E-2</v>
      </c>
      <c r="F142" s="218">
        <v>4648.82</v>
      </c>
      <c r="G142" s="170">
        <f t="shared" si="51"/>
        <v>-1.2679143340157994E-2</v>
      </c>
      <c r="H142" s="202">
        <f t="shared" ref="H142:H173" si="58">(F142-F$2)/F$2</f>
        <v>-8.6980772629966438E-2</v>
      </c>
      <c r="I142" s="220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1">
        <f t="shared" si="47"/>
        <v>-120344.77000000002</v>
      </c>
      <c r="N142" s="183">
        <f t="shared" si="48"/>
        <v>-0.30086192500000003</v>
      </c>
      <c r="O142" s="182">
        <f t="shared" si="56"/>
        <v>-0.53867557895220597</v>
      </c>
      <c r="P142" s="181" t="b">
        <f t="shared" si="46"/>
        <v>0</v>
      </c>
      <c r="Q142" s="183">
        <f>COUNTIF(P$2:P142, TRUE)/(COUNTIF(P$2:P142,FALSE) + COUNTIF(P$2:P142, TRUE))</f>
        <v>0.45390070921985815</v>
      </c>
      <c r="R142" s="334"/>
      <c r="S142" s="334"/>
      <c r="T142" s="334"/>
      <c r="U142" s="334"/>
      <c r="V142" s="183">
        <f>STDEV(D$2:D142)*SQRT(252)</f>
        <v>0.2028972139328496</v>
      </c>
      <c r="W142" s="183">
        <f>STDEV(L$2:L142)*SQRT(252)</f>
        <v>0.41493428525347442</v>
      </c>
      <c r="X142" s="173">
        <f t="shared" si="35"/>
        <v>-1.4828292570817292</v>
      </c>
      <c r="Y142" s="173">
        <f t="shared" si="36"/>
        <v>-1.2982190146643116</v>
      </c>
      <c r="Z142" s="794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4">
        <v>1989.26</v>
      </c>
      <c r="D143" s="170">
        <f t="shared" si="53"/>
        <v>5.0523933187150757E-3</v>
      </c>
      <c r="E143" s="208">
        <f t="shared" si="57"/>
        <v>-5.3832689636802981E-2</v>
      </c>
      <c r="F143" s="218">
        <v>4674.37</v>
      </c>
      <c r="G143" s="170">
        <f t="shared" si="51"/>
        <v>5.4960183444401336E-3</v>
      </c>
      <c r="H143" s="202">
        <f t="shared" si="58"/>
        <v>-8.1962802207514174E-2</v>
      </c>
      <c r="I143" s="220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1">
        <f t="shared" si="47"/>
        <v>-115558.44</v>
      </c>
      <c r="N143" s="183">
        <f t="shared" si="48"/>
        <v>-0.28889609999999999</v>
      </c>
      <c r="O143" s="182">
        <f t="shared" si="56"/>
        <v>-0.5147282952439024</v>
      </c>
      <c r="P143" s="181" t="b">
        <f t="shared" si="46"/>
        <v>1</v>
      </c>
      <c r="Q143" s="183">
        <f>COUNTIF(P$2:P143, TRUE)/(COUNTIF(P$2:P143,FALSE) + COUNTIF(P$2:P143, TRUE))</f>
        <v>0.45774647887323944</v>
      </c>
      <c r="R143" s="334"/>
      <c r="S143" s="334"/>
      <c r="T143" s="334"/>
      <c r="U143" s="334"/>
      <c r="V143" s="183">
        <f>STDEV(D$2:D143)*SQRT(252)</f>
        <v>0.20230024410689199</v>
      </c>
      <c r="W143" s="183">
        <f>STDEV(L$2:L143)*SQRT(252)</f>
        <v>0.41420228414527577</v>
      </c>
      <c r="X143" s="173">
        <f t="shared" si="35"/>
        <v>-1.4280561117234849</v>
      </c>
      <c r="Y143" s="173">
        <f t="shared" si="36"/>
        <v>-1.2426978675553815</v>
      </c>
      <c r="Z143" s="794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4">
        <v>1989.57</v>
      </c>
      <c r="D144" s="170">
        <f t="shared" si="53"/>
        <v>1.5583684385145504E-4</v>
      </c>
      <c r="E144" s="208">
        <f t="shared" si="57"/>
        <v>-5.3685241909400563E-2</v>
      </c>
      <c r="F144" s="218">
        <v>4662.1499999999996</v>
      </c>
      <c r="G144" s="170">
        <f t="shared" si="51"/>
        <v>-2.6142560387817514E-3</v>
      </c>
      <c r="H144" s="202">
        <f t="shared" si="58"/>
        <v>-8.4362786495669459E-2</v>
      </c>
      <c r="I144" s="220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1">
        <f t="shared" si="47"/>
        <v>-112581.01000000001</v>
      </c>
      <c r="N144" s="183">
        <f t="shared" si="48"/>
        <v>-0.28145252500000001</v>
      </c>
      <c r="O144" s="182">
        <f t="shared" si="56"/>
        <v>-0.49903172211771846</v>
      </c>
      <c r="P144" s="181" t="b">
        <f t="shared" si="46"/>
        <v>1</v>
      </c>
      <c r="Q144" s="183">
        <f>COUNTIF(P$2:P144, TRUE)/(COUNTIF(P$2:P144,FALSE) + COUNTIF(P$2:P144, TRUE))</f>
        <v>0.46153846153846156</v>
      </c>
      <c r="R144" s="334"/>
      <c r="S144" s="334"/>
      <c r="T144" s="334"/>
      <c r="U144" s="334"/>
      <c r="V144" s="183">
        <f>STDEV(D$2:D144)*SQRT(252)</f>
        <v>0.20158255288168328</v>
      </c>
      <c r="W144" s="183">
        <f>STDEV(L$2:L144)*SQRT(252)</f>
        <v>0.41303460915058671</v>
      </c>
      <c r="X144" s="173">
        <f t="shared" si="35"/>
        <v>-1.3962147069602573</v>
      </c>
      <c r="Y144" s="173">
        <f t="shared" si="36"/>
        <v>-1.2082080074209431</v>
      </c>
      <c r="Z144" s="794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4">
        <v>2022.19</v>
      </c>
      <c r="D145" s="170">
        <f t="shared" si="53"/>
        <v>1.6395502545776285E-2</v>
      </c>
      <c r="E145" s="208">
        <f t="shared" si="57"/>
        <v>-3.816993588402047E-2</v>
      </c>
      <c r="F145" s="218">
        <v>4748.47</v>
      </c>
      <c r="G145" s="170">
        <f t="shared" si="51"/>
        <v>1.8515062792917564E-2</v>
      </c>
      <c r="H145" s="202">
        <f t="shared" si="58"/>
        <v>-6.7409705992104718E-2</v>
      </c>
      <c r="I145" s="220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1">
        <f t="shared" si="47"/>
        <v>-102470.75</v>
      </c>
      <c r="N145" s="183">
        <f t="shared" si="48"/>
        <v>-0.25617687500000003</v>
      </c>
      <c r="O145" s="182">
        <f t="shared" si="56"/>
        <v>-0.45202223958333343</v>
      </c>
      <c r="P145" s="181" t="b">
        <f t="shared" si="46"/>
        <v>1</v>
      </c>
      <c r="Q145" s="183">
        <f>COUNTIF(P$2:P145, TRUE)/(COUNTIF(P$2:P145,FALSE) + COUNTIF(P$2:P145, TRUE))</f>
        <v>0.46527777777777779</v>
      </c>
      <c r="R145" s="334"/>
      <c r="S145" s="334"/>
      <c r="T145" s="334"/>
      <c r="U145" s="334"/>
      <c r="V145" s="183">
        <f>STDEV(D$2:D145)*SQRT(252)</f>
        <v>0.20209170666788678</v>
      </c>
      <c r="W145" s="183">
        <f>STDEV(L$2:L145)*SQRT(252)</f>
        <v>0.41442203469244021</v>
      </c>
      <c r="X145" s="173">
        <f t="shared" si="35"/>
        <v>-1.2676268572514737</v>
      </c>
      <c r="Y145" s="173">
        <f t="shared" si="36"/>
        <v>-1.0907292608579511</v>
      </c>
      <c r="Z145" s="794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1">
        <v>42443</v>
      </c>
      <c r="C146" s="242">
        <v>2019.64</v>
      </c>
      <c r="D146" s="170">
        <f t="shared" si="53"/>
        <v>-1.261009103991195E-3</v>
      </c>
      <c r="E146" s="243">
        <f t="shared" si="57"/>
        <v>-3.9382812351363157E-2</v>
      </c>
      <c r="F146" s="244">
        <v>4750.28</v>
      </c>
      <c r="G146" s="170">
        <f t="shared" si="51"/>
        <v>3.8117541018464697E-4</v>
      </c>
      <c r="H146" s="245">
        <f t="shared" si="58"/>
        <v>-6.7054225504252038E-2</v>
      </c>
      <c r="I146" s="246">
        <v>295383.49</v>
      </c>
      <c r="J146" s="247">
        <v>400000</v>
      </c>
      <c r="K146" s="247">
        <f t="shared" si="44"/>
        <v>-2145.7600000000093</v>
      </c>
      <c r="L146" s="170">
        <f t="shared" si="52"/>
        <v>-7.2119295833939327E-3</v>
      </c>
      <c r="M146" s="248">
        <f t="shared" si="47"/>
        <v>-104616.51000000001</v>
      </c>
      <c r="N146" s="249">
        <f t="shared" si="48"/>
        <v>-0.26154127500000002</v>
      </c>
      <c r="O146" s="182">
        <f t="shared" si="56"/>
        <v>-0.45489500330357147</v>
      </c>
      <c r="P146" s="248" t="b">
        <f t="shared" si="46"/>
        <v>0</v>
      </c>
      <c r="Q146" s="249">
        <f>COUNTIF(P$2:P146, TRUE)/(COUNTIF(P$2:P146,FALSE) + COUNTIF(P$2:P146, TRUE))</f>
        <v>0.46206896551724136</v>
      </c>
      <c r="R146" s="247"/>
      <c r="S146" s="247"/>
      <c r="T146" s="247"/>
      <c r="U146" s="247"/>
      <c r="V146" s="249">
        <f>STDEV(D$2:D146)*SQRT(252)</f>
        <v>0.20138882204680125</v>
      </c>
      <c r="W146" s="249">
        <f>STDEV(L$2:L146)*SQRT(252)</f>
        <v>0.41305007987980863</v>
      </c>
      <c r="X146" s="173">
        <f t="shared" si="35"/>
        <v>-1.2986881413866147</v>
      </c>
      <c r="Y146" s="173">
        <f t="shared" si="36"/>
        <v>-1.1013071427947407</v>
      </c>
      <c r="Z146" s="794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1">
        <v>42444</v>
      </c>
      <c r="C147" s="242">
        <v>2015.93</v>
      </c>
      <c r="D147" s="170">
        <f t="shared" si="53"/>
        <v>-1.8369610425620587E-3</v>
      </c>
      <c r="E147" s="243">
        <f t="shared" si="57"/>
        <v>-4.1147428701889227E-2</v>
      </c>
      <c r="F147" s="244">
        <v>4728.66</v>
      </c>
      <c r="G147" s="170">
        <f t="shared" si="51"/>
        <v>-4.5513106595821496E-3</v>
      </c>
      <c r="H147" s="245">
        <f t="shared" si="58"/>
        <v>-7.1300351552526661E-2</v>
      </c>
      <c r="I147" s="246">
        <v>295669.06</v>
      </c>
      <c r="J147" s="247">
        <v>400000</v>
      </c>
      <c r="K147" s="247">
        <f t="shared" si="44"/>
        <v>285.57000000000698</v>
      </c>
      <c r="L147" s="170">
        <f t="shared" si="52"/>
        <v>9.6677712082014809E-4</v>
      </c>
      <c r="M147" s="248">
        <f t="shared" si="47"/>
        <v>-104330.94</v>
      </c>
      <c r="N147" s="249">
        <f t="shared" si="48"/>
        <v>-0.26082735000000001</v>
      </c>
      <c r="O147" s="182">
        <f t="shared" si="56"/>
        <v>-0.45150326818720377</v>
      </c>
      <c r="P147" s="248" t="b">
        <f t="shared" si="46"/>
        <v>1</v>
      </c>
      <c r="Q147" s="249">
        <f>COUNTIF(P$2:P147, TRUE)/(COUNTIF(P$2:P147,FALSE) + COUNTIF(P$2:P147, TRUE))</f>
        <v>0.46575342465753422</v>
      </c>
      <c r="R147" s="247"/>
      <c r="S147" s="247"/>
      <c r="T147" s="247"/>
      <c r="U147" s="247"/>
      <c r="V147" s="249">
        <f>STDEV(D$2:D147)*SQRT(252)</f>
        <v>0.20069995386729664</v>
      </c>
      <c r="W147" s="249">
        <f>STDEV(L$2:L147)*SQRT(252)</f>
        <v>0.41162261053938765</v>
      </c>
      <c r="X147" s="173">
        <f t="shared" si="35"/>
        <v>-1.2995884900524679</v>
      </c>
      <c r="Y147" s="173">
        <f t="shared" si="36"/>
        <v>-1.0968864601377382</v>
      </c>
      <c r="Z147" s="794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1">
        <v>42445</v>
      </c>
      <c r="C148" s="242">
        <v>2027.22</v>
      </c>
      <c r="D148" s="170">
        <f t="shared" si="53"/>
        <v>5.6003928707841853E-3</v>
      </c>
      <c r="E148" s="243">
        <f t="shared" si="57"/>
        <v>-3.5777477597458203E-2</v>
      </c>
      <c r="F148" s="244">
        <v>4763.97</v>
      </c>
      <c r="G148" s="170">
        <f t="shared" si="51"/>
        <v>7.467231731611154E-3</v>
      </c>
      <c r="H148" s="245">
        <f t="shared" si="58"/>
        <v>-6.4365536068503565E-2</v>
      </c>
      <c r="I148" s="246">
        <v>297622.03999999998</v>
      </c>
      <c r="J148" s="247">
        <v>400000</v>
      </c>
      <c r="K148" s="247">
        <f t="shared" si="44"/>
        <v>1952.9799999999814</v>
      </c>
      <c r="L148" s="170">
        <f t="shared" si="52"/>
        <v>6.6052903878409917E-3</v>
      </c>
      <c r="M148" s="248">
        <f t="shared" si="47"/>
        <v>-102377.96000000002</v>
      </c>
      <c r="N148" s="249">
        <f t="shared" si="48"/>
        <v>-0.25594490000000003</v>
      </c>
      <c r="O148" s="182">
        <f t="shared" si="56"/>
        <v>-0.44096167323113211</v>
      </c>
      <c r="P148" s="248" t="b">
        <f t="shared" si="46"/>
        <v>1</v>
      </c>
      <c r="Q148" s="249">
        <f>COUNTIF(P$2:P148, TRUE)/(COUNTIF(P$2:P148,FALSE) + COUNTIF(P$2:P148, TRUE))</f>
        <v>0.46938775510204084</v>
      </c>
      <c r="R148" s="247">
        <v>208116.46</v>
      </c>
      <c r="S148" s="247">
        <f t="shared" ref="S148:S153" si="59">I148-R148</f>
        <v>89505.579999999987</v>
      </c>
      <c r="T148" s="247"/>
      <c r="U148" s="247"/>
      <c r="V148" s="249">
        <f>STDEV(D$2:D148)*SQRT(252)</f>
        <v>0.20015232316185677</v>
      </c>
      <c r="W148" s="249">
        <f>STDEV(L$2:L148)*SQRT(252)</f>
        <v>0.41032597832718526</v>
      </c>
      <c r="X148" s="173">
        <f t="shared" si="35"/>
        <v>-1.2787505833395978</v>
      </c>
      <c r="Y148" s="173">
        <f t="shared" si="36"/>
        <v>-1.0746618457569814</v>
      </c>
      <c r="Z148" s="794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1">
        <v>42446</v>
      </c>
      <c r="C149" s="242">
        <v>2040.59</v>
      </c>
      <c r="D149" s="170">
        <f t="shared" si="53"/>
        <v>6.5952387999328593E-3</v>
      </c>
      <c r="E149" s="243">
        <f t="shared" si="57"/>
        <v>-2.9418199805939828E-2</v>
      </c>
      <c r="F149" s="244">
        <v>4774.9799999999996</v>
      </c>
      <c r="G149" s="170">
        <f t="shared" si="51"/>
        <v>2.3110976769373671E-3</v>
      </c>
      <c r="H149" s="245">
        <f t="shared" si="58"/>
        <v>-6.2203193432448942E-2</v>
      </c>
      <c r="I149" s="246">
        <v>298243.74</v>
      </c>
      <c r="J149" s="247">
        <v>400000</v>
      </c>
      <c r="K149" s="247">
        <f t="shared" si="44"/>
        <v>621.70000000001164</v>
      </c>
      <c r="L149" s="170">
        <f t="shared" si="52"/>
        <v>2.0888909974543946E-3</v>
      </c>
      <c r="M149" s="248">
        <f t="shared" si="47"/>
        <v>-101756.26000000001</v>
      </c>
      <c r="N149" s="249">
        <f t="shared" si="48"/>
        <v>-0.25439065</v>
      </c>
      <c r="O149" s="182">
        <f t="shared" si="56"/>
        <v>-0.43622622024647889</v>
      </c>
      <c r="P149" s="248" t="b">
        <f t="shared" si="46"/>
        <v>0</v>
      </c>
      <c r="Q149" s="249">
        <f>COUNTIF(P$2:P149, TRUE)/(COUNTIF(P$2:P149,FALSE) + COUNTIF(P$2:P149, TRUE))</f>
        <v>0.46621621621621623</v>
      </c>
      <c r="R149" s="247">
        <v>201345.75</v>
      </c>
      <c r="S149" s="247">
        <f t="shared" si="59"/>
        <v>96897.989999999991</v>
      </c>
      <c r="T149" s="247"/>
      <c r="U149" s="247"/>
      <c r="V149" s="249">
        <f>STDEV(D$2:D149)*SQRT(252)</f>
        <v>0.19966229894539708</v>
      </c>
      <c r="W149" s="249">
        <f>STDEV(L$2:L149)*SQRT(252)</f>
        <v>0.40893908230401166</v>
      </c>
      <c r="X149" s="173">
        <f t="shared" si="35"/>
        <v>-1.274104582305595</v>
      </c>
      <c r="Y149" s="173">
        <f t="shared" si="36"/>
        <v>-1.0667266571557021</v>
      </c>
      <c r="Z149" s="794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1">
        <v>42447</v>
      </c>
      <c r="C150" s="242">
        <v>2049.56</v>
      </c>
      <c r="D150" s="170">
        <f t="shared" si="53"/>
        <v>4.3957874928329688E-3</v>
      </c>
      <c r="E150" s="243">
        <f t="shared" si="57"/>
        <v>-2.5151728467875473E-2</v>
      </c>
      <c r="F150" s="244">
        <v>4795.6499999999996</v>
      </c>
      <c r="G150" s="170">
        <f t="shared" si="51"/>
        <v>4.3288139426762157E-3</v>
      </c>
      <c r="H150" s="245">
        <f t="shared" si="58"/>
        <v>-5.8143645540782093E-2</v>
      </c>
      <c r="I150" s="246">
        <v>302252.61</v>
      </c>
      <c r="J150" s="247">
        <v>400000</v>
      </c>
      <c r="K150" s="247">
        <f t="shared" si="44"/>
        <v>4008.8699999999953</v>
      </c>
      <c r="L150" s="170">
        <f t="shared" si="52"/>
        <v>1.3441589754742196E-2</v>
      </c>
      <c r="M150" s="248">
        <f t="shared" si="47"/>
        <v>-97747.390000000014</v>
      </c>
      <c r="N150" s="249">
        <f t="shared" si="48"/>
        <v>-0.24436847500000003</v>
      </c>
      <c r="O150" s="182">
        <f t="shared" si="56"/>
        <v>-0.41708217520443935</v>
      </c>
      <c r="P150" s="248" t="b">
        <f t="shared" si="46"/>
        <v>1</v>
      </c>
      <c r="Q150" s="249">
        <f>COUNTIF(P$2:P150, TRUE)/(COUNTIF(P$2:P150,FALSE) + COUNTIF(P$2:P150, TRUE))</f>
        <v>0.46979865771812079</v>
      </c>
      <c r="R150" s="247">
        <v>189023.24</v>
      </c>
      <c r="S150" s="247">
        <f t="shared" si="59"/>
        <v>113229.37</v>
      </c>
      <c r="T150" s="247"/>
      <c r="U150" s="247"/>
      <c r="V150" s="249">
        <f>STDEV(D$2:D150)*SQRT(252)</f>
        <v>0.19906941872329306</v>
      </c>
      <c r="W150" s="249">
        <f>STDEV(L$2:L150)*SQRT(252)</f>
        <v>0.40798335166369004</v>
      </c>
      <c r="X150" s="173">
        <f t="shared" si="35"/>
        <v>-1.2275540691645499</v>
      </c>
      <c r="Y150" s="173">
        <f t="shared" si="36"/>
        <v>-1.0223019481153968</v>
      </c>
      <c r="Z150" s="794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4">
        <v>2051.6</v>
      </c>
      <c r="D151" s="170">
        <f t="shared" si="53"/>
        <v>9.9533558422293736E-4</v>
      </c>
      <c r="E151" s="208">
        <f t="shared" si="57"/>
        <v>-2.4181427294001325E-2</v>
      </c>
      <c r="F151" s="218">
        <v>4808.87</v>
      </c>
      <c r="G151" s="170">
        <f t="shared" si="51"/>
        <v>2.7566648942271132E-3</v>
      </c>
      <c r="H151" s="202">
        <f t="shared" si="58"/>
        <v>-5.5547263193039639E-2</v>
      </c>
      <c r="I151" s="220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1">
        <f t="shared" si="47"/>
        <v>-97602.979999999981</v>
      </c>
      <c r="N151" s="183">
        <f t="shared" si="48"/>
        <v>-0.24400744999999996</v>
      </c>
      <c r="O151" s="182">
        <f t="shared" si="56"/>
        <v>-0.41070839222350225</v>
      </c>
      <c r="P151" s="181" t="b">
        <f t="shared" si="46"/>
        <v>0</v>
      </c>
      <c r="Q151" s="183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3">
        <f>STDEV(D$2:D151)*SQRT(252)</f>
        <v>0.19840080405595206</v>
      </c>
      <c r="W151" s="183">
        <f>STDEV(L$2:L151)*SQRT(252)</f>
        <v>0.40660686098578552</v>
      </c>
      <c r="X151" s="173">
        <f t="shared" si="35"/>
        <v>-1.2298712757796391</v>
      </c>
      <c r="Y151" s="173">
        <f t="shared" si="36"/>
        <v>-1.0100872160095207</v>
      </c>
      <c r="Z151" s="794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4">
        <v>2052.6</v>
      </c>
      <c r="D152" s="170">
        <f t="shared" si="53"/>
        <v>4.8742444921037243E-4</v>
      </c>
      <c r="E152" s="208">
        <f t="shared" si="57"/>
        <v>-2.370578946367085E-2</v>
      </c>
      <c r="F152" s="218">
        <v>4809.87</v>
      </c>
      <c r="G152" s="170">
        <f t="shared" si="51"/>
        <v>2.0794906079806691E-4</v>
      </c>
      <c r="H152" s="202">
        <f t="shared" si="58"/>
        <v>-5.535086513345247E-2</v>
      </c>
      <c r="I152" s="220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1">
        <f t="shared" si="47"/>
        <v>-99072.950000000012</v>
      </c>
      <c r="N152" s="183">
        <f t="shared" si="48"/>
        <v>-0.24768237500000004</v>
      </c>
      <c r="O152" s="182">
        <f t="shared" si="56"/>
        <v>-0.41498159389334865</v>
      </c>
      <c r="P152" s="181" t="b">
        <f t="shared" si="46"/>
        <v>0</v>
      </c>
      <c r="Q152" s="183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3">
        <f>STDEV(D$2:D152)*SQRT(252)</f>
        <v>0.19773530847085422</v>
      </c>
      <c r="W152" s="183">
        <f>STDEV(L$2:L152)*SQRT(252)</f>
        <v>0.40527216981287528</v>
      </c>
      <c r="X152" s="173">
        <f t="shared" si="35"/>
        <v>-1.2525955880889523</v>
      </c>
      <c r="Y152" s="173">
        <f t="shared" si="36"/>
        <v>-1.0239577864055074</v>
      </c>
      <c r="Z152" s="794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4">
        <v>2036.71</v>
      </c>
      <c r="D153" s="170">
        <f t="shared" si="53"/>
        <v>-7.7414011497612166E-3</v>
      </c>
      <c r="E153" s="208">
        <f t="shared" si="57"/>
        <v>-3.1263674587622012E-2</v>
      </c>
      <c r="F153" s="218">
        <v>4768.8599999999997</v>
      </c>
      <c r="G153" s="170">
        <f t="shared" si="51"/>
        <v>-8.5262179643109306E-3</v>
      </c>
      <c r="H153" s="202">
        <f t="shared" si="58"/>
        <v>-6.3405149557122412E-2</v>
      </c>
      <c r="I153" s="220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1">
        <f t="shared" si="47"/>
        <v>-116893.46000000002</v>
      </c>
      <c r="N153" s="183">
        <f t="shared" si="48"/>
        <v>-0.29223365000000007</v>
      </c>
      <c r="O153" s="182">
        <f t="shared" si="56"/>
        <v>-0.48738968339041105</v>
      </c>
      <c r="P153" s="181" t="b">
        <f t="shared" si="46"/>
        <v>0</v>
      </c>
      <c r="Q153" s="183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3">
        <f>STDEV(D$2:D153)*SQRT(252)</f>
        <v>0.19732328223466214</v>
      </c>
      <c r="W153" s="183">
        <f>STDEV(L$2:L153)*SQRT(252)</f>
        <v>0.41087213630897762</v>
      </c>
      <c r="X153" s="173">
        <f t="shared" si="35"/>
        <v>-1.4809892005164802</v>
      </c>
      <c r="Y153" s="173">
        <f t="shared" si="36"/>
        <v>-1.1862320179918258</v>
      </c>
      <c r="Z153" s="794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4">
        <v>2035.94</v>
      </c>
      <c r="D154" s="170">
        <f t="shared" si="53"/>
        <v>-3.7806069592626431E-4</v>
      </c>
      <c r="E154" s="208">
        <f t="shared" si="57"/>
        <v>-3.1629915716976466E-2</v>
      </c>
      <c r="F154" s="218">
        <v>4773.5</v>
      </c>
      <c r="G154" s="170">
        <f t="shared" si="51"/>
        <v>9.7297886706683098E-4</v>
      </c>
      <c r="H154" s="202">
        <f t="shared" si="58"/>
        <v>-6.2493862560637867E-2</v>
      </c>
      <c r="I154" s="220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1">
        <f t="shared" si="47"/>
        <v>-116396.01000000001</v>
      </c>
      <c r="N154" s="183">
        <f t="shared" si="48"/>
        <v>-0.29099002500000004</v>
      </c>
      <c r="O154" s="182">
        <f t="shared" si="56"/>
        <v>-0.48310957559659101</v>
      </c>
      <c r="P154" s="181" t="b">
        <f t="shared" si="46"/>
        <v>1</v>
      </c>
      <c r="Q154" s="183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3">
        <f>STDEV(D$2:D154)*SQRT(252)</f>
        <v>0.19666906063244452</v>
      </c>
      <c r="W154" s="183">
        <f>STDEV(L$2:L154)*SQRT(252)</f>
        <v>0.40952879368350692</v>
      </c>
      <c r="X154" s="173">
        <f t="shared" si="35"/>
        <v>-1.4795922859662827</v>
      </c>
      <c r="Y154" s="173">
        <f t="shared" si="36"/>
        <v>-1.1796718156280581</v>
      </c>
      <c r="Z154" s="794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1">
        <v>42457</v>
      </c>
      <c r="C155" s="242">
        <v>2037.05</v>
      </c>
      <c r="D155" s="170">
        <f t="shared" si="53"/>
        <v>5.4520270734889045E-4</v>
      </c>
      <c r="E155" s="243">
        <f t="shared" si="57"/>
        <v>-3.1101957725309687E-2</v>
      </c>
      <c r="F155" s="244">
        <v>4766.78</v>
      </c>
      <c r="G155" s="170">
        <f t="shared" si="51"/>
        <v>-1.4077720749974348E-3</v>
      </c>
      <c r="H155" s="245">
        <f t="shared" si="58"/>
        <v>-6.3813657521063702E-2</v>
      </c>
      <c r="I155" s="246">
        <v>281306.2</v>
      </c>
      <c r="J155" s="247">
        <v>400000</v>
      </c>
      <c r="K155" s="247">
        <f t="shared" si="60"/>
        <v>-2297.789999999979</v>
      </c>
      <c r="L155" s="170">
        <f t="shared" si="52"/>
        <v>-8.1021074491934297E-3</v>
      </c>
      <c r="M155" s="248">
        <f t="shared" si="47"/>
        <v>-118693.79999999999</v>
      </c>
      <c r="N155" s="249">
        <f t="shared" si="48"/>
        <v>-0.29673449999999996</v>
      </c>
      <c r="O155" s="182">
        <f t="shared" si="56"/>
        <v>-0.48384944698660709</v>
      </c>
      <c r="P155" s="248" t="b">
        <f t="shared" ref="P155:P191" si="62">L155&gt;D155</f>
        <v>0</v>
      </c>
      <c r="Q155" s="249">
        <f>COUNTIF(P$2:P155, TRUE)/(COUNTIF(P$2:P155,FALSE) + COUNTIF(P$2:P155, TRUE))</f>
        <v>0.46103896103896103</v>
      </c>
      <c r="R155" s="247">
        <v>231480.83</v>
      </c>
      <c r="S155" s="247">
        <f t="shared" si="61"/>
        <v>49825.370000000024</v>
      </c>
      <c r="T155" s="247"/>
      <c r="U155" s="247"/>
      <c r="V155" s="249">
        <f>STDEV(D$2:D155)*SQRT(252)</f>
        <v>0.19602299974071929</v>
      </c>
      <c r="W155" s="249">
        <f>STDEV(L$2:L155)*SQRT(252)</f>
        <v>0.40827222780986738</v>
      </c>
      <c r="X155" s="173">
        <f t="shared" ref="X155:X218" si="63">N155/V155</f>
        <v>-1.5137738958820768</v>
      </c>
      <c r="Y155" s="173">
        <f t="shared" ref="Y155:Y218" si="64">O155/W155</f>
        <v>-1.185114769089648</v>
      </c>
      <c r="Z155" s="794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1">
        <v>42458</v>
      </c>
      <c r="C156" s="242">
        <v>2055.0100000000002</v>
      </c>
      <c r="D156" s="170">
        <f t="shared" si="53"/>
        <v>8.8166711666381598E-3</v>
      </c>
      <c r="E156" s="243">
        <f t="shared" si="57"/>
        <v>-2.2559502292574262E-2</v>
      </c>
      <c r="F156" s="244">
        <v>4846.62</v>
      </c>
      <c r="G156" s="170">
        <f t="shared" si="51"/>
        <v>1.6749252115683993E-2</v>
      </c>
      <c r="H156" s="245">
        <f t="shared" si="58"/>
        <v>-4.8133236443623925E-2</v>
      </c>
      <c r="I156" s="246">
        <v>285322.46999999997</v>
      </c>
      <c r="J156" s="247">
        <v>400000</v>
      </c>
      <c r="K156" s="247">
        <f t="shared" si="60"/>
        <v>4016.2699999999604</v>
      </c>
      <c r="L156" s="170">
        <f t="shared" si="52"/>
        <v>1.4277218205641967E-2</v>
      </c>
      <c r="M156" s="248">
        <f t="shared" si="47"/>
        <v>-114677.53000000003</v>
      </c>
      <c r="N156" s="249">
        <f t="shared" si="48"/>
        <v>-0.28669382500000007</v>
      </c>
      <c r="O156" s="182">
        <f t="shared" si="56"/>
        <v>-0.46539964258333344</v>
      </c>
      <c r="P156" s="248" t="b">
        <f t="shared" si="62"/>
        <v>1</v>
      </c>
      <c r="Q156" s="249">
        <f>COUNTIF(P$2:P156, TRUE)/(COUNTIF(P$2:P156,FALSE) + COUNTIF(P$2:P156, TRUE))</f>
        <v>0.46451612903225808</v>
      </c>
      <c r="R156" s="247">
        <v>235497.1</v>
      </c>
      <c r="S156" s="247">
        <f t="shared" si="61"/>
        <v>49825.369999999966</v>
      </c>
      <c r="T156" s="247"/>
      <c r="U156" s="247"/>
      <c r="V156" s="249">
        <f>STDEV(D$2:D156)*SQRT(252)</f>
        <v>0.19571630227727144</v>
      </c>
      <c r="W156" s="249">
        <f>STDEV(L$2:L156)*SQRT(252)</f>
        <v>0.4074274282139313</v>
      </c>
      <c r="X156" s="173">
        <f t="shared" si="63"/>
        <v>-1.4648438666792341</v>
      </c>
      <c r="Y156" s="173">
        <f t="shared" si="64"/>
        <v>-1.1422884429345836</v>
      </c>
      <c r="Z156" s="794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1">
        <v>42459</v>
      </c>
      <c r="C157" s="242">
        <v>2063.9499999999998</v>
      </c>
      <c r="D157" s="170">
        <f t="shared" si="53"/>
        <v>4.3503437939472799E-3</v>
      </c>
      <c r="E157" s="243">
        <f t="shared" si="57"/>
        <v>-1.8307300089420026E-2</v>
      </c>
      <c r="F157" s="244">
        <v>4869.29</v>
      </c>
      <c r="G157" s="170">
        <f t="shared" si="51"/>
        <v>4.6774865782751845E-3</v>
      </c>
      <c r="H157" s="245">
        <f t="shared" si="58"/>
        <v>-4.3680892432782739E-2</v>
      </c>
      <c r="I157" s="246">
        <v>288126.49</v>
      </c>
      <c r="J157" s="247">
        <v>400000</v>
      </c>
      <c r="K157" s="247">
        <f t="shared" si="60"/>
        <v>2804.0200000000186</v>
      </c>
      <c r="L157" s="170">
        <f t="shared" si="52"/>
        <v>9.8275470557927635E-3</v>
      </c>
      <c r="M157" s="248">
        <f t="shared" si="47"/>
        <v>-111873.51000000001</v>
      </c>
      <c r="N157" s="249">
        <f t="shared" si="48"/>
        <v>-0.27968377500000002</v>
      </c>
      <c r="O157" s="182">
        <f t="shared" si="56"/>
        <v>-0.45201105672013281</v>
      </c>
      <c r="P157" s="248" t="b">
        <f t="shared" si="62"/>
        <v>1</v>
      </c>
      <c r="Q157" s="249">
        <f>COUNTIF(P$2:P157, TRUE)/(COUNTIF(P$2:P157,FALSE) + COUNTIF(P$2:P157, TRUE))</f>
        <v>0.46794871794871795</v>
      </c>
      <c r="R157" s="247">
        <v>216771.49</v>
      </c>
      <c r="S157" s="247">
        <f t="shared" si="61"/>
        <v>71355</v>
      </c>
      <c r="T157" s="247"/>
      <c r="U157" s="247"/>
      <c r="V157" s="249">
        <f>STDEV(D$2:D157)*SQRT(252)</f>
        <v>0.19516132328288105</v>
      </c>
      <c r="W157" s="249">
        <f>STDEV(L$2:L157)*SQRT(252)</f>
        <v>0.40634858436204313</v>
      </c>
      <c r="X157" s="173">
        <f t="shared" si="63"/>
        <v>-1.4330901753243699</v>
      </c>
      <c r="Y157" s="173">
        <f t="shared" si="64"/>
        <v>-1.1123726625743722</v>
      </c>
      <c r="Z157" s="794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1">
        <v>42460</v>
      </c>
      <c r="C158" s="242">
        <v>2059.7399999999998</v>
      </c>
      <c r="D158" s="170">
        <f t="shared" si="53"/>
        <v>-2.0397780953996156E-3</v>
      </c>
      <c r="E158" s="243">
        <f t="shared" si="57"/>
        <v>-2.0309735355111335E-2</v>
      </c>
      <c r="F158" s="244">
        <v>4869.84</v>
      </c>
      <c r="G158" s="170">
        <f t="shared" si="51"/>
        <v>1.129528124223823E-4</v>
      </c>
      <c r="H158" s="245">
        <f t="shared" si="58"/>
        <v>-4.3572873500009754E-2</v>
      </c>
      <c r="I158" s="464">
        <v>295667.37</v>
      </c>
      <c r="J158" s="247">
        <v>400000</v>
      </c>
      <c r="K158" s="247">
        <f t="shared" si="60"/>
        <v>7540.8800000000047</v>
      </c>
      <c r="L158" s="170">
        <f t="shared" si="52"/>
        <v>2.6172116281290222E-2</v>
      </c>
      <c r="M158" s="248">
        <f t="shared" ref="M158:M191" si="66">I158-J158</f>
        <v>-104332.63</v>
      </c>
      <c r="N158" s="249">
        <f t="shared" ref="N158:N189" si="67">M158/J158</f>
        <v>-0.26083157500000004</v>
      </c>
      <c r="O158" s="182">
        <f t="shared" si="56"/>
        <v>-0.41968604743942739</v>
      </c>
      <c r="P158" s="248" t="b">
        <f t="shared" si="62"/>
        <v>1</v>
      </c>
      <c r="Q158" s="249">
        <f>COUNTIF(P$2:P158, TRUE)/(COUNTIF(P$2:P158,FALSE) + COUNTIF(P$2:P158, TRUE))</f>
        <v>0.4713375796178344</v>
      </c>
      <c r="R158" s="247">
        <v>202826.77</v>
      </c>
      <c r="S158" s="247">
        <f t="shared" si="61"/>
        <v>92840.6</v>
      </c>
      <c r="T158" s="247"/>
      <c r="U158" s="247"/>
      <c r="V158" s="249">
        <f>STDEV(D$2:D158)*SQRT(252)</f>
        <v>0.19454728889036682</v>
      </c>
      <c r="W158" s="249">
        <f>STDEV(L$2:L158)*SQRT(252)</f>
        <v>0.40652602523849884</v>
      </c>
      <c r="X158" s="173">
        <f t="shared" si="63"/>
        <v>-1.3407104076736138</v>
      </c>
      <c r="Y158" s="173">
        <f t="shared" si="64"/>
        <v>-1.0323719058163814</v>
      </c>
      <c r="Z158" s="794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1">
        <v>42461</v>
      </c>
      <c r="C159" s="242">
        <v>2072.7800000000002</v>
      </c>
      <c r="D159" s="170">
        <f t="shared" si="53"/>
        <v>6.3308961325217843E-3</v>
      </c>
      <c r="E159" s="243">
        <f t="shared" si="57"/>
        <v>-1.4107418047601765E-2</v>
      </c>
      <c r="F159" s="244">
        <v>4914.54</v>
      </c>
      <c r="G159" s="170">
        <f t="shared" si="51"/>
        <v>9.1789463308855762E-3</v>
      </c>
      <c r="H159" s="245">
        <f t="shared" si="58"/>
        <v>-3.4793880236463237E-2</v>
      </c>
      <c r="I159" s="246">
        <v>293885.49</v>
      </c>
      <c r="J159" s="247">
        <v>400000</v>
      </c>
      <c r="K159" s="247">
        <f t="shared" si="60"/>
        <v>-1781.8800000000047</v>
      </c>
      <c r="L159" s="170">
        <f t="shared" si="52"/>
        <v>-6.026637298529103E-3</v>
      </c>
      <c r="M159" s="248">
        <f t="shared" si="66"/>
        <v>-106114.51000000001</v>
      </c>
      <c r="N159" s="249">
        <f t="shared" si="67"/>
        <v>-0.26528627500000002</v>
      </c>
      <c r="O159" s="182">
        <f t="shared" si="56"/>
        <v>-0.42498163133223682</v>
      </c>
      <c r="P159" s="248" t="b">
        <f t="shared" si="62"/>
        <v>0</v>
      </c>
      <c r="Q159" s="249">
        <f>COUNTIF(P$2:P159, TRUE)/(COUNTIF(P$2:P159,FALSE) + COUNTIF(P$2:P159, TRUE))</f>
        <v>0.46835443037974683</v>
      </c>
      <c r="R159" s="247">
        <v>199513.83</v>
      </c>
      <c r="S159" s="247">
        <f t="shared" si="61"/>
        <v>94371.66</v>
      </c>
      <c r="T159" s="247"/>
      <c r="U159" s="247"/>
      <c r="V159" s="249">
        <f>STDEV(D$2:D159)*SQRT(252)</f>
        <v>0.19409152607046717</v>
      </c>
      <c r="W159" s="249">
        <f>STDEV(L$2:L159)*SQRT(252)</f>
        <v>0.40527068703901437</v>
      </c>
      <c r="X159" s="173">
        <f t="shared" si="63"/>
        <v>-1.3668101867759275</v>
      </c>
      <c r="Y159" s="173">
        <f t="shared" si="64"/>
        <v>-1.0486364914206709</v>
      </c>
      <c r="Z159" s="794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4">
        <v>2066.13</v>
      </c>
      <c r="D160" s="170">
        <f t="shared" si="53"/>
        <v>-3.2082517199124318E-3</v>
      </c>
      <c r="E160" s="208">
        <f t="shared" si="57"/>
        <v>-1.7270409619299456E-2</v>
      </c>
      <c r="F160" s="218">
        <v>4891.79</v>
      </c>
      <c r="G160" s="170">
        <f t="shared" si="51"/>
        <v>-4.6291209350213854E-3</v>
      </c>
      <c r="H160" s="202">
        <f t="shared" si="58"/>
        <v>-3.9261936092071383E-2</v>
      </c>
      <c r="I160" s="220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1">
        <f t="shared" si="66"/>
        <v>-108617.95000000001</v>
      </c>
      <c r="N160" s="183">
        <f t="shared" si="67"/>
        <v>-0.27154487500000002</v>
      </c>
      <c r="O160" s="182">
        <f t="shared" si="56"/>
        <v>-0.42935829261363634</v>
      </c>
      <c r="P160" s="181" t="b">
        <f t="shared" si="62"/>
        <v>0</v>
      </c>
      <c r="Q160" s="183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3">
        <f>STDEV(D$2:D160)*SQRT(252)</f>
        <v>0.19351440870684267</v>
      </c>
      <c r="W160" s="183">
        <f>STDEV(L$2:L160)*SQRT(252)</f>
        <v>0.40408811296561892</v>
      </c>
      <c r="X160" s="173">
        <f t="shared" si="63"/>
        <v>-1.4032281979135035</v>
      </c>
      <c r="Y160" s="173">
        <f t="shared" si="64"/>
        <v>-1.0625363103669607</v>
      </c>
      <c r="Z160" s="794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4">
        <v>2045.17</v>
      </c>
      <c r="D161" s="170">
        <f t="shared" si="53"/>
        <v>-1.0144569799577004E-2</v>
      </c>
      <c r="E161" s="208">
        <f t="shared" si="57"/>
        <v>-2.7239778543026189E-2</v>
      </c>
      <c r="F161" s="218">
        <v>4843.93</v>
      </c>
      <c r="G161" s="170">
        <f t="shared" si="51"/>
        <v>-9.7837396944676028E-3</v>
      </c>
      <c r="H161" s="202">
        <f t="shared" si="58"/>
        <v>-4.8661547223913339E-2</v>
      </c>
      <c r="I161" s="220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1">
        <f t="shared" si="66"/>
        <v>-110090.32</v>
      </c>
      <c r="N161" s="183">
        <f t="shared" si="67"/>
        <v>-0.27522580000000002</v>
      </c>
      <c r="O161" s="182">
        <f t="shared" si="56"/>
        <v>-0.43330268728448279</v>
      </c>
      <c r="P161" s="181" t="b">
        <f t="shared" si="62"/>
        <v>1</v>
      </c>
      <c r="Q161" s="183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3">
        <f>STDEV(D$2:D161)*SQRT(252)</f>
        <v>0.19332034289533651</v>
      </c>
      <c r="W161" s="183">
        <f>STDEV(L$2:L161)*SQRT(252)</f>
        <v>0.40283814257892614</v>
      </c>
      <c r="X161" s="173">
        <f t="shared" si="63"/>
        <v>-1.4236773837557648</v>
      </c>
      <c r="Y161" s="173">
        <f t="shared" si="64"/>
        <v>-1.0756247770147234</v>
      </c>
      <c r="Z161" s="794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4">
        <v>2066.66</v>
      </c>
      <c r="D162" s="170">
        <f t="shared" si="53"/>
        <v>1.0507683957812691E-2</v>
      </c>
      <c r="E162" s="208">
        <f t="shared" si="57"/>
        <v>-1.7018321569224424E-2</v>
      </c>
      <c r="F162" s="218">
        <v>4920.71</v>
      </c>
      <c r="G162" s="170">
        <f t="shared" si="51"/>
        <v>1.5850765803799755E-2</v>
      </c>
      <c r="H162" s="202">
        <f t="shared" si="58"/>
        <v>-3.3582104208810373E-2</v>
      </c>
      <c r="I162" s="220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1">
        <f t="shared" si="66"/>
        <v>-105199.72999999998</v>
      </c>
      <c r="N162" s="183">
        <f t="shared" si="67"/>
        <v>-0.26299932499999995</v>
      </c>
      <c r="O162" s="182">
        <f t="shared" si="56"/>
        <v>-0.41227683886802569</v>
      </c>
      <c r="P162" s="181" t="b">
        <f t="shared" si="62"/>
        <v>1</v>
      </c>
      <c r="Q162" s="183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3">
        <f>STDEV(D$2:D162)*SQRT(252)</f>
        <v>0.19317071885367709</v>
      </c>
      <c r="W162" s="183">
        <f>STDEV(L$2:L162)*SQRT(252)</f>
        <v>0.40220348115797722</v>
      </c>
      <c r="X162" s="173">
        <f t="shared" si="63"/>
        <v>-1.3614864952654475</v>
      </c>
      <c r="Y162" s="173">
        <f t="shared" si="64"/>
        <v>-1.0250454264618656</v>
      </c>
      <c r="Z162" s="794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4">
        <v>2041.91</v>
      </c>
      <c r="D163" s="170">
        <f t="shared" si="53"/>
        <v>-1.1975845083371128E-2</v>
      </c>
      <c r="E163" s="208">
        <f t="shared" si="57"/>
        <v>-2.8790357869903527E-2</v>
      </c>
      <c r="F163" s="218">
        <v>4848.3599999999997</v>
      </c>
      <c r="G163" s="170">
        <f t="shared" si="51"/>
        <v>-1.4703162754968361E-2</v>
      </c>
      <c r="H163" s="202">
        <f t="shared" si="58"/>
        <v>-4.7791503819942287E-2</v>
      </c>
      <c r="I163" s="220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1">
        <f t="shared" si="66"/>
        <v>-103587.88</v>
      </c>
      <c r="N163" s="183">
        <f t="shared" si="67"/>
        <v>-0.25896970000000002</v>
      </c>
      <c r="O163" s="182">
        <f t="shared" si="56"/>
        <v>-0.40422514070512827</v>
      </c>
      <c r="P163" s="181" t="b">
        <f t="shared" si="62"/>
        <v>1</v>
      </c>
      <c r="Q163" s="183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3">
        <f>STDEV(D$2:D163)*SQRT(252)</f>
        <v>0.19314485515344837</v>
      </c>
      <c r="W163" s="183">
        <f>STDEV(L$2:L163)*SQRT(252)</f>
        <v>0.40102645372059886</v>
      </c>
      <c r="X163" s="173">
        <f t="shared" si="63"/>
        <v>-1.3408055823918044</v>
      </c>
      <c r="Y163" s="173">
        <f t="shared" si="64"/>
        <v>-1.0079762493343094</v>
      </c>
      <c r="Z163" s="794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4">
        <v>2047.6</v>
      </c>
      <c r="D164" s="170">
        <f t="shared" si="53"/>
        <v>2.7866066574921654E-3</v>
      </c>
      <c r="E164" s="208">
        <f t="shared" si="57"/>
        <v>-2.6083978615323217E-2</v>
      </c>
      <c r="F164" s="218">
        <v>4850.6899999999996</v>
      </c>
      <c r="G164" s="170">
        <f t="shared" si="51"/>
        <v>4.8057487480301122E-4</v>
      </c>
      <c r="H164" s="202">
        <f t="shared" si="58"/>
        <v>-4.7333896341104194E-2</v>
      </c>
      <c r="I164" s="220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1">
        <f t="shared" si="66"/>
        <v>-96438.830000000016</v>
      </c>
      <c r="N164" s="183">
        <f t="shared" si="67"/>
        <v>-0.24109707500000005</v>
      </c>
      <c r="O164" s="182">
        <f t="shared" si="56"/>
        <v>-0.37472641125000006</v>
      </c>
      <c r="P164" s="181" t="b">
        <f t="shared" si="62"/>
        <v>1</v>
      </c>
      <c r="Q164" s="183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3">
        <f>STDEV(D$2:D164)*SQRT(252)</f>
        <v>0.19257792977422014</v>
      </c>
      <c r="W164" s="183">
        <f>STDEV(L$2:L164)*SQRT(252)</f>
        <v>0.40100153728117882</v>
      </c>
      <c r="X164" s="173">
        <f t="shared" si="63"/>
        <v>-1.2519455125655579</v>
      </c>
      <c r="Y164" s="173">
        <f t="shared" si="64"/>
        <v>-0.93447624612781754</v>
      </c>
      <c r="Z164" s="794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1">
        <v>42471</v>
      </c>
      <c r="C165" s="242">
        <v>2041.99</v>
      </c>
      <c r="D165" s="170">
        <f t="shared" si="53"/>
        <v>-2.7397929283062613E-3</v>
      </c>
      <c r="E165" s="243">
        <f t="shared" si="57"/>
        <v>-2.8752306843477123E-2</v>
      </c>
      <c r="F165" s="244">
        <v>4833.3900000000003</v>
      </c>
      <c r="G165" s="170">
        <f t="shared" si="51"/>
        <v>-3.5665029098951436E-3</v>
      </c>
      <c r="H165" s="245">
        <f t="shared" si="58"/>
        <v>-5.0731582771962117E-2</v>
      </c>
      <c r="I165" s="246">
        <v>301374.21999999997</v>
      </c>
      <c r="J165" s="247">
        <v>400000</v>
      </c>
      <c r="K165" s="247">
        <f t="shared" si="60"/>
        <v>-2186.9500000000116</v>
      </c>
      <c r="L165" s="170">
        <f t="shared" si="52"/>
        <v>-7.2043140431960117E-3</v>
      </c>
      <c r="M165" s="248">
        <f t="shared" si="66"/>
        <v>-98625.780000000028</v>
      </c>
      <c r="N165" s="249">
        <f t="shared" si="67"/>
        <v>-0.24656445000000007</v>
      </c>
      <c r="O165" s="182">
        <f t="shared" si="56"/>
        <v>-0.3783935519432774</v>
      </c>
      <c r="P165" s="248" t="b">
        <f t="shared" si="62"/>
        <v>0</v>
      </c>
      <c r="Q165" s="249">
        <f>COUNTIF(P$2:P165, TRUE)/(COUNTIF(P$2:P165,FALSE) + COUNTIF(P$2:P165, TRUE))</f>
        <v>0.47560975609756095</v>
      </c>
      <c r="R165" s="247">
        <v>209823.35</v>
      </c>
      <c r="S165" s="247">
        <f t="shared" si="61"/>
        <v>91550.869999999966</v>
      </c>
      <c r="T165" s="247"/>
      <c r="U165" s="247"/>
      <c r="V165" s="249">
        <f>STDEV(D$2:D165)*SQRT(252)</f>
        <v>0.19201090434466217</v>
      </c>
      <c r="W165" s="249">
        <f>STDEV(L$2:L165)*SQRT(252)</f>
        <v>0.39984095752163645</v>
      </c>
      <c r="X165" s="173">
        <f t="shared" si="63"/>
        <v>-1.2841169143051041</v>
      </c>
      <c r="Y165" s="173">
        <f t="shared" si="64"/>
        <v>-0.9463601585207827</v>
      </c>
      <c r="Z165" s="794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1">
        <v>42472</v>
      </c>
      <c r="C166" s="242">
        <v>2061.7199999999998</v>
      </c>
      <c r="D166" s="170">
        <f>(C166-C165)/C165</f>
        <v>9.6621433013872691E-3</v>
      </c>
      <c r="E166" s="243">
        <f t="shared" si="57"/>
        <v>-1.9367972451056988E-2</v>
      </c>
      <c r="F166" s="244">
        <v>4872.09</v>
      </c>
      <c r="G166" s="170">
        <f t="shared" ref="G166:G171" si="68">(F166-F165)/F165</f>
        <v>8.0068026788651069E-3</v>
      </c>
      <c r="H166" s="245">
        <f t="shared" si="58"/>
        <v>-4.313097786593862E-2</v>
      </c>
      <c r="I166" s="246">
        <v>314750.48</v>
      </c>
      <c r="J166" s="247">
        <v>400000</v>
      </c>
      <c r="K166" s="247">
        <f t="shared" si="60"/>
        <v>13376.260000000009</v>
      </c>
      <c r="L166" s="170">
        <f t="shared" si="52"/>
        <v>4.438422105248422E-2</v>
      </c>
      <c r="M166" s="248">
        <f t="shared" si="66"/>
        <v>-85249.520000000019</v>
      </c>
      <c r="N166" s="249">
        <f t="shared" si="67"/>
        <v>-0.21312380000000006</v>
      </c>
      <c r="O166" s="182">
        <f t="shared" si="56"/>
        <v>-0.32570488682008375</v>
      </c>
      <c r="P166" s="248" t="b">
        <f t="shared" si="62"/>
        <v>1</v>
      </c>
      <c r="Q166" s="249">
        <f>COUNTIF(P$2:P166, TRUE)/(COUNTIF(P$2:P166,FALSE) + COUNTIF(P$2:P166, TRUE))</f>
        <v>0.47878787878787876</v>
      </c>
      <c r="R166" s="247">
        <v>212987.96</v>
      </c>
      <c r="S166" s="247">
        <f t="shared" si="61"/>
        <v>101762.51999999999</v>
      </c>
      <c r="T166" s="247"/>
      <c r="U166" s="247"/>
      <c r="V166" s="249">
        <f>STDEV(D$2:D166)*SQRT(252)</f>
        <v>0.19180360559269574</v>
      </c>
      <c r="W166" s="249">
        <f>STDEV(L$2:L166)*SQRT(252)</f>
        <v>0.40253727965834457</v>
      </c>
      <c r="X166" s="173">
        <f t="shared" si="63"/>
        <v>-1.1111563796802588</v>
      </c>
      <c r="Y166" s="173">
        <f t="shared" si="64"/>
        <v>-0.80912974593689146</v>
      </c>
      <c r="Z166" s="794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1">
        <v>42473</v>
      </c>
      <c r="C167" s="242">
        <v>2082.42</v>
      </c>
      <c r="D167" s="170">
        <f>(C167-C166)/C166</f>
        <v>1.0040160642570415E-2</v>
      </c>
      <c r="E167" s="243">
        <f t="shared" si="57"/>
        <v>-9.522269363216063E-3</v>
      </c>
      <c r="F167" s="244">
        <v>4947.42</v>
      </c>
      <c r="G167" s="170">
        <f t="shared" si="68"/>
        <v>1.5461537040571896E-2</v>
      </c>
      <c r="H167" s="245">
        <f t="shared" si="58"/>
        <v>-2.8336312037237021E-2</v>
      </c>
      <c r="I167" s="246">
        <v>317683.34999999998</v>
      </c>
      <c r="J167" s="247">
        <v>400000</v>
      </c>
      <c r="K167" s="247">
        <f t="shared" si="60"/>
        <v>2932.8699999999953</v>
      </c>
      <c r="L167" s="170">
        <f t="shared" si="52"/>
        <v>9.3180795149224102E-3</v>
      </c>
      <c r="M167" s="248">
        <f t="shared" si="66"/>
        <v>-82316.650000000023</v>
      </c>
      <c r="N167" s="249">
        <f t="shared" si="67"/>
        <v>-0.20579162500000006</v>
      </c>
      <c r="O167" s="182">
        <f t="shared" si="56"/>
        <v>-0.31318912929687509</v>
      </c>
      <c r="P167" s="248" t="b">
        <f t="shared" si="62"/>
        <v>0</v>
      </c>
      <c r="Q167" s="249">
        <f>COUNTIF(P$2:P167, TRUE)/(COUNTIF(P$2:P167,FALSE) + COUNTIF(P$2:P167, TRUE))</f>
        <v>0.4759036144578313</v>
      </c>
      <c r="R167" s="247">
        <v>219889.91</v>
      </c>
      <c r="S167" s="247">
        <f t="shared" si="61"/>
        <v>97793.439999999973</v>
      </c>
      <c r="T167" s="247"/>
      <c r="U167" s="247"/>
      <c r="V167" s="249">
        <f>STDEV(D$2:D167)*SQRT(252)</f>
        <v>0.19162382789500107</v>
      </c>
      <c r="W167" s="249">
        <f>STDEV(L$2:L167)*SQRT(252)</f>
        <v>0.40149438106382634</v>
      </c>
      <c r="X167" s="173">
        <f t="shared" si="63"/>
        <v>-1.0739354664846907</v>
      </c>
      <c r="Y167" s="173">
        <f t="shared" si="64"/>
        <v>-0.78005856138516372</v>
      </c>
      <c r="Z167" s="794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1">
        <v>42474</v>
      </c>
      <c r="C168" s="242">
        <v>2082.7800000000002</v>
      </c>
      <c r="D168" s="170">
        <f>(C168-C167)/C167</f>
        <v>1.728757887458473E-4</v>
      </c>
      <c r="E168" s="243">
        <f t="shared" si="57"/>
        <v>-9.3510397442970322E-3</v>
      </c>
      <c r="F168" s="244">
        <v>4945.88</v>
      </c>
      <c r="G168" s="170">
        <f t="shared" si="68"/>
        <v>-3.1127335055442304E-4</v>
      </c>
      <c r="H168" s="245">
        <f t="shared" si="58"/>
        <v>-2.8638765049001261E-2</v>
      </c>
      <c r="I168" s="246">
        <v>317242.28999999998</v>
      </c>
      <c r="J168" s="247">
        <v>400000</v>
      </c>
      <c r="K168" s="247">
        <f t="shared" si="60"/>
        <v>-441.05999999999767</v>
      </c>
      <c r="L168" s="170">
        <f t="shared" si="52"/>
        <v>-1.3883636016807229E-3</v>
      </c>
      <c r="M168" s="248">
        <f t="shared" si="66"/>
        <v>-82757.710000000021</v>
      </c>
      <c r="N168" s="249">
        <f t="shared" si="67"/>
        <v>-0.20689427500000004</v>
      </c>
      <c r="O168" s="182">
        <f t="shared" si="56"/>
        <v>-0.3135607217582988</v>
      </c>
      <c r="P168" s="248" t="b">
        <f t="shared" si="62"/>
        <v>0</v>
      </c>
      <c r="Q168" s="249">
        <f>COUNTIF(P$2:P168, TRUE)/(COUNTIF(P$2:P168,FALSE) + COUNTIF(P$2:P168, TRUE))</f>
        <v>0.47305389221556887</v>
      </c>
      <c r="R168" s="247">
        <v>220158.43</v>
      </c>
      <c r="S168" s="247">
        <f t="shared" si="61"/>
        <v>97083.859999999986</v>
      </c>
      <c r="T168" s="247"/>
      <c r="U168" s="247"/>
      <c r="V168" s="249">
        <f>STDEV(D$2:D168)*SQRT(252)</f>
        <v>0.19104236676485162</v>
      </c>
      <c r="W168" s="249">
        <f>STDEV(L$2:L168)*SQRT(252)</f>
        <v>0.40027732610236538</v>
      </c>
      <c r="X168" s="173">
        <f t="shared" si="63"/>
        <v>-1.0829758786157631</v>
      </c>
      <c r="Y168" s="173">
        <f t="shared" si="64"/>
        <v>-0.78335868986521107</v>
      </c>
      <c r="Z168" s="794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1">
        <v>42475</v>
      </c>
      <c r="C169" s="242">
        <v>2080.73</v>
      </c>
      <c r="D169" s="170">
        <f>(C169-C168)/C168</f>
        <v>-9.8426141983319485E-4</v>
      </c>
      <c r="E169" s="243">
        <f t="shared" si="57"/>
        <v>-1.0326097296474589E-2</v>
      </c>
      <c r="F169" s="244">
        <v>4938.21</v>
      </c>
      <c r="G169" s="170">
        <f t="shared" si="68"/>
        <v>-1.5507857044651453E-3</v>
      </c>
      <c r="H169" s="245">
        <f t="shared" si="58"/>
        <v>-3.0145138166034879E-2</v>
      </c>
      <c r="I169" s="246">
        <v>317721.64</v>
      </c>
      <c r="J169" s="247">
        <v>400000</v>
      </c>
      <c r="K169" s="247">
        <f t="shared" si="60"/>
        <v>479.35000000003492</v>
      </c>
      <c r="L169" s="170">
        <f t="shared" si="52"/>
        <v>1.5109902276901196E-3</v>
      </c>
      <c r="M169" s="248">
        <f t="shared" si="66"/>
        <v>-82278.359999999986</v>
      </c>
      <c r="N169" s="249">
        <f t="shared" si="67"/>
        <v>-0.20569589999999996</v>
      </c>
      <c r="O169" s="182">
        <f t="shared" si="56"/>
        <v>-0.3104563118801652</v>
      </c>
      <c r="P169" s="248" t="b">
        <f t="shared" si="62"/>
        <v>1</v>
      </c>
      <c r="Q169" s="249">
        <f>COUNTIF(P$2:P169, TRUE)/(COUNTIF(P$2:P169,FALSE) + COUNTIF(P$2:P169, TRUE))</f>
        <v>0.47619047619047616</v>
      </c>
      <c r="R169" s="247">
        <v>227146.03</v>
      </c>
      <c r="S169" s="247">
        <f t="shared" si="61"/>
        <v>90575.610000000015</v>
      </c>
      <c r="T169" s="247"/>
      <c r="U169" s="247"/>
      <c r="V169" s="249">
        <f>STDEV(D$2:D169)*SQRT(252)</f>
        <v>0.1904700278981748</v>
      </c>
      <c r="W169" s="249">
        <f>STDEV(L$2:L169)*SQRT(252)</f>
        <v>0.39907765714792898</v>
      </c>
      <c r="X169" s="173">
        <f t="shared" si="63"/>
        <v>-1.0799384148248505</v>
      </c>
      <c r="Y169" s="173">
        <f t="shared" si="64"/>
        <v>-0.77793458571168805</v>
      </c>
      <c r="Z169" s="794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4">
        <v>2094.39</v>
      </c>
      <c r="D170" s="170">
        <f>(C170-C169)/C169</f>
        <v>6.5650036285341464E-3</v>
      </c>
      <c r="E170" s="208">
        <f t="shared" si="57"/>
        <v>-3.8288845341603954E-3</v>
      </c>
      <c r="F170" s="218">
        <v>4960.01</v>
      </c>
      <c r="G170" s="170">
        <f t="shared" si="68"/>
        <v>4.414555071574555E-3</v>
      </c>
      <c r="H170" s="202">
        <f t="shared" si="58"/>
        <v>-2.5863660467034508E-2</v>
      </c>
      <c r="I170" s="220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1">
        <f t="shared" si="66"/>
        <v>-77100.69</v>
      </c>
      <c r="N170" s="183">
        <f t="shared" si="67"/>
        <v>-0.19275172500000001</v>
      </c>
      <c r="O170" s="182">
        <f t="shared" si="56"/>
        <v>-0.28735741859693881</v>
      </c>
      <c r="P170" s="181" t="b">
        <f t="shared" si="62"/>
        <v>1</v>
      </c>
      <c r="Q170" s="183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3">
        <f>STDEV(D$2:D170)*SQRT(252)</f>
        <v>0.19006855377528359</v>
      </c>
      <c r="W170" s="183">
        <f>STDEV(L$2:L170)*SQRT(252)</f>
        <v>0.39841300907192778</v>
      </c>
      <c r="X170" s="173">
        <f t="shared" si="63"/>
        <v>-1.0141168603191915</v>
      </c>
      <c r="Y170" s="173">
        <f t="shared" si="64"/>
        <v>-0.72125510978247331</v>
      </c>
      <c r="Z170" s="794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4">
        <v>2100.8000000000002</v>
      </c>
      <c r="D171" s="170">
        <f t="shared" ref="D171:D190" si="69">(C171-C170)/C170</f>
        <v>3.0605570118269806E-3</v>
      </c>
      <c r="E171" s="208">
        <f t="shared" si="57"/>
        <v>-7.8004604174191543E-4</v>
      </c>
      <c r="F171" s="218">
        <v>4940.33</v>
      </c>
      <c r="G171" s="170">
        <f t="shared" si="68"/>
        <v>-3.9677339360203491E-3</v>
      </c>
      <c r="H171" s="202">
        <f t="shared" si="58"/>
        <v>-2.9728774279710095E-2</v>
      </c>
      <c r="I171" s="220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1">
        <f t="shared" si="66"/>
        <v>-71679.640000000014</v>
      </c>
      <c r="N171" s="183">
        <f t="shared" si="67"/>
        <v>-0.17919910000000003</v>
      </c>
      <c r="O171" s="182">
        <f t="shared" si="56"/>
        <v>-0.26606695640243905</v>
      </c>
      <c r="P171" s="181" t="b">
        <f t="shared" si="62"/>
        <v>1</v>
      </c>
      <c r="Q171" s="183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3">
        <f>STDEV(D$2:D171)*SQRT(252)</f>
        <v>0.18953771970498626</v>
      </c>
      <c r="W171" s="183">
        <f>STDEV(L$2:L171)*SQRT(252)</f>
        <v>0.39778020996769808</v>
      </c>
      <c r="X171" s="173">
        <f t="shared" si="63"/>
        <v>-0.94545349748283247</v>
      </c>
      <c r="Y171" s="173">
        <f t="shared" si="64"/>
        <v>-0.66887932012516438</v>
      </c>
      <c r="Z171" s="794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4">
        <v>2102.4</v>
      </c>
      <c r="D172" s="170">
        <f t="shared" si="69"/>
        <v>7.6161462300071826E-4</v>
      </c>
      <c r="E172" s="208">
        <f t="shared" ref="E172:E191" si="70">(C172-$C$2)/$C$2</f>
        <v>-1.9025513213201623E-5</v>
      </c>
      <c r="F172" s="218">
        <v>4948.13</v>
      </c>
      <c r="G172" s="170">
        <f t="shared" ref="G172:G190" si="71">(F172-F171)/F171</f>
        <v>1.5788418992253922E-3</v>
      </c>
      <c r="H172" s="202">
        <f t="shared" si="58"/>
        <v>-2.8196869414930124E-2</v>
      </c>
      <c r="I172" s="220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1">
        <f t="shared" si="66"/>
        <v>-70664.179999999993</v>
      </c>
      <c r="N172" s="183">
        <f t="shared" si="67"/>
        <v>-0.17666044999999997</v>
      </c>
      <c r="O172" s="182">
        <f t="shared" si="56"/>
        <v>-0.26123574640688257</v>
      </c>
      <c r="P172" s="181" t="b">
        <f t="shared" si="62"/>
        <v>1</v>
      </c>
      <c r="Q172" s="183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3">
        <f>STDEV(D$2:D172)*SQRT(252)</f>
        <v>0.18897802119908777</v>
      </c>
      <c r="W172" s="183">
        <f>STDEV(L$2:L172)*SQRT(252)</f>
        <v>0.39662320245584515</v>
      </c>
      <c r="X172" s="173">
        <f t="shared" si="63"/>
        <v>-0.93482008584420895</v>
      </c>
      <c r="Y172" s="173">
        <f t="shared" si="64"/>
        <v>-0.65864968259380929</v>
      </c>
      <c r="Z172" s="794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4">
        <v>2091.48</v>
      </c>
      <c r="D173" s="170">
        <f t="shared" si="69"/>
        <v>-5.194063926940674E-3</v>
      </c>
      <c r="E173" s="208">
        <f t="shared" si="70"/>
        <v>-5.2129906204220026E-3</v>
      </c>
      <c r="F173" s="218">
        <v>4945.88</v>
      </c>
      <c r="G173" s="170">
        <f t="shared" si="71"/>
        <v>-4.547172366126193E-4</v>
      </c>
      <c r="H173" s="202">
        <f t="shared" si="58"/>
        <v>-2.8638765049001261E-2</v>
      </c>
      <c r="I173" s="220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1">
        <f t="shared" si="66"/>
        <v>-72830.979999999981</v>
      </c>
      <c r="N173" s="183">
        <f t="shared" si="67"/>
        <v>-0.18207744999999995</v>
      </c>
      <c r="O173" s="182">
        <f t="shared" si="56"/>
        <v>-0.26816043795362893</v>
      </c>
      <c r="P173" s="181" t="b">
        <f t="shared" si="62"/>
        <v>0</v>
      </c>
      <c r="Q173" s="183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3">
        <f>STDEV(D$2:D173)*SQRT(252)</f>
        <v>0.18852973440522966</v>
      </c>
      <c r="W173" s="183">
        <f>STDEV(L$2:L173)*SQRT(252)</f>
        <v>0.39552870627175002</v>
      </c>
      <c r="X173" s="173">
        <f t="shared" si="63"/>
        <v>-0.96577577311300378</v>
      </c>
      <c r="Y173" s="173">
        <f t="shared" si="64"/>
        <v>-0.67797971095778808</v>
      </c>
      <c r="Z173" s="794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4">
        <v>2091.58</v>
      </c>
      <c r="D174" s="170">
        <f t="shared" si="69"/>
        <v>4.7813031919936622E-5</v>
      </c>
      <c r="E174" s="208">
        <f t="shared" si="70"/>
        <v>-5.1654268373889992E-3</v>
      </c>
      <c r="F174" s="218">
        <v>4906.28</v>
      </c>
      <c r="G174" s="170">
        <f t="shared" si="71"/>
        <v>-8.006664132571022E-3</v>
      </c>
      <c r="H174" s="202">
        <f t="shared" ref="H174:H191" si="72">(F174-F$2)/F$2</f>
        <v>-3.6416128208653316E-2</v>
      </c>
      <c r="I174" s="220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1">
        <f t="shared" si="66"/>
        <v>-68528.289999999979</v>
      </c>
      <c r="N174" s="183">
        <f t="shared" si="67"/>
        <v>-0.17132072499999995</v>
      </c>
      <c r="O174" s="182">
        <f t="shared" si="56"/>
        <v>-0.25130479841867465</v>
      </c>
      <c r="P174" s="181" t="b">
        <f t="shared" si="62"/>
        <v>1</v>
      </c>
      <c r="Q174" s="183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3">
        <f>STDEV(D$2:D174)*SQRT(252)</f>
        <v>0.18797766983654679</v>
      </c>
      <c r="W174" s="183">
        <f>STDEV(L$2:L174)*SQRT(252)</f>
        <v>0.39470764282961784</v>
      </c>
      <c r="X174" s="173">
        <f t="shared" si="63"/>
        <v>-0.91138870456777854</v>
      </c>
      <c r="Y174" s="173">
        <f t="shared" si="64"/>
        <v>-0.63668591927203844</v>
      </c>
      <c r="Z174" s="794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1">
        <v>42485</v>
      </c>
      <c r="C175" s="242">
        <v>2087.79</v>
      </c>
      <c r="D175" s="170">
        <f t="shared" si="69"/>
        <v>-1.8120272712494688E-3</v>
      </c>
      <c r="E175" s="243">
        <f t="shared" si="70"/>
        <v>-6.9680942143414753E-3</v>
      </c>
      <c r="F175" s="244">
        <v>4895.78</v>
      </c>
      <c r="G175" s="170">
        <f t="shared" si="71"/>
        <v>-2.140114302485794E-3</v>
      </c>
      <c r="H175" s="245">
        <f t="shared" si="72"/>
        <v>-3.8478307834318611E-2</v>
      </c>
      <c r="I175" s="246">
        <v>325541.03000000003</v>
      </c>
      <c r="J175" s="247">
        <v>400000</v>
      </c>
      <c r="K175" s="247">
        <f t="shared" si="60"/>
        <v>-5930.679999999993</v>
      </c>
      <c r="L175" s="170">
        <f t="shared" si="52"/>
        <v>-1.7891964294630129E-2</v>
      </c>
      <c r="M175" s="248">
        <f t="shared" si="66"/>
        <v>-74458.969999999972</v>
      </c>
      <c r="N175" s="249">
        <f t="shared" si="67"/>
        <v>-0.18614742499999992</v>
      </c>
      <c r="O175" s="182">
        <f t="shared" si="56"/>
        <v>-0.26980296421130939</v>
      </c>
      <c r="P175" s="248" t="b">
        <f t="shared" si="62"/>
        <v>0</v>
      </c>
      <c r="Q175" s="249">
        <f>COUNTIF(P$2:P175, TRUE)/(COUNTIF(P$2:P175,FALSE) + COUNTIF(P$2:P175, TRUE))</f>
        <v>0.48275862068965519</v>
      </c>
      <c r="R175" s="247">
        <v>238708.14</v>
      </c>
      <c r="S175" s="247">
        <f t="shared" si="61"/>
        <v>86832.890000000014</v>
      </c>
      <c r="T175" s="247"/>
      <c r="U175" s="247"/>
      <c r="V175" s="249">
        <f>STDEV(D$2:D175)*SQRT(252)</f>
        <v>0.18744374998531149</v>
      </c>
      <c r="W175" s="249">
        <f>STDEV(L$2:L175)*SQRT(252)</f>
        <v>0.39413441432117591</v>
      </c>
      <c r="X175" s="173">
        <f t="shared" si="63"/>
        <v>-0.99308419200206377</v>
      </c>
      <c r="Y175" s="173">
        <f t="shared" si="64"/>
        <v>-0.68454556214279183</v>
      </c>
      <c r="Z175" s="794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1">
        <v>42486</v>
      </c>
      <c r="C176" s="330">
        <v>2091.6999999999998</v>
      </c>
      <c r="D176" s="170">
        <f t="shared" si="69"/>
        <v>1.8727937196748019E-3</v>
      </c>
      <c r="E176" s="243">
        <f t="shared" si="70"/>
        <v>-5.1083502977493939E-3</v>
      </c>
      <c r="F176" s="244">
        <v>4888.28</v>
      </c>
      <c r="G176" s="170">
        <f t="shared" si="71"/>
        <v>-1.5319315818929772E-3</v>
      </c>
      <c r="H176" s="245">
        <f t="shared" si="72"/>
        <v>-3.9951293281222398E-2</v>
      </c>
      <c r="I176" s="246">
        <v>336797.26</v>
      </c>
      <c r="J176" s="247">
        <v>400000</v>
      </c>
      <c r="K176" s="247">
        <f t="shared" si="60"/>
        <v>11256.229999999981</v>
      </c>
      <c r="L176" s="170">
        <f t="shared" si="52"/>
        <v>3.4576993259497826E-2</v>
      </c>
      <c r="M176" s="248">
        <f t="shared" si="66"/>
        <v>-63202.739999999991</v>
      </c>
      <c r="N176" s="249">
        <f t="shared" si="67"/>
        <v>-0.15800684999999998</v>
      </c>
      <c r="O176" s="182">
        <f t="shared" si="56"/>
        <v>-0.22811067969367585</v>
      </c>
      <c r="P176" s="248" t="b">
        <f t="shared" si="62"/>
        <v>1</v>
      </c>
      <c r="Q176" s="249">
        <f>COUNTIF(P$2:P176, TRUE)/(COUNTIF(P$2:P176,FALSE) + COUNTIF(P$2:P176, TRUE))</f>
        <v>0.48571428571428571</v>
      </c>
      <c r="R176" s="247">
        <v>231627.32</v>
      </c>
      <c r="S176" s="247">
        <f t="shared" si="61"/>
        <v>105169.94</v>
      </c>
      <c r="T176" s="247"/>
      <c r="U176" s="247"/>
      <c r="V176" s="249">
        <f>STDEV(D$2:D176)*SQRT(252)</f>
        <v>0.18691439115354258</v>
      </c>
      <c r="W176" s="249">
        <f>STDEV(L$2:L176)*SQRT(252)</f>
        <v>0.39523474671048564</v>
      </c>
      <c r="X176" s="173">
        <f t="shared" si="63"/>
        <v>-0.84534341644247057</v>
      </c>
      <c r="Y176" s="173">
        <f t="shared" si="64"/>
        <v>-0.57715239257739082</v>
      </c>
      <c r="Z176" s="794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1">
        <v>42487</v>
      </c>
      <c r="C177" s="330">
        <v>2095.15</v>
      </c>
      <c r="D177" s="170">
        <f t="shared" si="69"/>
        <v>1.6493761055602013E-3</v>
      </c>
      <c r="E177" s="243">
        <f t="shared" si="70"/>
        <v>-3.4673997831091321E-3</v>
      </c>
      <c r="F177" s="244">
        <v>4863.1400000000003</v>
      </c>
      <c r="G177" s="170">
        <f t="shared" si="71"/>
        <v>-5.1429132537414834E-3</v>
      </c>
      <c r="H177" s="245">
        <f t="shared" si="72"/>
        <v>-4.4888740499243768E-2</v>
      </c>
      <c r="I177" s="246">
        <v>341540.33</v>
      </c>
      <c r="J177" s="247">
        <v>400000</v>
      </c>
      <c r="K177" s="247">
        <f t="shared" si="60"/>
        <v>4743.070000000007</v>
      </c>
      <c r="L177" s="170">
        <f t="shared" si="52"/>
        <v>1.4082863975793648E-2</v>
      </c>
      <c r="M177" s="248">
        <f t="shared" si="66"/>
        <v>-58459.669999999984</v>
      </c>
      <c r="N177" s="249">
        <f t="shared" si="67"/>
        <v>-0.14614917499999996</v>
      </c>
      <c r="O177" s="182">
        <f t="shared" si="56"/>
        <v>-0.21016136286909445</v>
      </c>
      <c r="P177" s="248" t="b">
        <f t="shared" si="62"/>
        <v>1</v>
      </c>
      <c r="Q177" s="249">
        <f>COUNTIF(P$2:P177, TRUE)/(COUNTIF(P$2:P177,FALSE) + COUNTIF(P$2:P177, TRUE))</f>
        <v>0.48863636363636365</v>
      </c>
      <c r="R177" s="247">
        <v>245489.82</v>
      </c>
      <c r="S177" s="247">
        <f t="shared" si="61"/>
        <v>96050.510000000009</v>
      </c>
      <c r="T177" s="247"/>
      <c r="U177" s="247"/>
      <c r="V177" s="249">
        <f>STDEV(D$2:D177)*SQRT(252)</f>
        <v>0.18638651777551687</v>
      </c>
      <c r="W177" s="249">
        <f>STDEV(L$2:L177)*SQRT(252)</f>
        <v>0.39446713655061666</v>
      </c>
      <c r="X177" s="173">
        <f t="shared" si="63"/>
        <v>-0.78411881258504657</v>
      </c>
      <c r="Y177" s="173">
        <f t="shared" si="64"/>
        <v>-0.53277280512346881</v>
      </c>
      <c r="Z177" s="794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1">
        <v>42488</v>
      </c>
      <c r="C178" s="330">
        <v>2075.81</v>
      </c>
      <c r="D178" s="170">
        <f t="shared" si="69"/>
        <v>-9.2308426604301094E-3</v>
      </c>
      <c r="E178" s="243">
        <f t="shared" si="70"/>
        <v>-1.2666235421700553E-2</v>
      </c>
      <c r="F178" s="244">
        <v>4805.29</v>
      </c>
      <c r="G178" s="170">
        <f t="shared" si="71"/>
        <v>-1.1895606542275229E-2</v>
      </c>
      <c r="H178" s="245">
        <f t="shared" si="72"/>
        <v>-5.6250368246361697E-2</v>
      </c>
      <c r="I178" s="246">
        <v>336936.02</v>
      </c>
      <c r="J178" s="247">
        <v>400000</v>
      </c>
      <c r="K178" s="247">
        <f t="shared" si="60"/>
        <v>-4604.3099999999977</v>
      </c>
      <c r="L178" s="170">
        <f t="shared" si="52"/>
        <v>-1.3481014086974729E-2</v>
      </c>
      <c r="M178" s="248">
        <f t="shared" si="66"/>
        <v>-63063.979999999981</v>
      </c>
      <c r="N178" s="249">
        <f t="shared" si="67"/>
        <v>-0.15765994999999997</v>
      </c>
      <c r="O178" s="182">
        <f t="shared" si="56"/>
        <v>-0.22582469308823525</v>
      </c>
      <c r="P178" s="248" t="b">
        <f t="shared" si="62"/>
        <v>0</v>
      </c>
      <c r="Q178" s="249">
        <f>COUNTIF(P$2:P178, TRUE)/(COUNTIF(P$2:P178,FALSE) + COUNTIF(P$2:P178, TRUE))</f>
        <v>0.48587570621468928</v>
      </c>
      <c r="R178" s="247">
        <v>254190.85</v>
      </c>
      <c r="S178" s="247">
        <f t="shared" si="61"/>
        <v>82745.170000000013</v>
      </c>
      <c r="T178" s="247"/>
      <c r="U178" s="247"/>
      <c r="V178" s="249">
        <f>STDEV(D$2:D178)*SQRT(252)</f>
        <v>0.18618462851964468</v>
      </c>
      <c r="W178" s="249">
        <f>STDEV(L$2:L178)*SQRT(252)</f>
        <v>0.39366590594633838</v>
      </c>
      <c r="X178" s="173">
        <f t="shared" si="63"/>
        <v>-0.84679359007000399</v>
      </c>
      <c r="Y178" s="173">
        <f t="shared" si="64"/>
        <v>-0.57364554480625507</v>
      </c>
      <c r="Z178" s="794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1">
        <v>42489</v>
      </c>
      <c r="C179" s="330">
        <v>2065.3000000000002</v>
      </c>
      <c r="D179" s="170">
        <f t="shared" si="69"/>
        <v>-5.0630838082482326E-3</v>
      </c>
      <c r="E179" s="243">
        <f t="shared" si="70"/>
        <v>-1.7665189018473713E-2</v>
      </c>
      <c r="F179" s="244">
        <v>4775.3599999999997</v>
      </c>
      <c r="G179" s="170">
        <f t="shared" si="71"/>
        <v>-6.2285522830048323E-3</v>
      </c>
      <c r="H179" s="245">
        <f t="shared" si="72"/>
        <v>-6.2128562169805793E-2</v>
      </c>
      <c r="I179" s="464">
        <v>329545.53999999998</v>
      </c>
      <c r="J179" s="247">
        <v>400000</v>
      </c>
      <c r="K179" s="247">
        <f t="shared" si="60"/>
        <v>-7390.4800000000396</v>
      </c>
      <c r="L179" s="170">
        <f t="shared" si="52"/>
        <v>-2.1934371991454163E-2</v>
      </c>
      <c r="M179" s="248">
        <f t="shared" si="66"/>
        <v>-70454.460000000021</v>
      </c>
      <c r="N179" s="249">
        <f t="shared" si="67"/>
        <v>-0.17613615000000005</v>
      </c>
      <c r="O179" s="182">
        <f t="shared" si="56"/>
        <v>-0.25130362807617196</v>
      </c>
      <c r="P179" s="248" t="b">
        <f t="shared" si="62"/>
        <v>0</v>
      </c>
      <c r="Q179" s="249">
        <f>COUNTIF(P$2:P179, TRUE)/(COUNTIF(P$2:P179,FALSE) + COUNTIF(P$2:P179, TRUE))</f>
        <v>0.48314606741573035</v>
      </c>
      <c r="R179" s="247">
        <v>264639.32</v>
      </c>
      <c r="S179" s="247">
        <f t="shared" si="61"/>
        <v>64906.219999999972</v>
      </c>
      <c r="T179" s="247"/>
      <c r="U179" s="247"/>
      <c r="V179" s="249">
        <f>STDEV(D$2:D179)*SQRT(252)</f>
        <v>0.18575305494733241</v>
      </c>
      <c r="W179" s="249">
        <f>STDEV(L$2:L179)*SQRT(252)</f>
        <v>0.39340624271023572</v>
      </c>
      <c r="X179" s="173">
        <f t="shared" si="63"/>
        <v>-0.94822747356667114</v>
      </c>
      <c r="Y179" s="173">
        <f t="shared" si="64"/>
        <v>-0.6387891212526341</v>
      </c>
      <c r="Z179" s="794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4">
        <v>2081.4299999999998</v>
      </c>
      <c r="D180" s="170">
        <f t="shared" si="69"/>
        <v>7.8100033893379424E-3</v>
      </c>
      <c r="E180" s="208">
        <f t="shared" si="70"/>
        <v>-9.9931508152433443E-3</v>
      </c>
      <c r="F180" s="218">
        <v>4817.59</v>
      </c>
      <c r="G180" s="170">
        <f t="shared" si="71"/>
        <v>8.8433123366616281E-3</v>
      </c>
      <c r="H180" s="202">
        <f t="shared" si="72"/>
        <v>-5.3834672113439459E-2</v>
      </c>
      <c r="I180" s="220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1">
        <f t="shared" si="66"/>
        <v>-76269.070000000007</v>
      </c>
      <c r="N180" s="183">
        <f t="shared" si="67"/>
        <v>-0.19067267500000001</v>
      </c>
      <c r="O180" s="182">
        <f t="shared" si="56"/>
        <v>-0.26889264302606181</v>
      </c>
      <c r="P180" s="181" t="b">
        <f t="shared" si="62"/>
        <v>0</v>
      </c>
      <c r="Q180" s="183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3">
        <f>STDEV(D$2:D180)*SQRT(252)</f>
        <v>0.18546248521467029</v>
      </c>
      <c r="W180" s="183">
        <f>STDEV(L$2:L180)*SQRT(252)</f>
        <v>0.39283799176483652</v>
      </c>
      <c r="X180" s="173">
        <f t="shared" si="63"/>
        <v>-1.0280929578793199</v>
      </c>
      <c r="Y180" s="173">
        <f t="shared" si="64"/>
        <v>-0.68448736798101806</v>
      </c>
      <c r="Z180" s="794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4">
        <v>2063.37</v>
      </c>
      <c r="D181" s="170">
        <f t="shared" si="69"/>
        <v>-8.6767270578400179E-3</v>
      </c>
      <c r="E181" s="208">
        <f t="shared" si="70"/>
        <v>-1.8583170031011665E-2</v>
      </c>
      <c r="F181" s="218">
        <v>4763.22</v>
      </c>
      <c r="G181" s="170">
        <f t="shared" si="71"/>
        <v>-1.1285725850477083E-2</v>
      </c>
      <c r="H181" s="202">
        <f t="shared" si="72"/>
        <v>-6.4512834613193945E-2</v>
      </c>
      <c r="I181" s="220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1">
        <f t="shared" si="66"/>
        <v>-85766.479999999981</v>
      </c>
      <c r="N181" s="183">
        <f t="shared" si="67"/>
        <v>-0.21441619999999995</v>
      </c>
      <c r="O181" s="182">
        <f t="shared" si="56"/>
        <v>-0.30121352711538457</v>
      </c>
      <c r="P181" s="181" t="b">
        <f t="shared" si="62"/>
        <v>0</v>
      </c>
      <c r="Q181" s="183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3">
        <f>STDEV(D$2:D181)*SQRT(252)</f>
        <v>0.18522787612316166</v>
      </c>
      <c r="W181" s="183">
        <f>STDEV(L$2:L181)*SQRT(252)</f>
        <v>0.3932386492905699</v>
      </c>
      <c r="X181" s="173">
        <f t="shared" si="63"/>
        <v>-1.15758062170637</v>
      </c>
      <c r="Y181" s="173">
        <f t="shared" si="64"/>
        <v>-0.7659814915415738</v>
      </c>
      <c r="Z181" s="794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4">
        <v>2051.12</v>
      </c>
      <c r="D182" s="170">
        <f t="shared" si="69"/>
        <v>-5.9368896513955329E-3</v>
      </c>
      <c r="E182" s="208">
        <f t="shared" si="70"/>
        <v>-2.4409733452559961E-2</v>
      </c>
      <c r="F182" s="218">
        <v>4725.6400000000003</v>
      </c>
      <c r="G182" s="170">
        <f t="shared" si="71"/>
        <v>-7.8896208867110743E-3</v>
      </c>
      <c r="H182" s="202">
        <f t="shared" si="72"/>
        <v>-7.1893473692479823E-2</v>
      </c>
      <c r="I182" s="220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1">
        <f t="shared" si="66"/>
        <v>-95620.090000000026</v>
      </c>
      <c r="N182" s="183">
        <f t="shared" si="67"/>
        <v>-0.23905022500000006</v>
      </c>
      <c r="O182" s="182">
        <f t="shared" si="56"/>
        <v>-0.33453292981321847</v>
      </c>
      <c r="P182" s="181" t="b">
        <f t="shared" si="62"/>
        <v>0</v>
      </c>
      <c r="Q182" s="183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3">
        <f>STDEV(D$2:D182)*SQRT(252)</f>
        <v>0.18484162325464118</v>
      </c>
      <c r="W182" s="183">
        <f>STDEV(L$2:L182)*SQRT(252)</f>
        <v>0.39383207665570702</v>
      </c>
      <c r="X182" s="173">
        <f t="shared" si="63"/>
        <v>-1.2932705350173219</v>
      </c>
      <c r="Y182" s="173">
        <f t="shared" si="64"/>
        <v>-0.84943037818037204</v>
      </c>
      <c r="Z182" s="794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4">
        <v>2050.63</v>
      </c>
      <c r="D183" s="170">
        <f t="shared" si="69"/>
        <v>-2.3889387261583024E-4</v>
      </c>
      <c r="E183" s="208">
        <f t="shared" si="70"/>
        <v>-2.464279598942179E-2</v>
      </c>
      <c r="F183" s="218">
        <v>4717.09</v>
      </c>
      <c r="G183" s="170">
        <f t="shared" si="71"/>
        <v>-1.8092787431967271E-3</v>
      </c>
      <c r="H183" s="202">
        <f t="shared" si="72"/>
        <v>-7.3572677101950174E-2</v>
      </c>
      <c r="I183" s="220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1">
        <f t="shared" si="66"/>
        <v>-95145.419999999984</v>
      </c>
      <c r="N183" s="183">
        <f t="shared" si="67"/>
        <v>-0.23786354999999995</v>
      </c>
      <c r="O183" s="182">
        <f t="shared" si="56"/>
        <v>-0.33160176197519076</v>
      </c>
      <c r="P183" s="181" t="b">
        <f t="shared" si="62"/>
        <v>1</v>
      </c>
      <c r="Q183" s="183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3">
        <f>STDEV(D$2:D183)*SQRT(252)</f>
        <v>0.18432756719124724</v>
      </c>
      <c r="W183" s="183">
        <f>STDEV(L$2:L183)*SQRT(252)</f>
        <v>0.39274558948509919</v>
      </c>
      <c r="X183" s="173">
        <f t="shared" si="63"/>
        <v>-1.2904393717365508</v>
      </c>
      <c r="Y183" s="173">
        <f t="shared" si="64"/>
        <v>-0.84431695951043073</v>
      </c>
      <c r="Z183" s="794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4">
        <v>2057.14</v>
      </c>
      <c r="D184" s="170">
        <f t="shared" si="69"/>
        <v>3.1746341368261281E-3</v>
      </c>
      <c r="E184" s="208">
        <f t="shared" si="70"/>
        <v>-2.1546393713970519E-2</v>
      </c>
      <c r="F184" s="218">
        <v>4736.1499999999996</v>
      </c>
      <c r="G184" s="170">
        <f t="shared" si="71"/>
        <v>4.0406267423346784E-3</v>
      </c>
      <c r="H184" s="202">
        <f t="shared" si="72"/>
        <v>-6.9829330086218791E-2</v>
      </c>
      <c r="I184" s="220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1">
        <f t="shared" si="66"/>
        <v>-95446.989999999991</v>
      </c>
      <c r="N184" s="183">
        <f t="shared" si="67"/>
        <v>-0.23861747499999997</v>
      </c>
      <c r="O184" s="182">
        <f t="shared" si="56"/>
        <v>-0.33138795720057029</v>
      </c>
      <c r="P184" s="181" t="b">
        <f t="shared" si="62"/>
        <v>0</v>
      </c>
      <c r="Q184" s="183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3">
        <f>STDEV(D$2:D184)*SQRT(252)</f>
        <v>0.18385733310568392</v>
      </c>
      <c r="W184" s="183">
        <f>STDEV(L$2:L184)*SQRT(252)</f>
        <v>0.39165931974206192</v>
      </c>
      <c r="X184" s="173">
        <f t="shared" si="63"/>
        <v>-1.297840401409712</v>
      </c>
      <c r="Y184" s="173">
        <f t="shared" si="64"/>
        <v>-0.8461127834742066</v>
      </c>
      <c r="Z184" s="794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1">
        <v>42499</v>
      </c>
      <c r="C185" s="242">
        <v>2058.69</v>
      </c>
      <c r="D185" s="170">
        <f t="shared" si="69"/>
        <v>7.5347326871296166E-4</v>
      </c>
      <c r="E185" s="243">
        <f t="shared" si="70"/>
        <v>-2.08091550769582E-2</v>
      </c>
      <c r="F185" s="244">
        <v>4750.2</v>
      </c>
      <c r="G185" s="170">
        <f t="shared" si="71"/>
        <v>2.9665445562324214E-3</v>
      </c>
      <c r="H185" s="245">
        <f t="shared" si="72"/>
        <v>-6.706993734901899E-2</v>
      </c>
      <c r="I185" s="246">
        <v>298140.64</v>
      </c>
      <c r="J185" s="247">
        <v>400000</v>
      </c>
      <c r="K185" s="247">
        <f t="shared" si="73"/>
        <v>-6412.3699999999953</v>
      </c>
      <c r="L185" s="170">
        <f t="shared" si="52"/>
        <v>-2.1055020930510572E-2</v>
      </c>
      <c r="M185" s="248">
        <f t="shared" si="66"/>
        <v>-101859.35999999999</v>
      </c>
      <c r="N185" s="249">
        <f t="shared" si="67"/>
        <v>-0.25464839999999994</v>
      </c>
      <c r="O185" s="182">
        <f t="shared" si="56"/>
        <v>-0.34966288759398489</v>
      </c>
      <c r="P185" s="248" t="b">
        <f t="shared" si="62"/>
        <v>0</v>
      </c>
      <c r="Q185" s="249">
        <f>COUNTIF(P$2:P185, TRUE)/(COUNTIF(P$2:P185,FALSE) + COUNTIF(P$2:P185, TRUE))</f>
        <v>0.47282608695652173</v>
      </c>
      <c r="R185" s="247">
        <v>244388.04</v>
      </c>
      <c r="S185" s="247">
        <f t="shared" si="61"/>
        <v>53752.600000000006</v>
      </c>
      <c r="T185" s="247"/>
      <c r="U185" s="247"/>
      <c r="V185" s="249">
        <f>STDEV(D$2:D185)*SQRT(252)</f>
        <v>0.18335397650588192</v>
      </c>
      <c r="W185" s="249">
        <f>STDEV(L$2:L185)*SQRT(252)</f>
        <v>0.39131263252933984</v>
      </c>
      <c r="X185" s="173">
        <f t="shared" si="63"/>
        <v>-1.3888348911365493</v>
      </c>
      <c r="Y185" s="173">
        <f t="shared" si="64"/>
        <v>-0.89356401640769378</v>
      </c>
      <c r="Z185" s="794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1">
        <v>42500</v>
      </c>
      <c r="C186" s="242">
        <v>2084.39</v>
      </c>
      <c r="D186" s="170">
        <f t="shared" si="69"/>
        <v>1.2483666797817941E-2</v>
      </c>
      <c r="E186" s="243">
        <f t="shared" si="70"/>
        <v>-8.5852628374651265E-3</v>
      </c>
      <c r="F186" s="244">
        <v>4809.88</v>
      </c>
      <c r="G186" s="170">
        <f t="shared" si="71"/>
        <v>1.2563681529198832E-2</v>
      </c>
      <c r="H186" s="245">
        <f t="shared" si="72"/>
        <v>-5.5348901152856553E-2</v>
      </c>
      <c r="I186" s="246">
        <v>304800.26</v>
      </c>
      <c r="J186" s="247">
        <v>400000</v>
      </c>
      <c r="K186" s="247">
        <f t="shared" si="73"/>
        <v>6659.6199999999953</v>
      </c>
      <c r="L186" s="170">
        <f t="shared" si="52"/>
        <v>2.2337176172963186E-2</v>
      </c>
      <c r="M186" s="248">
        <f t="shared" si="66"/>
        <v>-95199.739999999991</v>
      </c>
      <c r="N186" s="249">
        <f t="shared" si="67"/>
        <v>-0.23799934999999997</v>
      </c>
      <c r="O186" s="182">
        <f t="shared" si="56"/>
        <v>-0.32557776249999998</v>
      </c>
      <c r="P186" s="248" t="b">
        <f t="shared" si="62"/>
        <v>1</v>
      </c>
      <c r="Q186" s="249">
        <f>COUNTIF(P$2:P186, TRUE)/(COUNTIF(P$2:P186,FALSE) + COUNTIF(P$2:P186, TRUE))</f>
        <v>0.4756756756756757</v>
      </c>
      <c r="R186" s="247">
        <v>245950.62</v>
      </c>
      <c r="S186" s="247">
        <f t="shared" si="61"/>
        <v>58849.640000000014</v>
      </c>
      <c r="T186" s="247"/>
      <c r="U186" s="247"/>
      <c r="V186" s="249">
        <f>STDEV(D$2:D186)*SQRT(252)</f>
        <v>0.1834395508093867</v>
      </c>
      <c r="W186" s="249">
        <f>STDEV(L$2:L186)*SQRT(252)</f>
        <v>0.39117995017069312</v>
      </c>
      <c r="X186" s="173">
        <f t="shared" si="63"/>
        <v>-1.2974265852150213</v>
      </c>
      <c r="Y186" s="173">
        <f t="shared" si="64"/>
        <v>-0.83229665108841255</v>
      </c>
      <c r="Z186" s="794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1">
        <v>42501</v>
      </c>
      <c r="C187" s="242">
        <v>2064.46</v>
      </c>
      <c r="D187" s="170">
        <f t="shared" si="69"/>
        <v>-9.5615503816463502E-3</v>
      </c>
      <c r="E187" s="243">
        <f t="shared" si="70"/>
        <v>-1.8064724795951378E-2</v>
      </c>
      <c r="F187" s="244">
        <v>4760.68</v>
      </c>
      <c r="G187" s="170">
        <f t="shared" si="71"/>
        <v>-1.0228945420675737E-2</v>
      </c>
      <c r="H187" s="245">
        <f t="shared" si="72"/>
        <v>-6.5011685684545351E-2</v>
      </c>
      <c r="I187" s="246">
        <v>308835.23</v>
      </c>
      <c r="J187" s="247">
        <v>400000</v>
      </c>
      <c r="K187" s="247">
        <f t="shared" si="73"/>
        <v>4034.9699999999721</v>
      </c>
      <c r="L187" s="170">
        <f t="shared" si="52"/>
        <v>1.3238079258856183E-2</v>
      </c>
      <c r="M187" s="248">
        <f t="shared" si="66"/>
        <v>-91164.770000000019</v>
      </c>
      <c r="N187" s="249">
        <f t="shared" si="67"/>
        <v>-0.22791192500000004</v>
      </c>
      <c r="O187" s="182">
        <f t="shared" si="56"/>
        <v>-0.31061503957555975</v>
      </c>
      <c r="P187" s="248" t="b">
        <f t="shared" si="62"/>
        <v>1</v>
      </c>
      <c r="Q187" s="249">
        <f>COUNTIF(P$2:P187, TRUE)/(COUNTIF(P$2:P187,FALSE) + COUNTIF(P$2:P187, TRUE))</f>
        <v>0.478494623655914</v>
      </c>
      <c r="R187" s="247">
        <v>248232.13</v>
      </c>
      <c r="S187" s="247">
        <f t="shared" si="61"/>
        <v>60603.099999999977</v>
      </c>
      <c r="T187" s="247"/>
      <c r="U187" s="247"/>
      <c r="V187" s="249">
        <f>STDEV(D$2:D187)*SQRT(252)</f>
        <v>0.18328184052807739</v>
      </c>
      <c r="W187" s="249">
        <f>STDEV(L$2:L187)*SQRT(252)</f>
        <v>0.39045309819153251</v>
      </c>
      <c r="X187" s="173">
        <f t="shared" si="63"/>
        <v>-1.2435052176654984</v>
      </c>
      <c r="Y187" s="173">
        <f t="shared" si="64"/>
        <v>-0.7955245867281886</v>
      </c>
      <c r="Z187" s="794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1">
        <v>42502</v>
      </c>
      <c r="C188" s="242">
        <v>2064.11</v>
      </c>
      <c r="D188" s="170">
        <f t="shared" si="69"/>
        <v>-1.6953585925612947E-4</v>
      </c>
      <c r="E188" s="243">
        <f t="shared" si="70"/>
        <v>-1.8231198036567E-2</v>
      </c>
      <c r="F188" s="244">
        <v>4737.33</v>
      </c>
      <c r="G188" s="170">
        <f t="shared" si="71"/>
        <v>-4.9047615046590746E-3</v>
      </c>
      <c r="H188" s="245">
        <f t="shared" si="72"/>
        <v>-6.9597580375905868E-2</v>
      </c>
      <c r="I188" s="246">
        <v>304301.34000000003</v>
      </c>
      <c r="J188" s="247">
        <v>400000</v>
      </c>
      <c r="K188" s="247">
        <f t="shared" si="73"/>
        <v>-4533.8899999999558</v>
      </c>
      <c r="L188" s="170">
        <f t="shared" si="52"/>
        <v>-1.4680611405635154E-2</v>
      </c>
      <c r="M188" s="248">
        <f t="shared" si="66"/>
        <v>-95698.659999999974</v>
      </c>
      <c r="N188" s="249">
        <f t="shared" si="67"/>
        <v>-0.23924664999999995</v>
      </c>
      <c r="O188" s="182">
        <f t="shared" si="56"/>
        <v>-0.32485070227695162</v>
      </c>
      <c r="P188" s="248" t="b">
        <f t="shared" si="62"/>
        <v>0</v>
      </c>
      <c r="Q188" s="249">
        <f>COUNTIF(P$2:P188, TRUE)/(COUNTIF(P$2:P188,FALSE) + COUNTIF(P$2:P188, TRUE))</f>
        <v>0.47593582887700536</v>
      </c>
      <c r="R188" s="247">
        <v>280165.89</v>
      </c>
      <c r="S188" s="247">
        <f t="shared" si="61"/>
        <v>24135.450000000012</v>
      </c>
      <c r="T188" s="247"/>
      <c r="U188" s="247"/>
      <c r="V188" s="249">
        <f>STDEV(D$2:D188)*SQRT(252)</f>
        <v>0.1827858829252009</v>
      </c>
      <c r="W188" s="249">
        <f>STDEV(L$2:L188)*SQRT(252)</f>
        <v>0.38974137838139039</v>
      </c>
      <c r="X188" s="173">
        <f t="shared" si="63"/>
        <v>-1.3088901952997309</v>
      </c>
      <c r="Y188" s="173">
        <f t="shared" si="64"/>
        <v>-0.83350324162671152</v>
      </c>
      <c r="Z188" s="794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1">
        <v>42503</v>
      </c>
      <c r="C189" s="242">
        <v>2046.61</v>
      </c>
      <c r="D189" s="170">
        <f t="shared" si="69"/>
        <v>-8.4782303268722235E-3</v>
      </c>
      <c r="E189" s="243">
        <f t="shared" si="70"/>
        <v>-2.6554860067350389E-2</v>
      </c>
      <c r="F189" s="244">
        <v>4717.68</v>
      </c>
      <c r="G189" s="170">
        <f t="shared" si="71"/>
        <v>-4.1479060990050592E-3</v>
      </c>
      <c r="H189" s="245">
        <f t="shared" si="72"/>
        <v>-7.3456802246793712E-2</v>
      </c>
      <c r="I189" s="246">
        <v>303736.26</v>
      </c>
      <c r="J189" s="247">
        <v>400000</v>
      </c>
      <c r="K189" s="247">
        <f t="shared" si="73"/>
        <v>-565.0800000000163</v>
      </c>
      <c r="L189" s="170">
        <f t="shared" si="52"/>
        <v>-1.8569750629425959E-3</v>
      </c>
      <c r="M189" s="248">
        <f t="shared" si="66"/>
        <v>-96263.739999999991</v>
      </c>
      <c r="N189" s="249">
        <f t="shared" si="67"/>
        <v>-0.24065934999999997</v>
      </c>
      <c r="O189" s="182">
        <f t="shared" si="56"/>
        <v>-0.32555862069444441</v>
      </c>
      <c r="P189" s="248" t="b">
        <f t="shared" si="62"/>
        <v>1</v>
      </c>
      <c r="Q189" s="249">
        <f>COUNTIF(P$2:P189, TRUE)/(COUNTIF(P$2:P189,FALSE) + COUNTIF(P$2:P189, TRUE))</f>
        <v>0.47872340425531917</v>
      </c>
      <c r="R189" s="247">
        <v>251738</v>
      </c>
      <c r="S189" s="247">
        <f t="shared" si="61"/>
        <v>51998.260000000009</v>
      </c>
      <c r="T189" s="247"/>
      <c r="U189" s="247"/>
      <c r="V189" s="249">
        <f>STDEV(D$2:D189)*SQRT(252)</f>
        <v>0.18255729754579855</v>
      </c>
      <c r="W189" s="249">
        <f>STDEV(L$2:L189)*SQRT(252)</f>
        <v>0.38869471253740751</v>
      </c>
      <c r="X189" s="173">
        <f t="shared" si="63"/>
        <v>-1.3182674877164262</v>
      </c>
      <c r="Y189" s="173">
        <f t="shared" si="64"/>
        <v>-0.83756894599669407</v>
      </c>
      <c r="Z189" s="794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4">
        <v>2066.66</v>
      </c>
      <c r="D190" s="170">
        <f t="shared" si="69"/>
        <v>9.7966881819203239E-3</v>
      </c>
      <c r="E190" s="208">
        <f t="shared" si="70"/>
        <v>-1.7018321569224424E-2</v>
      </c>
      <c r="F190" s="218">
        <v>4775.45</v>
      </c>
      <c r="G190" s="170">
        <f t="shared" si="71"/>
        <v>1.224542571772556E-2</v>
      </c>
      <c r="H190" s="202">
        <f t="shared" si="72"/>
        <v>-6.2110886344442916E-2</v>
      </c>
      <c r="I190" s="220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1">
        <f t="shared" si="66"/>
        <v>-89863.479999999981</v>
      </c>
      <c r="N190" s="183">
        <f t="shared" ref="N190:N221" si="74">M190/J190</f>
        <v>-0.22465869999999996</v>
      </c>
      <c r="O190" s="182">
        <f t="shared" si="56"/>
        <v>-0.30057359038461534</v>
      </c>
      <c r="P190" s="181" t="b">
        <f t="shared" si="62"/>
        <v>1</v>
      </c>
      <c r="Q190" s="183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3">
        <f>STDEV(D$2:D190)*SQRT(252)</f>
        <v>0.18242711588099725</v>
      </c>
      <c r="W190" s="183">
        <f>STDEV(L$2:L190)*SQRT(252)</f>
        <v>0.38847097955636578</v>
      </c>
      <c r="X190" s="173">
        <f t="shared" si="63"/>
        <v>-1.2314983927419632</v>
      </c>
      <c r="Y190" s="173">
        <f t="shared" si="64"/>
        <v>-0.77373499232264575</v>
      </c>
      <c r="Z190" s="794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4">
        <v>2047.21</v>
      </c>
      <c r="D191" s="170">
        <f>(C191-C190)/C190</f>
        <v>-9.4113206816795313E-3</v>
      </c>
      <c r="E191" s="208">
        <f t="shared" si="70"/>
        <v>-2.6269477369152042E-2</v>
      </c>
      <c r="F191" s="218">
        <v>4715.7299999999996</v>
      </c>
      <c r="G191" s="170">
        <f>(F191-F190)/F190</f>
        <v>-1.2505627741888252E-2</v>
      </c>
      <c r="H191" s="202">
        <f t="shared" si="72"/>
        <v>-7.3839778462988837E-2</v>
      </c>
      <c r="I191" s="220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1">
        <f t="shared" si="66"/>
        <v>-88960.989999999991</v>
      </c>
      <c r="N191" s="183">
        <f t="shared" si="74"/>
        <v>-0.22240247499999999</v>
      </c>
      <c r="O191" s="182">
        <f t="shared" si="56"/>
        <v>-0.29646899267791965</v>
      </c>
      <c r="P191" s="181" t="b">
        <f t="shared" si="62"/>
        <v>1</v>
      </c>
      <c r="Q191" s="183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3">
        <f>STDEV(D$2:D191)*SQRT(252)</f>
        <v>0.18226379341821147</v>
      </c>
      <c r="W191" s="183">
        <f>STDEV(L$2:L191)*SQRT(252)</f>
        <v>0.38745717293573728</v>
      </c>
      <c r="X191" s="173">
        <f t="shared" si="63"/>
        <v>-1.2202230120915387</v>
      </c>
      <c r="Y191" s="173">
        <f t="shared" si="64"/>
        <v>-0.76516583866958454</v>
      </c>
      <c r="Z191" s="794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4">
        <v>2047.63</v>
      </c>
      <c r="D192" s="170">
        <f>(C192-C191)/C191</f>
        <v>2.051572628113739E-4</v>
      </c>
      <c r="E192" s="208">
        <f t="shared" ref="E192:E223" si="75">(C192-$C$2)/$C$2</f>
        <v>-2.6069709480413209E-2</v>
      </c>
      <c r="F192" s="218">
        <v>4739.1099999999997</v>
      </c>
      <c r="G192" s="170">
        <f t="shared" ref="G192:G255" si="76">(F192-F191)/F191</f>
        <v>4.9578750267721249E-3</v>
      </c>
      <c r="H192" s="202">
        <f t="shared" ref="H192:H223" si="77">(F192-F$2)/F$2</f>
        <v>-6.9247991829840747E-2</v>
      </c>
      <c r="I192" s="220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1">
        <f t="shared" ref="M192:M223" si="79">I192-J192</f>
        <v>-89182.44</v>
      </c>
      <c r="N192" s="183">
        <f t="shared" si="74"/>
        <v>-0.22295610000000002</v>
      </c>
      <c r="O192" s="182">
        <f t="shared" si="56"/>
        <v>-0.29612623827272727</v>
      </c>
      <c r="P192" s="181" t="b">
        <f t="shared" ref="P192:P223" si="80">L192&gt;D192</f>
        <v>0</v>
      </c>
      <c r="Q192" s="183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3">
        <f>STDEV(D$2:D192)*SQRT(252)</f>
        <v>0.18178126131382988</v>
      </c>
      <c r="W192" s="183">
        <f>STDEV(L$2:L192)*SQRT(252)</f>
        <v>0.38643084331736716</v>
      </c>
      <c r="X192" s="173">
        <f t="shared" si="63"/>
        <v>-1.2265076080371413</v>
      </c>
      <c r="Y192" s="173">
        <f t="shared" si="64"/>
        <v>-0.76631108358378452</v>
      </c>
      <c r="Z192" s="794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4">
        <v>2040.04</v>
      </c>
      <c r="D193" s="170">
        <f t="shared" ref="D193:D256" si="82">(C193-C192)/C192</f>
        <v>-3.7067243593814046E-3</v>
      </c>
      <c r="E193" s="208">
        <f t="shared" si="75"/>
        <v>-2.9679800612621567E-2</v>
      </c>
      <c r="F193" s="218">
        <v>4712.53</v>
      </c>
      <c r="G193" s="170">
        <f t="shared" si="76"/>
        <v>-5.6086480372896869E-3</v>
      </c>
      <c r="H193" s="202">
        <f t="shared" si="77"/>
        <v>-7.4468252253667752E-2</v>
      </c>
      <c r="I193" s="220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1">
        <f t="shared" si="79"/>
        <v>-88430.700000000012</v>
      </c>
      <c r="N193" s="183">
        <f t="shared" si="74"/>
        <v>-0.22107675000000002</v>
      </c>
      <c r="O193" s="182">
        <f t="shared" si="56"/>
        <v>-0.29256624252717395</v>
      </c>
      <c r="P193" s="181" t="b">
        <f t="shared" si="80"/>
        <v>1</v>
      </c>
      <c r="Q193" s="183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3">
        <f>STDEV(D$2:D193)*SQRT(252)</f>
        <v>0.18135027686058963</v>
      </c>
      <c r="W193" s="183">
        <f>STDEV(L$2:L193)*SQRT(252)</f>
        <v>0.38542760333105391</v>
      </c>
      <c r="X193" s="173">
        <f t="shared" si="63"/>
        <v>-1.2190593465150843</v>
      </c>
      <c r="Y193" s="173">
        <f t="shared" si="64"/>
        <v>-0.75906925191313057</v>
      </c>
      <c r="Z193" s="794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4">
        <v>2052.3200000000002</v>
      </c>
      <c r="D194" s="170">
        <f t="shared" si="82"/>
        <v>6.0194898139253154E-3</v>
      </c>
      <c r="E194" s="208">
        <f t="shared" si="75"/>
        <v>-2.3838968056163264E-2</v>
      </c>
      <c r="F194" s="218">
        <v>4769.55</v>
      </c>
      <c r="G194" s="170">
        <f t="shared" si="76"/>
        <v>1.209965772101195E-2</v>
      </c>
      <c r="H194" s="202">
        <f t="shared" si="77"/>
        <v>-6.3269634896007163E-2</v>
      </c>
      <c r="I194" s="220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1">
        <f t="shared" si="79"/>
        <v>-79581.169999999984</v>
      </c>
      <c r="N194" s="183">
        <f t="shared" si="74"/>
        <v>-0.19895292499999995</v>
      </c>
      <c r="O194" s="182">
        <f t="shared" si="56"/>
        <v>-0.26233774677346566</v>
      </c>
      <c r="P194" s="181" t="b">
        <f t="shared" si="80"/>
        <v>1</v>
      </c>
      <c r="Q194" s="183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3">
        <f>STDEV(D$2:D194)*SQRT(252)</f>
        <v>0.18101041145584279</v>
      </c>
      <c r="W194" s="183">
        <f>STDEV(L$2:L194)*SQRT(252)</f>
        <v>0.38584361102495252</v>
      </c>
      <c r="X194" s="173">
        <f t="shared" si="63"/>
        <v>-1.0991242072754153</v>
      </c>
      <c r="Y194" s="173">
        <f t="shared" si="64"/>
        <v>-0.67990693451316542</v>
      </c>
      <c r="Z194" s="794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1">
        <v>42513</v>
      </c>
      <c r="C195" s="242">
        <v>2048.04</v>
      </c>
      <c r="D195" s="170">
        <f t="shared" si="82"/>
        <v>-2.085444764949033E-3</v>
      </c>
      <c r="E195" s="243">
        <f t="shared" si="75"/>
        <v>-2.5874697969977784E-2</v>
      </c>
      <c r="F195" s="244">
        <v>4765.78</v>
      </c>
      <c r="G195" s="170">
        <f t="shared" si="76"/>
        <v>-7.9043096308885254E-4</v>
      </c>
      <c r="H195" s="245">
        <f t="shared" si="77"/>
        <v>-6.4010055580650885E-2</v>
      </c>
      <c r="I195" s="246">
        <v>322945.12</v>
      </c>
      <c r="J195" s="247">
        <v>400000</v>
      </c>
      <c r="K195" s="247">
        <f t="shared" si="78"/>
        <v>2526.289999999979</v>
      </c>
      <c r="L195" s="170">
        <f t="shared" si="52"/>
        <v>7.8843368849451784E-3</v>
      </c>
      <c r="M195" s="248">
        <f t="shared" si="79"/>
        <v>-77054.880000000005</v>
      </c>
      <c r="N195" s="249">
        <f t="shared" si="74"/>
        <v>-0.19263720000000001</v>
      </c>
      <c r="O195" s="182">
        <f t="shared" si="56"/>
        <v>-0.25128834750000001</v>
      </c>
      <c r="P195" s="248" t="b">
        <f t="shared" si="80"/>
        <v>1</v>
      </c>
      <c r="Q195" s="249">
        <f>COUNTIF(P$2:P195, TRUE)/(COUNTIF(P$2:P195,FALSE) + COUNTIF(P$2:P195, TRUE))</f>
        <v>0.48969072164948452</v>
      </c>
      <c r="R195" s="247">
        <v>257529.17</v>
      </c>
      <c r="S195" s="247">
        <f t="shared" si="81"/>
        <v>65415.949999999983</v>
      </c>
      <c r="T195" s="247"/>
      <c r="U195" s="247"/>
      <c r="V195" s="249">
        <f>STDEV(D$2:D195)*SQRT(252)</f>
        <v>0.18055323575964988</v>
      </c>
      <c r="W195" s="249">
        <f>STDEV(L$2:L195)*SQRT(252)</f>
        <v>0.38495329027119468</v>
      </c>
      <c r="X195" s="173">
        <f t="shared" si="63"/>
        <v>-1.0669274310676777</v>
      </c>
      <c r="Y195" s="173">
        <f t="shared" si="64"/>
        <v>-0.65277620389468705</v>
      </c>
      <c r="Z195" s="794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1">
        <v>42514</v>
      </c>
      <c r="C196" s="242">
        <v>2076.06</v>
      </c>
      <c r="D196" s="170">
        <f t="shared" si="82"/>
        <v>1.3681373410675565E-2</v>
      </c>
      <c r="E196" s="243">
        <f t="shared" si="75"/>
        <v>-1.2547325964117933E-2</v>
      </c>
      <c r="F196" s="244">
        <v>4861.05</v>
      </c>
      <c r="G196" s="170">
        <f t="shared" si="76"/>
        <v>1.9990431786612146E-2</v>
      </c>
      <c r="H196" s="245">
        <f t="shared" si="77"/>
        <v>-4.5299212443780983E-2</v>
      </c>
      <c r="I196" s="246">
        <v>324441.06</v>
      </c>
      <c r="J196" s="247">
        <v>400000</v>
      </c>
      <c r="K196" s="247">
        <f t="shared" si="78"/>
        <v>1495.9400000000023</v>
      </c>
      <c r="L196" s="170">
        <f t="shared" ref="L196:L219" si="83">K196/I195</f>
        <v>4.6321802292600125E-3</v>
      </c>
      <c r="M196" s="248">
        <f t="shared" si="79"/>
        <v>-75558.94</v>
      </c>
      <c r="N196" s="249">
        <f t="shared" si="74"/>
        <v>-0.18889735000000002</v>
      </c>
      <c r="O196" s="182">
        <f t="shared" si="56"/>
        <v>-0.24553294337188614</v>
      </c>
      <c r="P196" s="248" t="b">
        <f t="shared" si="80"/>
        <v>0</v>
      </c>
      <c r="Q196" s="249">
        <f>COUNTIF(P$2:P196, TRUE)/(COUNTIF(P$2:P196,FALSE) + COUNTIF(P$2:P196, TRUE))</f>
        <v>0.48717948717948717</v>
      </c>
      <c r="R196" s="247">
        <v>256296.81</v>
      </c>
      <c r="S196" s="247">
        <f t="shared" si="81"/>
        <v>68144.25</v>
      </c>
      <c r="T196" s="247"/>
      <c r="U196" s="247"/>
      <c r="V196" s="249">
        <f>STDEV(D$2:D196)*SQRT(252)</f>
        <v>0.18076572452731524</v>
      </c>
      <c r="W196" s="249">
        <f>STDEV(L$2:L196)*SQRT(252)</f>
        <v>0.38399644388523335</v>
      </c>
      <c r="X196" s="173">
        <f t="shared" si="63"/>
        <v>-1.044984332588206</v>
      </c>
      <c r="Y196" s="173">
        <f t="shared" si="64"/>
        <v>-0.63941462813460226</v>
      </c>
      <c r="Z196" s="794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1">
        <v>42515</v>
      </c>
      <c r="C197" s="242">
        <v>2090.54</v>
      </c>
      <c r="D197" s="170">
        <f t="shared" si="82"/>
        <v>6.9747502480660573E-3</v>
      </c>
      <c r="E197" s="243">
        <f t="shared" si="75"/>
        <v>-5.6600901809326738E-3</v>
      </c>
      <c r="F197" s="244">
        <v>4894.8900000000003</v>
      </c>
      <c r="G197" s="170">
        <f t="shared" si="76"/>
        <v>6.9614589440553263E-3</v>
      </c>
      <c r="H197" s="245">
        <f t="shared" si="77"/>
        <v>-3.8653102107351081E-2</v>
      </c>
      <c r="I197" s="246">
        <v>329556.86</v>
      </c>
      <c r="J197" s="247">
        <v>400000</v>
      </c>
      <c r="K197" s="247">
        <f t="shared" si="78"/>
        <v>5115.7999999999884</v>
      </c>
      <c r="L197" s="170">
        <f t="shared" si="83"/>
        <v>1.5768041196758474E-2</v>
      </c>
      <c r="M197" s="248">
        <f t="shared" si="79"/>
        <v>-70443.140000000014</v>
      </c>
      <c r="N197" s="249">
        <f t="shared" si="74"/>
        <v>-0.17610785000000004</v>
      </c>
      <c r="O197" s="182">
        <f t="shared" si="56"/>
        <v>-0.22809713550531921</v>
      </c>
      <c r="P197" s="248" t="b">
        <f t="shared" si="80"/>
        <v>1</v>
      </c>
      <c r="Q197" s="249">
        <f>COUNTIF(P$2:P197, TRUE)/(COUNTIF(P$2:P197,FALSE) + COUNTIF(P$2:P197, TRUE))</f>
        <v>0.48979591836734693</v>
      </c>
      <c r="R197" s="247">
        <v>253103.72</v>
      </c>
      <c r="S197" s="247">
        <f t="shared" si="81"/>
        <v>76453.139999999985</v>
      </c>
      <c r="T197" s="247"/>
      <c r="U197" s="247"/>
      <c r="V197" s="249">
        <f>STDEV(D$2:D197)*SQRT(252)</f>
        <v>0.18047351369657114</v>
      </c>
      <c r="W197" s="249">
        <f>STDEV(L$2:L197)*SQRT(252)</f>
        <v>0.38344132562048239</v>
      </c>
      <c r="X197" s="173">
        <f t="shared" si="63"/>
        <v>-0.9758099479134037</v>
      </c>
      <c r="Y197" s="173">
        <f t="shared" si="64"/>
        <v>-0.59486841992373629</v>
      </c>
      <c r="Z197" s="794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1">
        <v>42516</v>
      </c>
      <c r="C198" s="242">
        <v>2090.1</v>
      </c>
      <c r="D198" s="170">
        <f t="shared" si="82"/>
        <v>-2.1047193548081098E-4</v>
      </c>
      <c r="E198" s="243">
        <f t="shared" si="75"/>
        <v>-5.8693708262781081E-3</v>
      </c>
      <c r="F198" s="244">
        <v>4901.76</v>
      </c>
      <c r="G198" s="170">
        <f t="shared" si="76"/>
        <v>1.4035044709891111E-3</v>
      </c>
      <c r="H198" s="245">
        <f t="shared" si="77"/>
        <v>-3.7303847437987238E-2</v>
      </c>
      <c r="I198" s="246">
        <v>327477.31</v>
      </c>
      <c r="J198" s="247">
        <v>400000</v>
      </c>
      <c r="K198" s="247">
        <f t="shared" si="78"/>
        <v>-2079.5499999999884</v>
      </c>
      <c r="L198" s="170">
        <f t="shared" si="83"/>
        <v>-6.3101402289122083E-3</v>
      </c>
      <c r="M198" s="248">
        <f t="shared" si="79"/>
        <v>-72522.69</v>
      </c>
      <c r="N198" s="249">
        <f t="shared" si="74"/>
        <v>-0.181306725</v>
      </c>
      <c r="O198" s="182">
        <f t="shared" si="56"/>
        <v>-0.23400099401501767</v>
      </c>
      <c r="P198" s="248" t="b">
        <f t="shared" si="80"/>
        <v>0</v>
      </c>
      <c r="Q198" s="249">
        <f>COUNTIF(P$2:P198, TRUE)/(COUNTIF(P$2:P198,FALSE) + COUNTIF(P$2:P198, TRUE))</f>
        <v>0.48730964467005078</v>
      </c>
      <c r="R198" s="247">
        <v>253608.16</v>
      </c>
      <c r="S198" s="247">
        <f t="shared" si="81"/>
        <v>73869.149999999994</v>
      </c>
      <c r="T198" s="247"/>
      <c r="U198" s="247"/>
      <c r="V198" s="249">
        <f>STDEV(D$2:D198)*SQRT(252)</f>
        <v>0.18001038194737823</v>
      </c>
      <c r="W198" s="249">
        <f>STDEV(L$2:L198)*SQRT(252)</f>
        <v>0.38251907030209392</v>
      </c>
      <c r="X198" s="173">
        <f t="shared" si="63"/>
        <v>-1.0072014904840363</v>
      </c>
      <c r="Y198" s="173">
        <f t="shared" si="64"/>
        <v>-0.6117368052531752</v>
      </c>
      <c r="Z198" s="794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1">
        <v>42517</v>
      </c>
      <c r="C199" s="242">
        <v>2099.06</v>
      </c>
      <c r="D199" s="170">
        <f t="shared" si="82"/>
        <v>4.2868762260179112E-3</v>
      </c>
      <c r="E199" s="243">
        <f t="shared" si="75"/>
        <v>-1.6076558665170512E-3</v>
      </c>
      <c r="F199" s="244">
        <v>4933.5</v>
      </c>
      <c r="G199" s="170">
        <f t="shared" si="76"/>
        <v>6.4752252252251808E-3</v>
      </c>
      <c r="H199" s="245">
        <f t="shared" si="77"/>
        <v>-3.1070173026690462E-2</v>
      </c>
      <c r="I199" s="246">
        <v>327126.28999999998</v>
      </c>
      <c r="J199" s="247">
        <v>400000</v>
      </c>
      <c r="K199" s="247">
        <f t="shared" si="78"/>
        <v>-351.02000000001863</v>
      </c>
      <c r="L199" s="170">
        <f t="shared" si="83"/>
        <v>-1.0718910571239841E-3</v>
      </c>
      <c r="M199" s="248">
        <f t="shared" si="79"/>
        <v>-72873.710000000021</v>
      </c>
      <c r="N199" s="249">
        <f t="shared" si="74"/>
        <v>-0.18218427500000006</v>
      </c>
      <c r="O199" s="182">
        <f t="shared" ref="O199:O262" si="85">N199/(A199/365.25)</f>
        <v>-0.23430565649207752</v>
      </c>
      <c r="P199" s="248" t="b">
        <f t="shared" si="80"/>
        <v>0</v>
      </c>
      <c r="Q199" s="249">
        <f>COUNTIF(P$2:P199, TRUE)/(COUNTIF(P$2:P199,FALSE) + COUNTIF(P$2:P199, TRUE))</f>
        <v>0.48484848484848486</v>
      </c>
      <c r="R199" s="247">
        <v>252103.35</v>
      </c>
      <c r="S199" s="247">
        <f t="shared" si="81"/>
        <v>75022.939999999973</v>
      </c>
      <c r="T199" s="247">
        <v>-82653.611999999514</v>
      </c>
      <c r="U199" s="247">
        <f t="shared" ref="U199:U204" si="86">M199-T199</f>
        <v>9779.9019999994925</v>
      </c>
      <c r="V199" s="249">
        <f>STDEV(D$2:D199)*SQRT(252)</f>
        <v>0.17961500199880534</v>
      </c>
      <c r="W199" s="249">
        <f>STDEV(L$2:L199)*SQRT(252)</f>
        <v>0.38154311840719901</v>
      </c>
      <c r="X199" s="173">
        <f t="shared" si="63"/>
        <v>-1.014304334117992</v>
      </c>
      <c r="Y199" s="173">
        <f t="shared" si="64"/>
        <v>-0.61410007201864025</v>
      </c>
      <c r="Z199" s="794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4">
        <v>2096.9499999999998</v>
      </c>
      <c r="D200" s="170">
        <f t="shared" si="82"/>
        <v>-1.0052118567359328E-3</v>
      </c>
      <c r="E200" s="208">
        <f t="shared" si="75"/>
        <v>-2.6112516885144102E-3</v>
      </c>
      <c r="F200" s="218">
        <v>4948.05</v>
      </c>
      <c r="G200" s="170">
        <f t="shared" si="76"/>
        <v>2.9492246883551601E-3</v>
      </c>
      <c r="H200" s="202">
        <f t="shared" si="77"/>
        <v>-2.8212581259697084E-2</v>
      </c>
      <c r="I200" s="465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1">
        <f t="shared" si="79"/>
        <v>-69227</v>
      </c>
      <c r="N200" s="183">
        <f t="shared" si="74"/>
        <v>-0.17306750000000001</v>
      </c>
      <c r="O200" s="182">
        <f t="shared" si="85"/>
        <v>-0.21948925130208335</v>
      </c>
      <c r="P200" s="181" t="b">
        <f t="shared" si="80"/>
        <v>1</v>
      </c>
      <c r="Q200" s="183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3">
        <f>STDEV(D$2:D200)*SQRT(252)</f>
        <v>0.17916254338672621</v>
      </c>
      <c r="W200" s="183">
        <f>STDEV(L$2:L200)*SQRT(252)</f>
        <v>0.38079113185082497</v>
      </c>
      <c r="X200" s="173">
        <f t="shared" si="63"/>
        <v>-0.96598037027432726</v>
      </c>
      <c r="Y200" s="173">
        <f t="shared" si="64"/>
        <v>-0.57640326400266151</v>
      </c>
      <c r="Z200" s="794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4">
        <v>2099.33</v>
      </c>
      <c r="D201" s="170">
        <f t="shared" si="82"/>
        <v>1.1349817592217789E-3</v>
      </c>
      <c r="E201" s="208">
        <f t="shared" si="75"/>
        <v>-1.4792336523278321E-3</v>
      </c>
      <c r="F201" s="218">
        <v>4952.25</v>
      </c>
      <c r="G201" s="170">
        <f t="shared" si="76"/>
        <v>8.4881923181855839E-4</v>
      </c>
      <c r="H201" s="202">
        <f t="shared" si="77"/>
        <v>-2.7387709409430999E-2</v>
      </c>
      <c r="I201" s="220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1">
        <f t="shared" si="79"/>
        <v>-65682.359999999986</v>
      </c>
      <c r="N201" s="183">
        <f t="shared" si="74"/>
        <v>-0.16420589999999996</v>
      </c>
      <c r="O201" s="182">
        <f t="shared" si="85"/>
        <v>-0.20753012102076121</v>
      </c>
      <c r="P201" s="181" t="b">
        <f t="shared" si="80"/>
        <v>1</v>
      </c>
      <c r="Q201" s="183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3">
        <f>STDEV(D$2:D201)*SQRT(252)</f>
        <v>0.17871370889489749</v>
      </c>
      <c r="W201" s="183">
        <f>STDEV(L$2:L201)*SQRT(252)</f>
        <v>0.3800270839694988</v>
      </c>
      <c r="X201" s="173">
        <f t="shared" si="63"/>
        <v>-0.91882095120397478</v>
      </c>
      <c r="Y201" s="173">
        <f t="shared" si="64"/>
        <v>-0.54609297540860979</v>
      </c>
      <c r="Z201" s="794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4">
        <v>2105.2600000000002</v>
      </c>
      <c r="D202" s="170">
        <f t="shared" si="82"/>
        <v>2.8247107410460915E-3</v>
      </c>
      <c r="E202" s="208">
        <f t="shared" si="75"/>
        <v>1.3412986815320121E-3</v>
      </c>
      <c r="F202" s="218">
        <v>4971.3599999999997</v>
      </c>
      <c r="G202" s="170">
        <f t="shared" si="76"/>
        <v>3.8588520369528339E-3</v>
      </c>
      <c r="H202" s="202">
        <f t="shared" si="77"/>
        <v>-2.3634542490720223E-2</v>
      </c>
      <c r="I202" s="220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1">
        <f t="shared" si="79"/>
        <v>-64311.010000000009</v>
      </c>
      <c r="N202" s="183">
        <f t="shared" si="74"/>
        <v>-0.16077752500000003</v>
      </c>
      <c r="O202" s="182">
        <f t="shared" si="85"/>
        <v>-0.20249652071120694</v>
      </c>
      <c r="P202" s="181" t="b">
        <f t="shared" si="80"/>
        <v>1</v>
      </c>
      <c r="Q202" s="183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3">
        <f>STDEV(D$2:D202)*SQRT(252)</f>
        <v>0.17829120938366202</v>
      </c>
      <c r="W202" s="183">
        <f>STDEV(L$2:L202)*SQRT(252)</f>
        <v>0.37910108221879157</v>
      </c>
      <c r="X202" s="173">
        <f t="shared" si="63"/>
        <v>-0.90176922101653045</v>
      </c>
      <c r="Y202" s="173">
        <f t="shared" si="64"/>
        <v>-0.53414914968335436</v>
      </c>
      <c r="Z202" s="794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4">
        <v>2099.13</v>
      </c>
      <c r="D203" s="170">
        <f t="shared" si="82"/>
        <v>-2.911754367631603E-3</v>
      </c>
      <c r="E203" s="208">
        <f t="shared" si="75"/>
        <v>-1.5743612183938402E-3</v>
      </c>
      <c r="F203" s="218">
        <v>4942.51</v>
      </c>
      <c r="G203" s="170">
        <f t="shared" si="76"/>
        <v>-5.8032409642430755E-3</v>
      </c>
      <c r="H203" s="202">
        <f t="shared" si="77"/>
        <v>-2.9300626509810006E-2</v>
      </c>
      <c r="I203" s="220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1">
        <f t="shared" si="79"/>
        <v>-66068.890000000014</v>
      </c>
      <c r="N203" s="183">
        <f t="shared" si="74"/>
        <v>-0.16517222500000003</v>
      </c>
      <c r="O203" s="182">
        <f t="shared" si="85"/>
        <v>-0.20731668447164953</v>
      </c>
      <c r="P203" s="181" t="b">
        <f t="shared" si="80"/>
        <v>0</v>
      </c>
      <c r="Q203" s="183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3">
        <f>STDEV(D$2:D203)*SQRT(252)</f>
        <v>0.17787624865882645</v>
      </c>
      <c r="W203" s="183">
        <f>STDEV(L$2:L203)*SQRT(252)</f>
        <v>0.37819539294836535</v>
      </c>
      <c r="X203" s="173">
        <f t="shared" si="63"/>
        <v>-0.9285794266822367</v>
      </c>
      <c r="Y203" s="173">
        <f t="shared" si="64"/>
        <v>-0.54817347946899575</v>
      </c>
      <c r="Z203" s="794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1">
        <v>42527</v>
      </c>
      <c r="C204" s="242">
        <v>2109.41</v>
      </c>
      <c r="D204" s="170">
        <f t="shared" si="82"/>
        <v>4.8972669629797792E-3</v>
      </c>
      <c r="E204" s="243">
        <f t="shared" si="75"/>
        <v>3.3151956774033027E-3</v>
      </c>
      <c r="F204" s="244">
        <v>4968.71</v>
      </c>
      <c r="G204" s="170">
        <f t="shared" si="76"/>
        <v>5.300950326858179E-3</v>
      </c>
      <c r="H204" s="245">
        <f t="shared" si="77"/>
        <v>-2.4154997348626153E-2</v>
      </c>
      <c r="I204" s="246">
        <v>340934.25</v>
      </c>
      <c r="J204" s="247">
        <v>400000</v>
      </c>
      <c r="K204" s="247">
        <f t="shared" si="78"/>
        <v>7003.140000000014</v>
      </c>
      <c r="L204" s="170">
        <f t="shared" si="83"/>
        <v>2.0971810622855757E-2</v>
      </c>
      <c r="M204" s="248">
        <f t="shared" si="79"/>
        <v>-59065.75</v>
      </c>
      <c r="N204" s="249">
        <f t="shared" si="74"/>
        <v>-0.14766437499999999</v>
      </c>
      <c r="O204" s="182">
        <f t="shared" si="85"/>
        <v>-0.18345038424744894</v>
      </c>
      <c r="P204" s="248" t="b">
        <f t="shared" si="80"/>
        <v>1</v>
      </c>
      <c r="Q204" s="249">
        <f>COUNTIF(P$2:P204, TRUE)/(COUNTIF(P$2:P204,FALSE) + COUNTIF(P$2:P204, TRUE))</f>
        <v>0.49261083743842365</v>
      </c>
      <c r="R204" s="247">
        <v>226096.58</v>
      </c>
      <c r="S204" s="247">
        <f t="shared" si="81"/>
        <v>114837.67000000001</v>
      </c>
      <c r="T204" s="247">
        <v>-68552.800000000003</v>
      </c>
      <c r="U204" s="247">
        <f t="shared" si="86"/>
        <v>9487.0500000000029</v>
      </c>
      <c r="V204" s="249">
        <f>STDEV(D$2:D204)*SQRT(252)</f>
        <v>0.17751563901521938</v>
      </c>
      <c r="W204" s="249">
        <f>STDEV(L$2:L204)*SQRT(252)</f>
        <v>0.3779906391006832</v>
      </c>
      <c r="X204" s="173">
        <f t="shared" si="63"/>
        <v>-0.83183868091385404</v>
      </c>
      <c r="Y204" s="173">
        <f t="shared" si="64"/>
        <v>-0.48533049570728737</v>
      </c>
      <c r="Z204" s="794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1">
        <v>42528</v>
      </c>
      <c r="C205" s="242">
        <v>2112.13</v>
      </c>
      <c r="D205" s="170">
        <f t="shared" si="82"/>
        <v>1.289460085995731E-3</v>
      </c>
      <c r="E205" s="243">
        <f t="shared" si="75"/>
        <v>4.6089305759023109E-3</v>
      </c>
      <c r="F205" s="244">
        <v>4961.75</v>
      </c>
      <c r="G205" s="170">
        <f t="shared" si="76"/>
        <v>-1.4007659935878802E-3</v>
      </c>
      <c r="H205" s="245">
        <f t="shared" si="77"/>
        <v>-2.5521927843352873E-2</v>
      </c>
      <c r="I205" s="246">
        <v>347691.97</v>
      </c>
      <c r="J205" s="247">
        <v>400000</v>
      </c>
      <c r="K205" s="247">
        <f t="shared" si="78"/>
        <v>6757.7199999999721</v>
      </c>
      <c r="L205" s="170">
        <f t="shared" si="83"/>
        <v>1.9821182530062532E-2</v>
      </c>
      <c r="M205" s="248">
        <f t="shared" si="79"/>
        <v>-52308.030000000028</v>
      </c>
      <c r="N205" s="249">
        <f t="shared" si="74"/>
        <v>-0.13077007500000007</v>
      </c>
      <c r="O205" s="182">
        <f t="shared" si="85"/>
        <v>-0.16191108438559329</v>
      </c>
      <c r="P205" s="248" t="b">
        <f t="shared" si="80"/>
        <v>1</v>
      </c>
      <c r="Q205" s="249">
        <f>COUNTIF(P$2:P205, TRUE)/(COUNTIF(P$2:P205,FALSE) + COUNTIF(P$2:P205, TRUE))</f>
        <v>0.49509803921568629</v>
      </c>
      <c r="R205" s="247">
        <v>221341.46</v>
      </c>
      <c r="S205" s="247">
        <f t="shared" si="81"/>
        <v>126350.50999999998</v>
      </c>
      <c r="T205" s="247">
        <v>-62220.480000000003</v>
      </c>
      <c r="U205" s="247">
        <f t="shared" ref="U205:U236" si="87">M205-T205</f>
        <v>9912.4499999999753</v>
      </c>
      <c r="V205" s="249">
        <f>STDEV(D$2:D205)*SQRT(252)</f>
        <v>0.1770808372915795</v>
      </c>
      <c r="W205" s="249">
        <f>STDEV(L$2:L205)*SQRT(252)</f>
        <v>0.37770326655936998</v>
      </c>
      <c r="X205" s="173">
        <f t="shared" si="63"/>
        <v>-0.73847671492921274</v>
      </c>
      <c r="Y205" s="173">
        <f t="shared" si="64"/>
        <v>-0.42867271406068974</v>
      </c>
      <c r="Z205" s="794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1">
        <v>42529</v>
      </c>
      <c r="C206" s="242">
        <v>2119.12</v>
      </c>
      <c r="D206" s="170">
        <f t="shared" si="82"/>
        <v>3.3094553839014555E-3</v>
      </c>
      <c r="E206" s="243">
        <f t="shared" si="75"/>
        <v>7.9336390099122144E-3</v>
      </c>
      <c r="F206" s="244">
        <v>4974.6400000000003</v>
      </c>
      <c r="G206" s="170">
        <f t="shared" si="76"/>
        <v>2.5978737340656677E-3</v>
      </c>
      <c r="H206" s="245">
        <f t="shared" si="77"/>
        <v>-2.2990356855274171E-2</v>
      </c>
      <c r="I206" s="246">
        <v>345415.56</v>
      </c>
      <c r="J206" s="247">
        <v>400000</v>
      </c>
      <c r="K206" s="247">
        <f t="shared" si="78"/>
        <v>-2276.4099999999744</v>
      </c>
      <c r="L206" s="170">
        <f t="shared" si="83"/>
        <v>-6.5472032615535372E-3</v>
      </c>
      <c r="M206" s="248">
        <f t="shared" si="79"/>
        <v>-54584.44</v>
      </c>
      <c r="N206" s="249">
        <f t="shared" si="74"/>
        <v>-0.1364611</v>
      </c>
      <c r="O206" s="182">
        <f t="shared" si="85"/>
        <v>-0.16838654315878379</v>
      </c>
      <c r="P206" s="248" t="b">
        <f t="shared" si="80"/>
        <v>0</v>
      </c>
      <c r="Q206" s="249">
        <f>COUNTIF(P$2:P206, TRUE)/(COUNTIF(P$2:P206,FALSE) + COUNTIF(P$2:P206, TRUE))</f>
        <v>0.49268292682926829</v>
      </c>
      <c r="R206" s="247">
        <v>224599.69</v>
      </c>
      <c r="S206" s="247">
        <f t="shared" si="81"/>
        <v>120815.87</v>
      </c>
      <c r="T206" s="247">
        <v>-64591.5</v>
      </c>
      <c r="U206" s="247">
        <f t="shared" si="87"/>
        <v>10007.059999999998</v>
      </c>
      <c r="V206" s="249">
        <f>STDEV(D$2:D206)*SQRT(252)</f>
        <v>0.1766804976423699</v>
      </c>
      <c r="W206" s="249">
        <f>STDEV(L$2:L206)*SQRT(252)</f>
        <v>0.37684312307903423</v>
      </c>
      <c r="X206" s="173">
        <f t="shared" si="63"/>
        <v>-0.77236085374979813</v>
      </c>
      <c r="Y206" s="173">
        <f t="shared" si="64"/>
        <v>-0.44683459202589337</v>
      </c>
      <c r="Z206" s="794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1">
        <v>42530</v>
      </c>
      <c r="C207" s="242">
        <v>2115.48</v>
      </c>
      <c r="D207" s="170">
        <f t="shared" si="82"/>
        <v>-1.7176941371889619E-3</v>
      </c>
      <c r="E207" s="243">
        <f t="shared" si="75"/>
        <v>6.2023173075093528E-3</v>
      </c>
      <c r="F207" s="244">
        <v>4958.6099999999997</v>
      </c>
      <c r="G207" s="170">
        <f t="shared" si="76"/>
        <v>-3.2223437273854296E-3</v>
      </c>
      <c r="H207" s="245">
        <f t="shared" si="77"/>
        <v>-2.6138617750456655E-2</v>
      </c>
      <c r="I207" s="246">
        <v>343338.01</v>
      </c>
      <c r="J207" s="247">
        <v>400000</v>
      </c>
      <c r="K207" s="247">
        <f t="shared" si="78"/>
        <v>-2077.5499999999884</v>
      </c>
      <c r="L207" s="170">
        <f t="shared" si="83"/>
        <v>-6.0146392941881031E-3</v>
      </c>
      <c r="M207" s="248">
        <f t="shared" si="79"/>
        <v>-56661.989999999991</v>
      </c>
      <c r="N207" s="249">
        <f t="shared" si="74"/>
        <v>-0.14165497499999999</v>
      </c>
      <c r="O207" s="182">
        <f t="shared" si="85"/>
        <v>-0.17420700208333334</v>
      </c>
      <c r="P207" s="248" t="b">
        <f t="shared" si="80"/>
        <v>0</v>
      </c>
      <c r="Q207" s="249">
        <f>COUNTIF(P$2:P207, TRUE)/(COUNTIF(P$2:P207,FALSE) + COUNTIF(P$2:P207, TRUE))</f>
        <v>0.49029126213592233</v>
      </c>
      <c r="R207" s="247">
        <v>224600.69</v>
      </c>
      <c r="S207" s="247">
        <f t="shared" si="81"/>
        <v>118737.32</v>
      </c>
      <c r="T207" s="247">
        <v>-66856.5</v>
      </c>
      <c r="U207" s="247">
        <f t="shared" si="87"/>
        <v>10194.510000000009</v>
      </c>
      <c r="V207" s="249">
        <f>STDEV(D$2:D207)*SQRT(252)</f>
        <v>0.17625845275295093</v>
      </c>
      <c r="W207" s="249">
        <f>STDEV(L$2:L207)*SQRT(252)</f>
        <v>0.37597781518957712</v>
      </c>
      <c r="X207" s="173">
        <f t="shared" si="63"/>
        <v>-0.80367762673230658</v>
      </c>
      <c r="Y207" s="173">
        <f t="shared" si="64"/>
        <v>-0.46334383318732236</v>
      </c>
      <c r="Z207" s="794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1">
        <v>42531</v>
      </c>
      <c r="C208" s="242">
        <v>2096.0700000000002</v>
      </c>
      <c r="D208" s="170">
        <f t="shared" si="82"/>
        <v>-9.1752226445061431E-3</v>
      </c>
      <c r="E208" s="243">
        <f t="shared" si="75"/>
        <v>-3.0298129792050619E-3</v>
      </c>
      <c r="F208" s="244">
        <v>4894.54</v>
      </c>
      <c r="G208" s="170">
        <f t="shared" si="76"/>
        <v>-1.2920959704433242E-2</v>
      </c>
      <c r="H208" s="245">
        <f t="shared" si="77"/>
        <v>-3.8721841428206664E-2</v>
      </c>
      <c r="I208" s="246">
        <v>332939.06</v>
      </c>
      <c r="J208" s="247">
        <v>400000</v>
      </c>
      <c r="K208" s="247">
        <f t="shared" si="78"/>
        <v>-10398.950000000012</v>
      </c>
      <c r="L208" s="170">
        <f t="shared" si="83"/>
        <v>-3.0287791322609493E-2</v>
      </c>
      <c r="M208" s="248">
        <f t="shared" si="79"/>
        <v>-67060.94</v>
      </c>
      <c r="N208" s="249">
        <f t="shared" si="74"/>
        <v>-0.16765235000000001</v>
      </c>
      <c r="O208" s="182">
        <f t="shared" si="85"/>
        <v>-0.20548664710570469</v>
      </c>
      <c r="P208" s="248" t="b">
        <f t="shared" si="80"/>
        <v>0</v>
      </c>
      <c r="Q208" s="249">
        <f>COUNTIF(P$2:P208, TRUE)/(COUNTIF(P$2:P208,FALSE) + COUNTIF(P$2:P208, TRUE))</f>
        <v>0.48792270531400966</v>
      </c>
      <c r="R208" s="247">
        <v>258667.11</v>
      </c>
      <c r="S208" s="247">
        <f t="shared" si="81"/>
        <v>74271.950000000012</v>
      </c>
      <c r="T208" s="247">
        <v>-76706.92</v>
      </c>
      <c r="U208" s="247">
        <f t="shared" si="87"/>
        <v>9645.9799999999959</v>
      </c>
      <c r="V208" s="249">
        <f>STDEV(D$2:D208)*SQRT(252)</f>
        <v>0.17612650252391751</v>
      </c>
      <c r="W208" s="249">
        <f>STDEV(L$2:L208)*SQRT(252)</f>
        <v>0.37655142178170292</v>
      </c>
      <c r="X208" s="173">
        <f t="shared" si="63"/>
        <v>-0.95188598874966734</v>
      </c>
      <c r="Y208" s="173">
        <f t="shared" si="64"/>
        <v>-0.54570673543979042</v>
      </c>
      <c r="Z208" s="794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4">
        <v>2079.06</v>
      </c>
      <c r="D209" s="170">
        <f t="shared" si="82"/>
        <v>-8.1151869928009161E-3</v>
      </c>
      <c r="E209" s="208">
        <f t="shared" si="75"/>
        <v>-1.1120412473126515E-2</v>
      </c>
      <c r="F209" s="218">
        <v>4848.4399999999996</v>
      </c>
      <c r="G209" s="170">
        <f t="shared" si="76"/>
        <v>-9.4186583417441398E-3</v>
      </c>
      <c r="H209" s="202">
        <f t="shared" si="77"/>
        <v>-4.7775791975175327E-2</v>
      </c>
      <c r="I209" s="220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1">
        <f t="shared" si="79"/>
        <v>-70202.31</v>
      </c>
      <c r="N209" s="183">
        <f t="shared" si="74"/>
        <v>-0.175505775</v>
      </c>
      <c r="O209" s="182">
        <f t="shared" si="85"/>
        <v>-0.21296838644102989</v>
      </c>
      <c r="P209" s="181" t="b">
        <f t="shared" si="80"/>
        <v>0</v>
      </c>
      <c r="Q209" s="183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3">
        <f>STDEV(D$2:D209)*SQRT(252)</f>
        <v>0.17592912166326158</v>
      </c>
      <c r="W209" s="183">
        <f>STDEV(L$2:L209)*SQRT(252)</f>
        <v>0.3757757250288794</v>
      </c>
      <c r="X209" s="173">
        <f t="shared" si="63"/>
        <v>-0.99759365215230322</v>
      </c>
      <c r="Y209" s="173">
        <f t="shared" si="64"/>
        <v>-0.56674333187611492</v>
      </c>
      <c r="Z209" s="794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4">
        <v>2075.3200000000002</v>
      </c>
      <c r="D210" s="170">
        <f t="shared" si="82"/>
        <v>-1.7988898829277566E-3</v>
      </c>
      <c r="E210" s="208">
        <f t="shared" si="75"/>
        <v>-1.2899297958562379E-2</v>
      </c>
      <c r="F210" s="218">
        <v>4843.55</v>
      </c>
      <c r="G210" s="170">
        <f t="shared" si="76"/>
        <v>-1.0085718292893008E-3</v>
      </c>
      <c r="H210" s="202">
        <f t="shared" si="77"/>
        <v>-4.8736178486556481E-2</v>
      </c>
      <c r="I210" s="220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1">
        <f t="shared" si="79"/>
        <v>-72807.81</v>
      </c>
      <c r="N210" s="183">
        <f t="shared" si="74"/>
        <v>-0.18201952499999999</v>
      </c>
      <c r="O210" s="182">
        <f t="shared" si="85"/>
        <v>-0.22014116392798011</v>
      </c>
      <c r="P210" s="181" t="b">
        <f t="shared" si="80"/>
        <v>0</v>
      </c>
      <c r="Q210" s="183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3">
        <f>STDEV(D$2:D210)*SQRT(252)</f>
        <v>0.17551491583407813</v>
      </c>
      <c r="W210" s="183">
        <f>STDEV(L$2:L210)*SQRT(252)</f>
        <v>0.37496263559037396</v>
      </c>
      <c r="X210" s="173">
        <f t="shared" si="63"/>
        <v>-1.0370601503297359</v>
      </c>
      <c r="Y210" s="173">
        <f t="shared" si="64"/>
        <v>-0.58710160168724712</v>
      </c>
      <c r="Z210" s="794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4">
        <v>2071.5</v>
      </c>
      <c r="D211" s="170">
        <f t="shared" si="82"/>
        <v>-1.8406799915194588E-3</v>
      </c>
      <c r="E211" s="208">
        <f t="shared" si="75"/>
        <v>-1.4716234470424866E-2</v>
      </c>
      <c r="F211" s="218">
        <v>4834.93</v>
      </c>
      <c r="G211" s="170">
        <f t="shared" si="76"/>
        <v>-1.7796863870507976E-3</v>
      </c>
      <c r="H211" s="202">
        <f t="shared" si="77"/>
        <v>-5.042912976019788E-2</v>
      </c>
      <c r="I211" s="220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1">
        <f t="shared" si="79"/>
        <v>-74389.789999999979</v>
      </c>
      <c r="N211" s="183">
        <f t="shared" si="74"/>
        <v>-0.18597447499999994</v>
      </c>
      <c r="O211" s="182">
        <f t="shared" si="85"/>
        <v>-0.22418210228960389</v>
      </c>
      <c r="P211" s="181" t="b">
        <f t="shared" si="80"/>
        <v>0</v>
      </c>
      <c r="Q211" s="183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3">
        <f>STDEV(D$2:D211)*SQRT(252)</f>
        <v>0.17510414280535444</v>
      </c>
      <c r="W211" s="183">
        <f>STDEV(L$2:L211)*SQRT(252)</f>
        <v>0.37409419523712373</v>
      </c>
      <c r="X211" s="173">
        <f t="shared" si="63"/>
        <v>-1.0620792405050574</v>
      </c>
      <c r="Y211" s="173">
        <f t="shared" si="64"/>
        <v>-0.59926645519720934</v>
      </c>
      <c r="Z211" s="794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4">
        <v>2077.9899999999998</v>
      </c>
      <c r="D212" s="170">
        <f t="shared" si="82"/>
        <v>3.1329954139511377E-3</v>
      </c>
      <c r="E212" s="208">
        <f t="shared" si="75"/>
        <v>-1.1629344951580198E-2</v>
      </c>
      <c r="F212" s="218">
        <v>4844.91</v>
      </c>
      <c r="G212" s="170">
        <f t="shared" si="76"/>
        <v>2.0641457063493292E-3</v>
      </c>
      <c r="H212" s="202">
        <f t="shared" si="77"/>
        <v>-4.8469077125517991E-2</v>
      </c>
      <c r="I212" s="220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1">
        <f t="shared" si="79"/>
        <v>-78311.710000000021</v>
      </c>
      <c r="N212" s="183">
        <f t="shared" si="74"/>
        <v>-0.19577927500000006</v>
      </c>
      <c r="O212" s="182">
        <f t="shared" si="85"/>
        <v>-0.23522493484786189</v>
      </c>
      <c r="P212" s="181" t="b">
        <f t="shared" si="80"/>
        <v>0</v>
      </c>
      <c r="Q212" s="183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3">
        <f>STDEV(D$2:D212)*SQRT(252)</f>
        <v>0.17471866463196331</v>
      </c>
      <c r="W212" s="183">
        <f>STDEV(L$2:L212)*SQRT(252)</f>
        <v>0.37342122618774559</v>
      </c>
      <c r="X212" s="173">
        <f t="shared" si="63"/>
        <v>-1.1205401289690482</v>
      </c>
      <c r="Y212" s="173">
        <f t="shared" si="64"/>
        <v>-0.62991848976897058</v>
      </c>
      <c r="Z212" s="794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4">
        <v>2071.2199999999998</v>
      </c>
      <c r="D213" s="170">
        <f t="shared" si="82"/>
        <v>-3.2579560055630598E-3</v>
      </c>
      <c r="E213" s="208">
        <f t="shared" si="75"/>
        <v>-1.4849413062917493E-2</v>
      </c>
      <c r="F213" s="218">
        <v>4800.34</v>
      </c>
      <c r="G213" s="170">
        <f t="shared" si="76"/>
        <v>-9.1993452922757516E-3</v>
      </c>
      <c r="H213" s="202">
        <f t="shared" si="77"/>
        <v>-5.7222538641318162E-2</v>
      </c>
      <c r="I213" s="220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1">
        <f t="shared" si="79"/>
        <v>-71415.520000000019</v>
      </c>
      <c r="N213" s="183">
        <f t="shared" si="74"/>
        <v>-0.17853880000000005</v>
      </c>
      <c r="O213" s="182">
        <f t="shared" si="85"/>
        <v>-0.21380753016393447</v>
      </c>
      <c r="P213" s="181" t="b">
        <f t="shared" si="80"/>
        <v>1</v>
      </c>
      <c r="Q213" s="183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3">
        <f>STDEV(D$2:D213)*SQRT(252)</f>
        <v>0.1743386358196137</v>
      </c>
      <c r="W213" s="183">
        <f>STDEV(L$2:L213)*SQRT(252)</f>
        <v>0.37328913049687473</v>
      </c>
      <c r="X213" s="173">
        <f t="shared" si="63"/>
        <v>-1.0240919871871215</v>
      </c>
      <c r="Y213" s="173">
        <f t="shared" si="64"/>
        <v>-0.5727665573314209</v>
      </c>
      <c r="Z213" s="794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1">
        <v>42541</v>
      </c>
      <c r="C214" s="242">
        <v>2083.25</v>
      </c>
      <c r="D214" s="170">
        <f t="shared" si="82"/>
        <v>5.808171029634805E-3</v>
      </c>
      <c r="E214" s="243">
        <f t="shared" si="75"/>
        <v>-9.1274899640418055E-3</v>
      </c>
      <c r="F214" s="244">
        <v>4837.21</v>
      </c>
      <c r="G214" s="170">
        <f t="shared" si="76"/>
        <v>7.6807059499951853E-3</v>
      </c>
      <c r="H214" s="245">
        <f t="shared" si="77"/>
        <v>-4.9981342184339181E-2</v>
      </c>
      <c r="I214" s="246">
        <v>341742.75</v>
      </c>
      <c r="J214" s="247">
        <v>400000</v>
      </c>
      <c r="K214" s="247">
        <f t="shared" si="78"/>
        <v>13158.270000000019</v>
      </c>
      <c r="L214" s="170">
        <f t="shared" si="83"/>
        <v>4.0045318025976211E-2</v>
      </c>
      <c r="M214" s="248">
        <f t="shared" si="79"/>
        <v>-58257.25</v>
      </c>
      <c r="N214" s="249">
        <f t="shared" si="74"/>
        <v>-0.14564312500000001</v>
      </c>
      <c r="O214" s="182">
        <f t="shared" si="85"/>
        <v>-0.17271477729301948</v>
      </c>
      <c r="P214" s="248" t="b">
        <f t="shared" si="80"/>
        <v>1</v>
      </c>
      <c r="Q214" s="249">
        <f>COUNTIF(P$2:P214, TRUE)/(COUNTIF(P$2:P214,FALSE) + COUNTIF(P$2:P214, TRUE))</f>
        <v>0.48356807511737088</v>
      </c>
      <c r="R214" s="247">
        <v>253651.64</v>
      </c>
      <c r="S214" s="247">
        <f t="shared" si="81"/>
        <v>88091.109999999986</v>
      </c>
      <c r="T214" s="247">
        <v>-65989</v>
      </c>
      <c r="U214" s="247">
        <f t="shared" si="87"/>
        <v>7731.75</v>
      </c>
      <c r="V214" s="249">
        <f>STDEV(D$2:D214)*SQRT(252)</f>
        <v>0.1740406908760673</v>
      </c>
      <c r="W214" s="249">
        <f>STDEV(L$2:L214)*SQRT(252)</f>
        <v>0.37498171296802196</v>
      </c>
      <c r="X214" s="173">
        <f t="shared" si="63"/>
        <v>-0.83683375575491759</v>
      </c>
      <c r="Y214" s="173">
        <f t="shared" si="64"/>
        <v>-0.46059520056581643</v>
      </c>
      <c r="Z214" s="794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1">
        <v>42542</v>
      </c>
      <c r="C215" s="242">
        <v>2088.9</v>
      </c>
      <c r="D215" s="170">
        <f t="shared" si="82"/>
        <v>2.7121084843394171E-3</v>
      </c>
      <c r="E215" s="243">
        <f t="shared" si="75"/>
        <v>-6.4401362226745888E-3</v>
      </c>
      <c r="F215" s="244">
        <v>4843.76</v>
      </c>
      <c r="G215" s="170">
        <f t="shared" si="76"/>
        <v>1.3540863431606611E-3</v>
      </c>
      <c r="H215" s="245">
        <f t="shared" si="77"/>
        <v>-4.8694934894043168E-2</v>
      </c>
      <c r="I215" s="246">
        <v>348811.35</v>
      </c>
      <c r="J215" s="247">
        <v>400000</v>
      </c>
      <c r="K215" s="247">
        <f t="shared" si="78"/>
        <v>7068.5999999999767</v>
      </c>
      <c r="L215" s="170">
        <f t="shared" si="83"/>
        <v>2.0683979396783039E-2</v>
      </c>
      <c r="M215" s="248">
        <f t="shared" si="79"/>
        <v>-51188.650000000023</v>
      </c>
      <c r="N215" s="249">
        <f t="shared" si="74"/>
        <v>-0.12797162500000006</v>
      </c>
      <c r="O215" s="182">
        <f t="shared" si="85"/>
        <v>-0.15126743052184474</v>
      </c>
      <c r="P215" s="248" t="b">
        <f t="shared" si="80"/>
        <v>1</v>
      </c>
      <c r="Q215" s="249">
        <f>COUNTIF(P$2:P215, TRUE)/(COUNTIF(P$2:P215,FALSE) + COUNTIF(P$2:P215, TRUE))</f>
        <v>0.48598130841121495</v>
      </c>
      <c r="R215" s="247">
        <v>239827.20000000001</v>
      </c>
      <c r="S215" s="247">
        <f t="shared" si="81"/>
        <v>108984.14999999997</v>
      </c>
      <c r="T215" s="247">
        <v>-59378</v>
      </c>
      <c r="U215" s="247">
        <f t="shared" si="87"/>
        <v>8189.3499999999767</v>
      </c>
      <c r="V215" s="249">
        <f>STDEV(D$2:D215)*SQRT(252)</f>
        <v>0.17365448408627729</v>
      </c>
      <c r="W215" s="249">
        <f>STDEV(L$2:L215)*SQRT(252)</f>
        <v>0.37477394701034494</v>
      </c>
      <c r="X215" s="173">
        <f t="shared" si="63"/>
        <v>-0.73693245339072</v>
      </c>
      <c r="Y215" s="173">
        <f t="shared" si="64"/>
        <v>-0.40362312196068761</v>
      </c>
      <c r="Z215" s="794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1">
        <v>42543</v>
      </c>
      <c r="C216" s="242">
        <v>2085.4499999999998</v>
      </c>
      <c r="D216" s="170">
        <f t="shared" si="82"/>
        <v>-1.6515869596439622E-3</v>
      </c>
      <c r="E216" s="243">
        <f t="shared" si="75"/>
        <v>-8.081086737314851E-3</v>
      </c>
      <c r="F216" s="244">
        <v>4833.3100000000004</v>
      </c>
      <c r="G216" s="170">
        <f t="shared" si="76"/>
        <v>-2.1574149008208123E-3</v>
      </c>
      <c r="H216" s="245">
        <f t="shared" si="77"/>
        <v>-5.0747294616729076E-2</v>
      </c>
      <c r="I216" s="246">
        <v>345838.5</v>
      </c>
      <c r="J216" s="247">
        <v>400000</v>
      </c>
      <c r="K216" s="247">
        <f t="shared" si="78"/>
        <v>-2972.8499999999767</v>
      </c>
      <c r="L216" s="170">
        <f t="shared" si="83"/>
        <v>-8.5228017952970192E-3</v>
      </c>
      <c r="M216" s="248">
        <f t="shared" si="79"/>
        <v>-54161.5</v>
      </c>
      <c r="N216" s="249">
        <f t="shared" si="74"/>
        <v>-0.13540374999999999</v>
      </c>
      <c r="O216" s="182">
        <f t="shared" si="85"/>
        <v>-0.15953619254032259</v>
      </c>
      <c r="P216" s="248" t="b">
        <f t="shared" si="80"/>
        <v>0</v>
      </c>
      <c r="Q216" s="249">
        <f>COUNTIF(P$2:P216, TRUE)/(COUNTIF(P$2:P216,FALSE) + COUNTIF(P$2:P216, TRUE))</f>
        <v>0.48372093023255813</v>
      </c>
      <c r="R216" s="247">
        <v>250911.65</v>
      </c>
      <c r="S216" s="247">
        <f t="shared" si="81"/>
        <v>94926.85</v>
      </c>
      <c r="T216" s="247">
        <v>-62340</v>
      </c>
      <c r="U216" s="247">
        <f t="shared" si="87"/>
        <v>8178.5</v>
      </c>
      <c r="V216" s="249">
        <f>STDEV(D$2:D216)*SQRT(252)</f>
        <v>0.17325596668423277</v>
      </c>
      <c r="W216" s="249">
        <f>STDEV(L$2:L216)*SQRT(252)</f>
        <v>0.37400942044017926</v>
      </c>
      <c r="X216" s="173">
        <f t="shared" si="63"/>
        <v>-0.78152431106040787</v>
      </c>
      <c r="Y216" s="173">
        <f t="shared" si="64"/>
        <v>-0.42655661547926044</v>
      </c>
      <c r="Z216" s="794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1">
        <v>42544</v>
      </c>
      <c r="C217" s="242">
        <v>2113.3200000000002</v>
      </c>
      <c r="D217" s="170">
        <f t="shared" si="82"/>
        <v>1.3364022153492219E-2</v>
      </c>
      <c r="E217" s="243">
        <f t="shared" si="75"/>
        <v>5.1749395939956E-3</v>
      </c>
      <c r="F217" s="244">
        <v>4910.04</v>
      </c>
      <c r="G217" s="170">
        <f t="shared" si="76"/>
        <v>1.5875249052926369E-2</v>
      </c>
      <c r="H217" s="245">
        <f t="shared" si="77"/>
        <v>-3.5677671504605504E-2</v>
      </c>
      <c r="I217" s="246">
        <v>355595.65</v>
      </c>
      <c r="J217" s="247">
        <v>400000</v>
      </c>
      <c r="K217" s="247">
        <f t="shared" si="78"/>
        <v>9757.1500000000233</v>
      </c>
      <c r="L217" s="170">
        <f t="shared" si="83"/>
        <v>2.8213024287348065E-2</v>
      </c>
      <c r="M217" s="248">
        <f t="shared" si="79"/>
        <v>-44404.349999999977</v>
      </c>
      <c r="N217" s="249">
        <f t="shared" si="74"/>
        <v>-0.11101087499999994</v>
      </c>
      <c r="O217" s="182">
        <f t="shared" si="85"/>
        <v>-0.13037531219855297</v>
      </c>
      <c r="P217" s="248" t="b">
        <f t="shared" si="80"/>
        <v>1</v>
      </c>
      <c r="Q217" s="249">
        <f>COUNTIF(P$2:P217, TRUE)/(COUNTIF(P$2:P217,FALSE) + COUNTIF(P$2:P217, TRUE))</f>
        <v>0.4861111111111111</v>
      </c>
      <c r="R217" s="247">
        <v>222188.6</v>
      </c>
      <c r="S217" s="247">
        <f t="shared" si="81"/>
        <v>133407.05000000002</v>
      </c>
      <c r="T217" s="247">
        <v>-52883</v>
      </c>
      <c r="U217" s="247">
        <f t="shared" si="87"/>
        <v>8478.6500000000233</v>
      </c>
      <c r="V217" s="249">
        <f>STDEV(D$2:D217)*SQRT(252)</f>
        <v>0.17345322733352617</v>
      </c>
      <c r="W217" s="249">
        <f>STDEV(L$2:L217)*SQRT(252)</f>
        <v>0.37437996728891731</v>
      </c>
      <c r="X217" s="173">
        <f t="shared" si="63"/>
        <v>-0.64000466700190961</v>
      </c>
      <c r="Y217" s="173">
        <f t="shared" si="64"/>
        <v>-0.34824329181571689</v>
      </c>
      <c r="Z217" s="794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1">
        <v>42545</v>
      </c>
      <c r="C218" s="242">
        <v>2037.3</v>
      </c>
      <c r="D218" s="170">
        <f t="shared" si="82"/>
        <v>-3.5971835784452996E-2</v>
      </c>
      <c r="E218" s="243">
        <f t="shared" si="75"/>
        <v>-3.0983048267727069E-2</v>
      </c>
      <c r="F218" s="244">
        <v>4707.9799999999996</v>
      </c>
      <c r="G218" s="170">
        <f t="shared" si="76"/>
        <v>-4.1152414236951311E-2</v>
      </c>
      <c r="H218" s="245">
        <f t="shared" si="77"/>
        <v>-7.5361863424789413E-2</v>
      </c>
      <c r="I218" s="246">
        <v>344597.21</v>
      </c>
      <c r="J218" s="247">
        <v>400000</v>
      </c>
      <c r="K218" s="247">
        <f t="shared" si="78"/>
        <v>-10998.440000000002</v>
      </c>
      <c r="L218" s="170">
        <f t="shared" si="83"/>
        <v>-3.092962470153952E-2</v>
      </c>
      <c r="M218" s="248">
        <f t="shared" si="79"/>
        <v>-55402.789999999979</v>
      </c>
      <c r="N218" s="249">
        <f t="shared" si="74"/>
        <v>-0.13850697499999995</v>
      </c>
      <c r="O218" s="182">
        <f t="shared" si="85"/>
        <v>-0.16214638659855762</v>
      </c>
      <c r="P218" s="248" t="b">
        <f t="shared" si="80"/>
        <v>1</v>
      </c>
      <c r="Q218" s="249">
        <f>COUNTIF(P$2:P218, TRUE)/(COUNTIF(P$2:P218,FALSE) + COUNTIF(P$2:P218, TRUE))</f>
        <v>0.48847926267281105</v>
      </c>
      <c r="R218" s="247">
        <v>292212.87</v>
      </c>
      <c r="S218" s="247">
        <f t="shared" si="81"/>
        <v>52384.340000000026</v>
      </c>
      <c r="T218" s="247">
        <v>-60319</v>
      </c>
      <c r="U218" s="247">
        <f t="shared" si="87"/>
        <v>4916.210000000021</v>
      </c>
      <c r="V218" s="249">
        <f>STDEV(D$2:D218)*SQRT(252)</f>
        <v>0.17737738991567559</v>
      </c>
      <c r="W218" s="249">
        <f>STDEV(L$2:L218)*SQRT(252)</f>
        <v>0.37501491948250398</v>
      </c>
      <c r="X218" s="173">
        <f t="shared" si="63"/>
        <v>-0.78086037383820761</v>
      </c>
      <c r="Y218" s="173">
        <f t="shared" si="64"/>
        <v>-0.43237316217261174</v>
      </c>
      <c r="Z218" s="794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4">
        <v>2000.54</v>
      </c>
      <c r="D219" s="170">
        <f t="shared" si="82"/>
        <v>-1.8043488931428847E-2</v>
      </c>
      <c r="E219" s="208">
        <f t="shared" si="75"/>
        <v>-4.8467494910675257E-2</v>
      </c>
      <c r="F219" s="218">
        <v>4594.4399999999996</v>
      </c>
      <c r="G219" s="170">
        <f t="shared" si="76"/>
        <v>-2.4116500070093749E-2</v>
      </c>
      <c r="H219" s="202">
        <f t="shared" si="77"/>
        <v>-9.7660899110316834E-2</v>
      </c>
      <c r="I219" s="220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1">
        <f t="shared" si="79"/>
        <v>-71909.479999999981</v>
      </c>
      <c r="N219" s="183">
        <f t="shared" si="74"/>
        <v>-0.17977369999999995</v>
      </c>
      <c r="O219" s="182">
        <f t="shared" si="85"/>
        <v>-0.20845188547619042</v>
      </c>
      <c r="P219" s="181" t="b">
        <f t="shared" si="80"/>
        <v>0</v>
      </c>
      <c r="Q219" s="183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3">
        <f>STDEV(D$2:D219)*SQRT(252)</f>
        <v>0.17802153758815042</v>
      </c>
      <c r="W219" s="183">
        <f>STDEV(L$2:L219)*SQRT(252)</f>
        <v>0.37769251793384978</v>
      </c>
      <c r="X219" s="173">
        <f t="shared" ref="X219:X282" si="88">N219/V219</f>
        <v>-1.0098424181455119</v>
      </c>
      <c r="Y219" s="173">
        <f t="shared" ref="Y219:Y282" si="89">O219/W219</f>
        <v>-0.55190896186272698</v>
      </c>
      <c r="Z219" s="794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4">
        <v>2036.09</v>
      </c>
      <c r="D220" s="170">
        <f t="shared" si="82"/>
        <v>1.7770202045447707E-2</v>
      </c>
      <c r="E220" s="208">
        <f t="shared" si="75"/>
        <v>-3.1558570042426959E-2</v>
      </c>
      <c r="F220" s="218">
        <v>4691.8599999999997</v>
      </c>
      <c r="G220" s="170">
        <f t="shared" si="76"/>
        <v>2.1203889919119649E-2</v>
      </c>
      <c r="H220" s="202">
        <f t="shared" si="77"/>
        <v>-7.85278001453346E-2</v>
      </c>
      <c r="I220" s="220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1">
        <f t="shared" si="79"/>
        <v>-52684.030000000028</v>
      </c>
      <c r="N220" s="183">
        <f t="shared" si="74"/>
        <v>-0.13171007500000007</v>
      </c>
      <c r="O220" s="182">
        <f t="shared" si="85"/>
        <v>-0.15223767371439881</v>
      </c>
      <c r="P220" s="181" t="b">
        <f t="shared" si="80"/>
        <v>1</v>
      </c>
      <c r="Q220" s="183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3">
        <f>STDEV(D$2:D220)*SQRT(252)</f>
        <v>0.17865473175577545</v>
      </c>
      <c r="W220" s="183">
        <f>STDEV(L$2:L220)*SQRT(252)</f>
        <v>0.38208789279178124</v>
      </c>
      <c r="X220" s="173">
        <f t="shared" si="88"/>
        <v>-0.73723250263558837</v>
      </c>
      <c r="Y220" s="173">
        <f t="shared" si="89"/>
        <v>-0.39843626711658386</v>
      </c>
      <c r="Z220" s="794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4">
        <v>2070.77</v>
      </c>
      <c r="D221" s="170">
        <f t="shared" si="82"/>
        <v>1.7032645904650614E-2</v>
      </c>
      <c r="E221" s="208">
        <f t="shared" si="75"/>
        <v>-1.506345008656612E-2</v>
      </c>
      <c r="F221" s="218">
        <v>4779.24</v>
      </c>
      <c r="G221" s="170">
        <f t="shared" si="76"/>
        <v>1.8623744101486428E-2</v>
      </c>
      <c r="H221" s="202">
        <f t="shared" si="77"/>
        <v>-6.1366537698607546E-2</v>
      </c>
      <c r="I221" s="220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1">
        <f t="shared" si="79"/>
        <v>-45200.409999999974</v>
      </c>
      <c r="N221" s="183">
        <f t="shared" si="74"/>
        <v>-0.11300102499999994</v>
      </c>
      <c r="O221" s="182">
        <f t="shared" si="85"/>
        <v>-0.13020070782728699</v>
      </c>
      <c r="P221" s="181" t="b">
        <f t="shared" si="80"/>
        <v>1</v>
      </c>
      <c r="Q221" s="183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3">
        <f>STDEV(D$2:D221)*SQRT(252)</f>
        <v>0.17918768492627107</v>
      </c>
      <c r="W221" s="183">
        <f>STDEV(L$2:L221)*SQRT(252)</f>
        <v>0.38190631702856759</v>
      </c>
      <c r="X221" s="173">
        <f t="shared" si="88"/>
        <v>-0.6306294154450155</v>
      </c>
      <c r="Y221" s="173">
        <f t="shared" si="89"/>
        <v>-0.34092315843402937</v>
      </c>
      <c r="Z221" s="794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4">
        <v>2098.86</v>
      </c>
      <c r="D222" s="170">
        <f t="shared" si="82"/>
        <v>1.3565002390415229E-2</v>
      </c>
      <c r="E222" s="208">
        <f t="shared" si="75"/>
        <v>-1.7027834325830592E-3</v>
      </c>
      <c r="F222" s="218">
        <v>4842.67</v>
      </c>
      <c r="G222" s="170">
        <f t="shared" si="76"/>
        <v>1.3271984667018248E-2</v>
      </c>
      <c r="H222" s="202">
        <f t="shared" si="77"/>
        <v>-4.8909008778993214E-2</v>
      </c>
      <c r="I222" s="465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1">
        <f t="shared" si="79"/>
        <v>-41595.840000000026</v>
      </c>
      <c r="N222" s="183">
        <f t="shared" ref="N222:N253" si="92">M222/J222</f>
        <v>-0.10398960000000007</v>
      </c>
      <c r="O222" s="182">
        <f t="shared" si="85"/>
        <v>-0.11944088490566046</v>
      </c>
      <c r="P222" s="181" t="b">
        <f t="shared" si="80"/>
        <v>0</v>
      </c>
      <c r="Q222" s="183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3">
        <f>STDEV(D$2:D222)*SQRT(252)</f>
        <v>0.17936712847918884</v>
      </c>
      <c r="W222" s="183">
        <f>STDEV(L$2:L222)*SQRT(252)</f>
        <v>0.38118352520471832</v>
      </c>
      <c r="X222" s="173">
        <f t="shared" si="88"/>
        <v>-0.5797584032353259</v>
      </c>
      <c r="Y222" s="173">
        <f t="shared" si="89"/>
        <v>-0.31334220134911017</v>
      </c>
      <c r="Z222" s="794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4">
        <v>2102.9499999999998</v>
      </c>
      <c r="D223" s="170">
        <f t="shared" si="82"/>
        <v>1.9486769007936169E-3</v>
      </c>
      <c r="E223" s="208">
        <f t="shared" si="75"/>
        <v>2.4257529346842884E-4</v>
      </c>
      <c r="F223" s="218">
        <v>4862.59</v>
      </c>
      <c r="G223" s="170">
        <f t="shared" si="76"/>
        <v>4.1134332919649848E-3</v>
      </c>
      <c r="H223" s="202">
        <f t="shared" si="77"/>
        <v>-4.4996759432016746E-2</v>
      </c>
      <c r="I223" s="220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1">
        <f t="shared" si="79"/>
        <v>-41139.030000000028</v>
      </c>
      <c r="N223" s="183">
        <f t="shared" si="92"/>
        <v>-0.10284757500000007</v>
      </c>
      <c r="O223" s="182">
        <f t="shared" si="85"/>
        <v>-0.11775886134404397</v>
      </c>
      <c r="P223" s="181" t="b">
        <f t="shared" si="80"/>
        <v>0</v>
      </c>
      <c r="Q223" s="183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3">
        <f>STDEV(D$2:D223)*SQRT(252)</f>
        <v>0.17897042454940121</v>
      </c>
      <c r="W223" s="183">
        <f>STDEV(L$2:L223)*SQRT(252)</f>
        <v>0.3803179125579893</v>
      </c>
      <c r="X223" s="173">
        <f t="shared" si="88"/>
        <v>-0.57466240726054185</v>
      </c>
      <c r="Y223" s="173">
        <f t="shared" si="89"/>
        <v>-0.30963269795000409</v>
      </c>
      <c r="Z223" s="794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1">
        <v>42556</v>
      </c>
      <c r="C224" s="242">
        <v>2088.5500000000002</v>
      </c>
      <c r="D224" s="170">
        <f t="shared" si="82"/>
        <v>-6.847523716683534E-3</v>
      </c>
      <c r="E224" s="243">
        <f t="shared" ref="E224:E255" si="93">(C224-$C$2)/$C$2</f>
        <v>-6.6066094632902111E-3</v>
      </c>
      <c r="F224" s="244">
        <v>4822.8999999999996</v>
      </c>
      <c r="G224" s="170">
        <f t="shared" si="76"/>
        <v>-8.1623167900235286E-3</v>
      </c>
      <c r="H224" s="245">
        <f t="shared" ref="H224:H255" si="94">(F224-F$2)/F$2</f>
        <v>-5.2791798417031674E-2</v>
      </c>
      <c r="I224" s="246">
        <v>346939.19</v>
      </c>
      <c r="J224" s="247">
        <v>400000</v>
      </c>
      <c r="K224" s="247">
        <f t="shared" ref="K224:K255" si="95">I224-I223-J224+J223</f>
        <v>-11921.77999999997</v>
      </c>
      <c r="L224" s="170">
        <f t="shared" si="91"/>
        <v>-3.3221166403245163E-2</v>
      </c>
      <c r="M224" s="248">
        <f t="shared" ref="M224:M253" si="96">I224-J224</f>
        <v>-53060.81</v>
      </c>
      <c r="N224" s="249">
        <f t="shared" si="92"/>
        <v>-0.13265202500000001</v>
      </c>
      <c r="O224" s="182">
        <f t="shared" si="85"/>
        <v>-0.15000356696981426</v>
      </c>
      <c r="P224" s="248" t="b">
        <f t="shared" ref="P224:P255" si="97">L224&gt;D224</f>
        <v>0</v>
      </c>
      <c r="Q224" s="249">
        <f>COUNTIF(P$2:P224, TRUE)/(COUNTIF(P$2:P224,FALSE) + COUNTIF(P$2:P224, TRUE))</f>
        <v>0.48430493273542602</v>
      </c>
      <c r="R224" s="247">
        <v>313798.31</v>
      </c>
      <c r="S224" s="247">
        <f t="shared" si="81"/>
        <v>33140.880000000005</v>
      </c>
      <c r="T224" s="247">
        <v>-60102</v>
      </c>
      <c r="U224" s="247">
        <f t="shared" si="87"/>
        <v>7041.1900000000023</v>
      </c>
      <c r="V224" s="249">
        <f>STDEV(D$2:D224)*SQRT(252)</f>
        <v>0.1787168459746149</v>
      </c>
      <c r="W224" s="249">
        <f>STDEV(L$2:L224)*SQRT(252)</f>
        <v>0.38112496311245453</v>
      </c>
      <c r="X224" s="173">
        <f t="shared" si="88"/>
        <v>-0.74224690054591724</v>
      </c>
      <c r="Y224" s="173">
        <f t="shared" si="89"/>
        <v>-0.39358105998833326</v>
      </c>
      <c r="Z224" s="794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1">
        <v>42557</v>
      </c>
      <c r="C225" s="242">
        <v>2088.5500000000002</v>
      </c>
      <c r="D225" s="170">
        <f t="shared" si="82"/>
        <v>0</v>
      </c>
      <c r="E225" s="243">
        <f t="shared" si="93"/>
        <v>-6.6066094632902111E-3</v>
      </c>
      <c r="F225" s="244">
        <v>4859.16</v>
      </c>
      <c r="G225" s="170">
        <f t="shared" si="76"/>
        <v>7.5182981193887954E-3</v>
      </c>
      <c r="H225" s="245">
        <f t="shared" si="94"/>
        <v>-4.5670404776400803E-2</v>
      </c>
      <c r="I225" s="246">
        <v>347494.51</v>
      </c>
      <c r="J225" s="247">
        <v>400000</v>
      </c>
      <c r="K225" s="247">
        <f t="shared" si="95"/>
        <v>555.32000000000698</v>
      </c>
      <c r="L225" s="170">
        <f t="shared" si="91"/>
        <v>1.6006263230164543E-3</v>
      </c>
      <c r="M225" s="248">
        <f t="shared" si="96"/>
        <v>-52505.489999999991</v>
      </c>
      <c r="N225" s="249">
        <f t="shared" si="92"/>
        <v>-0.13126372499999997</v>
      </c>
      <c r="O225" s="182">
        <f t="shared" si="85"/>
        <v>-0.14797554184027772</v>
      </c>
      <c r="P225" s="248" t="b">
        <f t="shared" si="97"/>
        <v>1</v>
      </c>
      <c r="Q225" s="249">
        <f>COUNTIF(P$2:P225, TRUE)/(COUNTIF(P$2:P225,FALSE) + COUNTIF(P$2:P225, TRUE))</f>
        <v>0.48660714285714285</v>
      </c>
      <c r="R225" s="247">
        <v>315793.82</v>
      </c>
      <c r="S225" s="247">
        <f t="shared" si="81"/>
        <v>31700.690000000002</v>
      </c>
      <c r="T225" s="247">
        <v>-60101</v>
      </c>
      <c r="U225" s="247">
        <f t="shared" si="87"/>
        <v>7595.5100000000093</v>
      </c>
      <c r="V225" s="249">
        <f>STDEV(D$2:D225)*SQRT(252)</f>
        <v>0.17831387977448732</v>
      </c>
      <c r="W225" s="249">
        <f>STDEV(L$2:L225)*SQRT(252)</f>
        <v>0.38026911407606601</v>
      </c>
      <c r="X225" s="173">
        <f t="shared" si="88"/>
        <v>-0.73613857298157925</v>
      </c>
      <c r="Y225" s="173">
        <f t="shared" si="89"/>
        <v>-0.38913373808917301</v>
      </c>
      <c r="Z225" s="794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1">
        <v>42558</v>
      </c>
      <c r="C226" s="242">
        <v>2088.5500000000002</v>
      </c>
      <c r="D226" s="170">
        <f t="shared" si="82"/>
        <v>0</v>
      </c>
      <c r="E226" s="243">
        <f t="shared" si="93"/>
        <v>-6.6066094632902111E-3</v>
      </c>
      <c r="F226" s="244">
        <v>4876.8</v>
      </c>
      <c r="G226" s="170">
        <f t="shared" si="76"/>
        <v>3.630257081470939E-3</v>
      </c>
      <c r="H226" s="245">
        <f t="shared" si="94"/>
        <v>-4.2205943005283041E-2</v>
      </c>
      <c r="I226" s="246">
        <v>350011.84</v>
      </c>
      <c r="J226" s="247">
        <v>400000</v>
      </c>
      <c r="K226" s="247">
        <f t="shared" si="95"/>
        <v>2517.3300000000163</v>
      </c>
      <c r="L226" s="170">
        <f t="shared" si="91"/>
        <v>7.2442295563173538E-3</v>
      </c>
      <c r="M226" s="248">
        <f t="shared" si="96"/>
        <v>-49988.159999999974</v>
      </c>
      <c r="N226" s="249">
        <f t="shared" si="92"/>
        <v>-0.12497039999999994</v>
      </c>
      <c r="O226" s="182">
        <f t="shared" si="85"/>
        <v>-0.14044750338461531</v>
      </c>
      <c r="P226" s="248" t="b">
        <f t="shared" si="97"/>
        <v>1</v>
      </c>
      <c r="Q226" s="249">
        <f>COUNTIF(P$2:P226, TRUE)/(COUNTIF(P$2:P226,FALSE) + COUNTIF(P$2:P226, TRUE))</f>
        <v>0.48888888888888887</v>
      </c>
      <c r="R226" s="247">
        <v>315794.82</v>
      </c>
      <c r="S226" s="247">
        <f t="shared" si="81"/>
        <v>34217.020000000019</v>
      </c>
      <c r="T226" s="247">
        <v>-60100</v>
      </c>
      <c r="U226" s="247">
        <f t="shared" si="87"/>
        <v>10111.840000000026</v>
      </c>
      <c r="V226" s="249">
        <f>STDEV(D$2:D226)*SQRT(252)</f>
        <v>0.17791362713368658</v>
      </c>
      <c r="W226" s="249">
        <f>STDEV(L$2:L226)*SQRT(252)</f>
        <v>0.3794918182893931</v>
      </c>
      <c r="X226" s="173">
        <f t="shared" si="88"/>
        <v>-0.70242174258015422</v>
      </c>
      <c r="Y226" s="173">
        <f t="shared" si="89"/>
        <v>-0.37009362683417002</v>
      </c>
      <c r="Z226" s="794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1">
        <v>42559</v>
      </c>
      <c r="C227" s="242">
        <v>2088.5500000000002</v>
      </c>
      <c r="D227" s="170">
        <f t="shared" si="82"/>
        <v>0</v>
      </c>
      <c r="E227" s="243">
        <f t="shared" si="93"/>
        <v>-6.6066094632902111E-3</v>
      </c>
      <c r="F227" s="244">
        <v>4956.75</v>
      </c>
      <c r="G227" s="170">
        <f t="shared" si="76"/>
        <v>1.6393946850393661E-2</v>
      </c>
      <c r="H227" s="245">
        <f t="shared" si="94"/>
        <v>-2.6503918141288729E-2</v>
      </c>
      <c r="I227" s="246">
        <f>356591.17-44.77</f>
        <v>356546.39999999997</v>
      </c>
      <c r="J227" s="247">
        <v>400000</v>
      </c>
      <c r="K227" s="247">
        <f t="shared" si="95"/>
        <v>6534.5599999999395</v>
      </c>
      <c r="L227" s="170">
        <f t="shared" si="91"/>
        <v>1.8669539864708401E-2</v>
      </c>
      <c r="M227" s="248">
        <f t="shared" si="96"/>
        <v>-43453.600000000035</v>
      </c>
      <c r="N227" s="249">
        <f t="shared" si="92"/>
        <v>-0.10863400000000009</v>
      </c>
      <c r="O227" s="182">
        <f t="shared" si="85"/>
        <v>-0.12171340030674857</v>
      </c>
      <c r="P227" s="248" t="b">
        <f t="shared" si="97"/>
        <v>1</v>
      </c>
      <c r="Q227" s="249">
        <f>COUNTIF(P$2:P227, TRUE)/(COUNTIF(P$2:P227,FALSE) + COUNTIF(P$2:P227, TRUE))</f>
        <v>0.49115044247787609</v>
      </c>
      <c r="R227" s="247">
        <v>317292.78000000003</v>
      </c>
      <c r="S227" s="247">
        <f t="shared" si="81"/>
        <v>39253.619999999937</v>
      </c>
      <c r="T227" s="247">
        <v>-54317</v>
      </c>
      <c r="U227" s="247">
        <f t="shared" si="87"/>
        <v>10863.399999999965</v>
      </c>
      <c r="V227" s="249">
        <f>STDEV(D$2:D227)*SQRT(252)</f>
        <v>0.17751605773328505</v>
      </c>
      <c r="W227" s="249">
        <f>STDEV(L$2:L227)*SQRT(252)</f>
        <v>0.37915328642285256</v>
      </c>
      <c r="X227" s="173">
        <f t="shared" si="88"/>
        <v>-0.61196717292596081</v>
      </c>
      <c r="Y227" s="173">
        <f t="shared" si="89"/>
        <v>-0.32101370254511552</v>
      </c>
      <c r="Z227" s="794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4">
        <v>2137.16</v>
      </c>
      <c r="D228" s="170">
        <f t="shared" si="82"/>
        <v>2.3274520600416397E-2</v>
      </c>
      <c r="E228" s="208">
        <f t="shared" si="93"/>
        <v>1.6514145469073933E-2</v>
      </c>
      <c r="F228" s="218">
        <v>4988.63</v>
      </c>
      <c r="G228" s="170">
        <f t="shared" si="76"/>
        <v>6.4316336309073706E-3</v>
      </c>
      <c r="H228" s="202">
        <f t="shared" si="94"/>
        <v>-2.0242748001649689E-2</v>
      </c>
      <c r="I228" s="220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1">
        <f t="shared" si="96"/>
        <v>-43455.94</v>
      </c>
      <c r="N228" s="183">
        <f t="shared" si="92"/>
        <v>-0.10863985000000001</v>
      </c>
      <c r="O228" s="182">
        <f t="shared" si="85"/>
        <v>-0.12061004623860183</v>
      </c>
      <c r="P228" s="181" t="b">
        <f t="shared" si="97"/>
        <v>0</v>
      </c>
      <c r="Q228" s="183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3">
        <f>STDEV(D$2:D228)*SQRT(252)</f>
        <v>0.17881334891320599</v>
      </c>
      <c r="W228" s="183">
        <f>STDEV(L$2:L228)*SQRT(252)</f>
        <v>0.37830983950867753</v>
      </c>
      <c r="X228" s="173">
        <f t="shared" si="88"/>
        <v>-0.60756006562313525</v>
      </c>
      <c r="Y228" s="173">
        <f t="shared" si="89"/>
        <v>-0.31881287146864001</v>
      </c>
      <c r="Z228" s="794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4">
        <v>2152.14</v>
      </c>
      <c r="D229" s="170">
        <f t="shared" si="82"/>
        <v>7.0093020644219524E-3</v>
      </c>
      <c r="E229" s="208">
        <f t="shared" si="93"/>
        <v>2.3639200167424428E-2</v>
      </c>
      <c r="F229" s="218">
        <v>5022.82</v>
      </c>
      <c r="G229" s="170">
        <f t="shared" si="76"/>
        <v>6.8535850524090985E-3</v>
      </c>
      <c r="H229" s="202">
        <f t="shared" si="94"/>
        <v>-1.3527898344364379E-2</v>
      </c>
      <c r="I229" s="220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1">
        <f t="shared" si="96"/>
        <v>-28864.890000000014</v>
      </c>
      <c r="N229" s="183">
        <f t="shared" si="92"/>
        <v>-7.2162225000000038E-2</v>
      </c>
      <c r="O229" s="182">
        <f t="shared" si="85"/>
        <v>-7.9870462670454598E-2</v>
      </c>
      <c r="P229" s="181" t="b">
        <f t="shared" si="97"/>
        <v>1</v>
      </c>
      <c r="Q229" s="183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3">
        <f>STDEV(D$2:D229)*SQRT(252)</f>
        <v>0.17856422908432967</v>
      </c>
      <c r="W229" s="183">
        <f>STDEV(L$2:L229)*SQRT(252)</f>
        <v>0.37990463509326544</v>
      </c>
      <c r="X229" s="173">
        <f t="shared" si="88"/>
        <v>-0.40412475314930141</v>
      </c>
      <c r="Y229" s="173">
        <f t="shared" si="89"/>
        <v>-0.21023818951523621</v>
      </c>
      <c r="Z229" s="794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4">
        <v>2152.4299999999998</v>
      </c>
      <c r="D230" s="170">
        <f t="shared" si="82"/>
        <v>1.347495980744578E-4</v>
      </c>
      <c r="E230" s="208">
        <f t="shared" si="93"/>
        <v>2.3777135138220249E-2</v>
      </c>
      <c r="F230" s="218">
        <v>5005.72</v>
      </c>
      <c r="G230" s="170">
        <f t="shared" si="76"/>
        <v>-3.4044620352709147E-3</v>
      </c>
      <c r="H230" s="202">
        <f t="shared" si="94"/>
        <v>-1.6886305163304902E-2</v>
      </c>
      <c r="I230" s="220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1">
        <f t="shared" si="96"/>
        <v>-31509.760000000009</v>
      </c>
      <c r="N230" s="183">
        <f t="shared" si="92"/>
        <v>-7.8774400000000022E-2</v>
      </c>
      <c r="O230" s="182">
        <f t="shared" si="85"/>
        <v>-8.6925527492447155E-2</v>
      </c>
      <c r="P230" s="181" t="b">
        <f t="shared" si="97"/>
        <v>0</v>
      </c>
      <c r="Q230" s="183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3">
        <f>STDEV(D$2:D230)*SQRT(252)</f>
        <v>0.17817048471828337</v>
      </c>
      <c r="W230" s="183">
        <f>STDEV(L$2:L230)*SQRT(252)</f>
        <v>0.3791487014021947</v>
      </c>
      <c r="X230" s="173">
        <f t="shared" si="88"/>
        <v>-0.44212934664546272</v>
      </c>
      <c r="Y230" s="173">
        <f t="shared" si="89"/>
        <v>-0.22926500122767923</v>
      </c>
      <c r="Z230" s="794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4">
        <v>2163.75</v>
      </c>
      <c r="D231" s="170">
        <f t="shared" si="82"/>
        <v>5.2591721914302279E-3</v>
      </c>
      <c r="E231" s="208">
        <f t="shared" si="93"/>
        <v>2.9161355377561284E-2</v>
      </c>
      <c r="F231" s="218">
        <v>5034.05</v>
      </c>
      <c r="G231" s="170">
        <f t="shared" si="76"/>
        <v>5.6595255028247535E-3</v>
      </c>
      <c r="H231" s="202">
        <f t="shared" si="94"/>
        <v>-1.1322348135200354E-2</v>
      </c>
      <c r="I231" s="220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1">
        <f t="shared" si="96"/>
        <v>-29502.770000000019</v>
      </c>
      <c r="N231" s="183">
        <f t="shared" si="92"/>
        <v>-7.3756925000000043E-2</v>
      </c>
      <c r="O231" s="182">
        <f t="shared" si="85"/>
        <v>-8.1143725470632574E-2</v>
      </c>
      <c r="P231" s="181" t="b">
        <f t="shared" si="97"/>
        <v>1</v>
      </c>
      <c r="Q231" s="183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3">
        <f>STDEV(D$2:D231)*SQRT(252)</f>
        <v>0.17785960012092625</v>
      </c>
      <c r="W231" s="183">
        <f>STDEV(L$2:L231)*SQRT(252)</f>
        <v>0.378354378552888</v>
      </c>
      <c r="X231" s="173">
        <f t="shared" si="88"/>
        <v>-0.41469184092313777</v>
      </c>
      <c r="Y231" s="173">
        <f t="shared" si="89"/>
        <v>-0.21446487755999355</v>
      </c>
      <c r="Z231" s="794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4">
        <v>2161.7399999999998</v>
      </c>
      <c r="D232" s="170">
        <f t="shared" si="82"/>
        <v>-9.2894280762575077E-4</v>
      </c>
      <c r="E232" s="208">
        <f t="shared" si="93"/>
        <v>2.8205323338596929E-2</v>
      </c>
      <c r="F232" s="218">
        <v>5029.58</v>
      </c>
      <c r="G232" s="170">
        <f t="shared" si="76"/>
        <v>-8.8795303979901958E-4</v>
      </c>
      <c r="H232" s="202">
        <f t="shared" si="94"/>
        <v>-1.2200247461555059E-2</v>
      </c>
      <c r="I232" s="220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1">
        <f t="shared" si="96"/>
        <v>-31652.559999999998</v>
      </c>
      <c r="N232" s="183">
        <f t="shared" si="92"/>
        <v>-7.9131399999999991E-2</v>
      </c>
      <c r="O232" s="182">
        <f t="shared" si="85"/>
        <v>-8.6795026576576575E-2</v>
      </c>
      <c r="P232" s="181" t="b">
        <f t="shared" si="97"/>
        <v>0</v>
      </c>
      <c r="Q232" s="183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3">
        <f>STDEV(D$2:D232)*SQRT(252)</f>
        <v>0.17747468742677538</v>
      </c>
      <c r="W232" s="183">
        <f>STDEV(L$2:L232)*SQRT(252)</f>
        <v>0.37758235657631534</v>
      </c>
      <c r="X232" s="173">
        <f t="shared" si="88"/>
        <v>-0.44587428859481137</v>
      </c>
      <c r="Y232" s="173">
        <f t="shared" si="89"/>
        <v>-0.22987045094898106</v>
      </c>
      <c r="Z232" s="794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1">
        <v>42569</v>
      </c>
      <c r="C233" s="242">
        <v>2166.89</v>
      </c>
      <c r="D233" s="170">
        <f t="shared" si="82"/>
        <v>2.3823401519147036E-3</v>
      </c>
      <c r="E233" s="243">
        <f t="shared" si="93"/>
        <v>3.0654858164798907E-2</v>
      </c>
      <c r="F233" s="244">
        <v>5055.78</v>
      </c>
      <c r="G233" s="170">
        <f t="shared" si="76"/>
        <v>5.209182476469172E-3</v>
      </c>
      <c r="H233" s="245">
        <f t="shared" si="94"/>
        <v>-7.0546183003712066E-3</v>
      </c>
      <c r="I233" s="246">
        <f>369683.39+2.9</f>
        <v>369686.29000000004</v>
      </c>
      <c r="J233" s="247">
        <v>400000</v>
      </c>
      <c r="K233" s="247">
        <f t="shared" si="95"/>
        <v>1338.8500000000349</v>
      </c>
      <c r="L233" s="170">
        <f t="shared" si="91"/>
        <v>3.6347476719263611E-3</v>
      </c>
      <c r="M233" s="248">
        <f t="shared" si="96"/>
        <v>-30313.709999999963</v>
      </c>
      <c r="N233" s="249">
        <f t="shared" si="92"/>
        <v>-7.5784274999999901E-2</v>
      </c>
      <c r="O233" s="182">
        <f t="shared" si="85"/>
        <v>-8.2381566796874889E-2</v>
      </c>
      <c r="P233" s="248" t="b">
        <f t="shared" si="97"/>
        <v>1</v>
      </c>
      <c r="Q233" s="249">
        <f>COUNTIF(P$2:P233, TRUE)/(COUNTIF(P$2:P233,FALSE) + COUNTIF(P$2:P233, TRUE))</f>
        <v>0.49137931034482757</v>
      </c>
      <c r="R233" s="247">
        <v>316103.03999999998</v>
      </c>
      <c r="S233" s="247">
        <f t="shared" si="81"/>
        <v>53583.250000000058</v>
      </c>
      <c r="T233" s="247">
        <v>-47875</v>
      </c>
      <c r="U233" s="247">
        <f t="shared" si="87"/>
        <v>17561.290000000037</v>
      </c>
      <c r="V233" s="249">
        <f>STDEV(D$2:D233)*SQRT(252)</f>
        <v>0.17710334708213829</v>
      </c>
      <c r="W233" s="249">
        <f>STDEV(L$2:L233)*SQRT(252)</f>
        <v>0.37677647505559991</v>
      </c>
      <c r="X233" s="173">
        <f t="shared" si="88"/>
        <v>-0.42790989695328635</v>
      </c>
      <c r="Y233" s="173">
        <f t="shared" si="89"/>
        <v>-0.21864838239892248</v>
      </c>
      <c r="Z233" s="794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1">
        <v>42570</v>
      </c>
      <c r="C234" s="242">
        <v>2163.7800000000002</v>
      </c>
      <c r="D234" s="170">
        <f t="shared" si="82"/>
        <v>-1.4352366756040559E-3</v>
      </c>
      <c r="E234" s="243">
        <f t="shared" si="93"/>
        <v>2.9175624512471292E-2</v>
      </c>
      <c r="F234" s="244">
        <v>5036.37</v>
      </c>
      <c r="G234" s="170">
        <f t="shared" si="76"/>
        <v>-3.8391702170584669E-3</v>
      </c>
      <c r="H234" s="245">
        <f t="shared" si="94"/>
        <v>-1.0866704636958173E-2</v>
      </c>
      <c r="I234" s="246">
        <v>364028.85</v>
      </c>
      <c r="J234" s="247">
        <v>400000</v>
      </c>
      <c r="K234" s="247">
        <f t="shared" si="95"/>
        <v>-5657.4400000000605</v>
      </c>
      <c r="L234" s="170">
        <f t="shared" si="91"/>
        <v>-1.5303353554171728E-2</v>
      </c>
      <c r="M234" s="248">
        <f t="shared" si="96"/>
        <v>-35971.150000000023</v>
      </c>
      <c r="N234" s="249">
        <f t="shared" si="92"/>
        <v>-8.992787500000006E-2</v>
      </c>
      <c r="O234" s="182">
        <f t="shared" si="85"/>
        <v>-9.7466339298961494E-2</v>
      </c>
      <c r="P234" s="248" t="b">
        <f t="shared" si="97"/>
        <v>0</v>
      </c>
      <c r="Q234" s="249">
        <f>COUNTIF(P$2:P234, TRUE)/(COUNTIF(P$2:P234,FALSE) + COUNTIF(P$2:P234, TRUE))</f>
        <v>0.48927038626609443</v>
      </c>
      <c r="R234" s="247">
        <v>316420.40000000002</v>
      </c>
      <c r="S234" s="247">
        <f t="shared" si="81"/>
        <v>47608.449999999953</v>
      </c>
      <c r="T234" s="247">
        <v>-53164</v>
      </c>
      <c r="U234" s="247">
        <f t="shared" si="87"/>
        <v>17192.849999999977</v>
      </c>
      <c r="V234" s="249">
        <f>STDEV(D$2:D234)*SQRT(252)</f>
        <v>0.17672773618130258</v>
      </c>
      <c r="W234" s="249">
        <f>STDEV(L$2:L234)*SQRT(252)</f>
        <v>0.37631344049170978</v>
      </c>
      <c r="X234" s="173">
        <f t="shared" si="88"/>
        <v>-0.50884981012682851</v>
      </c>
      <c r="Y234" s="173">
        <f t="shared" si="89"/>
        <v>-0.25900307778432563</v>
      </c>
      <c r="Z234" s="794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1">
        <v>42571</v>
      </c>
      <c r="C235" s="242">
        <v>2173.02</v>
      </c>
      <c r="D235" s="170">
        <f t="shared" si="82"/>
        <v>4.2703047444748454E-3</v>
      </c>
      <c r="E235" s="243">
        <f t="shared" si="93"/>
        <v>3.3570518064724761E-2</v>
      </c>
      <c r="F235" s="244">
        <v>5089.93</v>
      </c>
      <c r="G235" s="170">
        <f t="shared" si="76"/>
        <v>1.0634643602435961E-2</v>
      </c>
      <c r="H235" s="245">
        <f t="shared" si="94"/>
        <v>-3.4762456546920032E-4</v>
      </c>
      <c r="I235" s="246">
        <v>366983.12</v>
      </c>
      <c r="J235" s="247">
        <v>400000</v>
      </c>
      <c r="K235" s="247">
        <f t="shared" si="95"/>
        <v>2954.2700000000186</v>
      </c>
      <c r="L235" s="170">
        <f t="shared" si="91"/>
        <v>8.1154831547005646E-3</v>
      </c>
      <c r="M235" s="248">
        <f t="shared" si="96"/>
        <v>-33016.880000000005</v>
      </c>
      <c r="N235" s="249">
        <f t="shared" si="92"/>
        <v>-8.254220000000001E-2</v>
      </c>
      <c r="O235" s="182">
        <f t="shared" si="85"/>
        <v>-8.9196859615384622E-2</v>
      </c>
      <c r="P235" s="248" t="b">
        <f t="shared" si="97"/>
        <v>1</v>
      </c>
      <c r="Q235" s="249">
        <f>COUNTIF(P$2:P235, TRUE)/(COUNTIF(P$2:P235,FALSE) + COUNTIF(P$2:P235, TRUE))</f>
        <v>0.49145299145299143</v>
      </c>
      <c r="R235" s="247">
        <v>315168.17</v>
      </c>
      <c r="S235" s="247">
        <f t="shared" si="81"/>
        <v>51814.950000000012</v>
      </c>
      <c r="T235" s="247">
        <v>-50698</v>
      </c>
      <c r="U235" s="247">
        <f t="shared" si="87"/>
        <v>17681.119999999995</v>
      </c>
      <c r="V235" s="249">
        <f>STDEV(D$2:D235)*SQRT(252)</f>
        <v>0.17639759874782845</v>
      </c>
      <c r="W235" s="249">
        <f>STDEV(L$2:L235)*SQRT(252)</f>
        <v>0.37559009819227351</v>
      </c>
      <c r="X235" s="173">
        <f t="shared" si="88"/>
        <v>-0.46793267360741864</v>
      </c>
      <c r="Y235" s="173">
        <f t="shared" si="89"/>
        <v>-0.2374845877052984</v>
      </c>
      <c r="Z235" s="794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1">
        <v>42572</v>
      </c>
      <c r="C236" s="242">
        <v>2165.17</v>
      </c>
      <c r="D236" s="170">
        <f t="shared" si="82"/>
        <v>-3.6124840084306217E-3</v>
      </c>
      <c r="E236" s="243">
        <f t="shared" si="93"/>
        <v>2.9836761096630589E-2</v>
      </c>
      <c r="F236" s="244">
        <v>5073.8999999999996</v>
      </c>
      <c r="G236" s="170">
        <f t="shared" si="76"/>
        <v>-3.1493556885852365E-3</v>
      </c>
      <c r="H236" s="245">
        <f t="shared" si="94"/>
        <v>-3.4958854606516846E-3</v>
      </c>
      <c r="I236" s="246">
        <f>360276.2+45</f>
        <v>360321.2</v>
      </c>
      <c r="J236" s="247">
        <v>400000</v>
      </c>
      <c r="K236" s="247">
        <f t="shared" si="95"/>
        <v>-6661.9199999999837</v>
      </c>
      <c r="L236" s="170">
        <f t="shared" si="91"/>
        <v>-1.8153205520733445E-2</v>
      </c>
      <c r="M236" s="248">
        <f t="shared" si="96"/>
        <v>-39678.799999999988</v>
      </c>
      <c r="N236" s="249">
        <f t="shared" si="92"/>
        <v>-9.9196999999999966E-2</v>
      </c>
      <c r="O236" s="182">
        <f t="shared" si="85"/>
        <v>-0.10687818362831855</v>
      </c>
      <c r="P236" s="248" t="b">
        <f t="shared" si="97"/>
        <v>0</v>
      </c>
      <c r="Q236" s="249">
        <f>COUNTIF(P$2:P236, TRUE)/(COUNTIF(P$2:P236,FALSE) + COUNTIF(P$2:P236, TRUE))</f>
        <v>0.48936170212765956</v>
      </c>
      <c r="R236" s="247">
        <v>315749.06</v>
      </c>
      <c r="S236" s="247">
        <f t="shared" si="81"/>
        <v>44572.140000000014</v>
      </c>
      <c r="T236" s="247">
        <v>-55981</v>
      </c>
      <c r="U236" s="247">
        <f t="shared" si="87"/>
        <v>16302.200000000012</v>
      </c>
      <c r="V236" s="249">
        <f>STDEV(D$2:D236)*SQRT(252)</f>
        <v>0.17606319207854554</v>
      </c>
      <c r="W236" s="249">
        <f>STDEV(L$2:L236)*SQRT(252)</f>
        <v>0.37527253812431671</v>
      </c>
      <c r="X236" s="173">
        <f t="shared" si="88"/>
        <v>-0.56341702560831719</v>
      </c>
      <c r="Y236" s="173">
        <f t="shared" si="89"/>
        <v>-0.28480150496094381</v>
      </c>
      <c r="Z236" s="794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1">
        <v>42573</v>
      </c>
      <c r="C237" s="242">
        <v>2175.0300000000002</v>
      </c>
      <c r="D237" s="170">
        <f t="shared" si="82"/>
        <v>4.553914935085987E-3</v>
      </c>
      <c r="E237" s="243">
        <f t="shared" si="93"/>
        <v>3.4526550103689116E-2</v>
      </c>
      <c r="F237" s="244">
        <v>5100.16</v>
      </c>
      <c r="G237" s="170">
        <f t="shared" si="76"/>
        <v>5.175506021009523E-3</v>
      </c>
      <c r="H237" s="245">
        <f t="shared" si="94"/>
        <v>1.6615275841074762E-3</v>
      </c>
      <c r="I237" s="246">
        <v>357414.17</v>
      </c>
      <c r="J237" s="247">
        <v>400000</v>
      </c>
      <c r="K237" s="247">
        <f t="shared" si="95"/>
        <v>-2907.0300000000279</v>
      </c>
      <c r="L237" s="170">
        <f t="shared" si="91"/>
        <v>-8.0678849870616208E-3</v>
      </c>
      <c r="M237" s="248">
        <f t="shared" si="96"/>
        <v>-42585.830000000016</v>
      </c>
      <c r="N237" s="249">
        <f t="shared" si="92"/>
        <v>-0.10646457500000005</v>
      </c>
      <c r="O237" s="182">
        <f t="shared" si="85"/>
        <v>-0.11437113534926477</v>
      </c>
      <c r="P237" s="248" t="b">
        <f t="shared" si="97"/>
        <v>0</v>
      </c>
      <c r="Q237" s="249">
        <f>COUNTIF(P$2:P237, TRUE)/(COUNTIF(P$2:P237,FALSE) + COUNTIF(P$2:P237, TRUE))</f>
        <v>0.48728813559322032</v>
      </c>
      <c r="R237" s="247">
        <v>316131.83</v>
      </c>
      <c r="S237" s="247">
        <f t="shared" ref="S237:S242" si="98">I237-R237</f>
        <v>41282.339999999967</v>
      </c>
      <c r="T237" s="247">
        <v>-58740</v>
      </c>
      <c r="U237" s="247">
        <f t="shared" ref="U237:U242" si="99">M237-T237</f>
        <v>16154.169999999984</v>
      </c>
      <c r="V237" s="249">
        <f>STDEV(D$2:D237)*SQRT(252)</f>
        <v>0.17574477489002999</v>
      </c>
      <c r="W237" s="249">
        <f>STDEV(L$2:L237)*SQRT(252)</f>
        <v>0.37456834740512818</v>
      </c>
      <c r="X237" s="173">
        <f t="shared" si="88"/>
        <v>-0.60579084110249581</v>
      </c>
      <c r="Y237" s="173">
        <f t="shared" si="89"/>
        <v>-0.30534116441388054</v>
      </c>
      <c r="Z237" s="794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4">
        <v>2168.48</v>
      </c>
      <c r="D238" s="170">
        <f t="shared" si="82"/>
        <v>-3.0114527155948108E-3</v>
      </c>
      <c r="E238" s="208">
        <f t="shared" si="93"/>
        <v>3.141112231502443E-2</v>
      </c>
      <c r="F238" s="218">
        <v>5097.62</v>
      </c>
      <c r="G238" s="170">
        <f t="shared" si="76"/>
        <v>-4.9802359141673275E-4</v>
      </c>
      <c r="H238" s="202">
        <f t="shared" si="94"/>
        <v>1.1626765127560684E-3</v>
      </c>
      <c r="I238" s="220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1">
        <f t="shared" si="96"/>
        <v>-44306.219999999972</v>
      </c>
      <c r="N238" s="183">
        <f t="shared" si="92"/>
        <v>-0.11076554999999993</v>
      </c>
      <c r="O238" s="182">
        <f t="shared" si="85"/>
        <v>-0.11795077882653054</v>
      </c>
      <c r="P238" s="181" t="b">
        <f t="shared" si="97"/>
        <v>0</v>
      </c>
      <c r="Q238" s="183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3">
        <f>STDEV(D$2:D238)*SQRT(252)</f>
        <v>0.17540195592552774</v>
      </c>
      <c r="W238" s="183">
        <f>STDEV(L$2:L238)*SQRT(252)</f>
        <v>0.37380634336339558</v>
      </c>
      <c r="X238" s="173">
        <f t="shared" si="88"/>
        <v>-0.63149552361336747</v>
      </c>
      <c r="Y238" s="173">
        <f t="shared" si="89"/>
        <v>-0.3155398000077938</v>
      </c>
      <c r="Z238" s="794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4">
        <v>2169.1799999999998</v>
      </c>
      <c r="D239" s="170">
        <f t="shared" si="82"/>
        <v>3.2280675865113727E-4</v>
      </c>
      <c r="E239" s="208">
        <f t="shared" si="93"/>
        <v>3.1744068796255673E-2</v>
      </c>
      <c r="F239" s="218">
        <v>5110.04</v>
      </c>
      <c r="G239" s="170">
        <f t="shared" si="76"/>
        <v>2.4364311188358632E-3</v>
      </c>
      <c r="H239" s="202">
        <f t="shared" si="94"/>
        <v>3.60194041282875E-3</v>
      </c>
      <c r="I239" s="220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1">
        <f t="shared" si="96"/>
        <v>-39065.950000000012</v>
      </c>
      <c r="N239" s="183">
        <f t="shared" si="92"/>
        <v>-9.7664875000000026E-2</v>
      </c>
      <c r="O239" s="182">
        <f t="shared" si="85"/>
        <v>-0.10369795230741281</v>
      </c>
      <c r="P239" s="181" t="b">
        <f t="shared" si="97"/>
        <v>1</v>
      </c>
      <c r="Q239" s="183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3">
        <f>STDEV(D$2:D239)*SQRT(252)</f>
        <v>0.17502999912472075</v>
      </c>
      <c r="W239" s="183">
        <f>STDEV(L$2:L239)*SQRT(252)</f>
        <v>0.37331560015373266</v>
      </c>
      <c r="X239" s="173">
        <f t="shared" si="88"/>
        <v>-0.55798934747412743</v>
      </c>
      <c r="Y239" s="173">
        <f t="shared" si="89"/>
        <v>-0.27777556647702273</v>
      </c>
      <c r="Z239" s="794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4">
        <v>2166.58</v>
      </c>
      <c r="D240" s="170">
        <f t="shared" si="82"/>
        <v>-1.1986096128490532E-3</v>
      </c>
      <c r="E240" s="208">
        <f t="shared" si="93"/>
        <v>3.0507410437396486E-2</v>
      </c>
      <c r="F240" s="218">
        <v>5139.8100000000004</v>
      </c>
      <c r="G240" s="170">
        <f t="shared" si="76"/>
        <v>5.8257860995218113E-3</v>
      </c>
      <c r="H240" s="202">
        <f t="shared" si="94"/>
        <v>9.4487106467389254E-3</v>
      </c>
      <c r="I240" s="220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1">
        <f t="shared" si="96"/>
        <v>-48783.850000000035</v>
      </c>
      <c r="N240" s="183">
        <f t="shared" si="92"/>
        <v>-0.12195962500000009</v>
      </c>
      <c r="O240" s="182">
        <f t="shared" si="85"/>
        <v>-0.12911812472826095</v>
      </c>
      <c r="P240" s="181" t="b">
        <f t="shared" si="97"/>
        <v>0</v>
      </c>
      <c r="Q240" s="183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3">
        <f>STDEV(D$2:D240)*SQRT(252)</f>
        <v>0.17466621287076281</v>
      </c>
      <c r="W240" s="183">
        <f>STDEV(L$2:L240)*SQRT(252)</f>
        <v>0.37357383869513988</v>
      </c>
      <c r="X240" s="173">
        <f t="shared" si="88"/>
        <v>-0.6982439419479437</v>
      </c>
      <c r="Y240" s="173">
        <f t="shared" si="89"/>
        <v>-0.34562946157915941</v>
      </c>
      <c r="Z240" s="794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4">
        <v>2170.06</v>
      </c>
      <c r="D241" s="170">
        <f t="shared" si="82"/>
        <v>1.6062180948776498E-3</v>
      </c>
      <c r="E241" s="208">
        <f t="shared" si="93"/>
        <v>3.2162630086946545E-2</v>
      </c>
      <c r="F241" s="218">
        <v>5154.9799999999996</v>
      </c>
      <c r="G241" s="170">
        <f t="shared" si="76"/>
        <v>2.9514709687710563E-3</v>
      </c>
      <c r="H241" s="202">
        <f t="shared" si="94"/>
        <v>1.2428069210676148E-2</v>
      </c>
      <c r="I241" s="220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1">
        <f t="shared" si="96"/>
        <v>-48112.270000000019</v>
      </c>
      <c r="N241" s="183">
        <f t="shared" si="92"/>
        <v>-0.12028067500000005</v>
      </c>
      <c r="O241" s="182">
        <f t="shared" si="85"/>
        <v>-0.12697259116690757</v>
      </c>
      <c r="P241" s="181" t="b">
        <f t="shared" si="97"/>
        <v>1</v>
      </c>
      <c r="Q241" s="183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3">
        <f>STDEV(D$2:D241)*SQRT(252)</f>
        <v>0.17430497581384302</v>
      </c>
      <c r="W241" s="183">
        <f>STDEV(L$2:L241)*SQRT(252)</f>
        <v>0.37279274055236694</v>
      </c>
      <c r="X241" s="173">
        <f t="shared" si="88"/>
        <v>-0.69005875729250155</v>
      </c>
      <c r="Y241" s="173">
        <f t="shared" si="89"/>
        <v>-0.34059834689584434</v>
      </c>
      <c r="Z241" s="794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4">
        <v>2173.6</v>
      </c>
      <c r="D242" s="170">
        <f t="shared" si="82"/>
        <v>1.6312913007013464E-3</v>
      </c>
      <c r="E242" s="208">
        <f t="shared" si="93"/>
        <v>3.3846388006316397E-2</v>
      </c>
      <c r="F242" s="218">
        <v>5162.13</v>
      </c>
      <c r="G242" s="170">
        <f t="shared" si="76"/>
        <v>1.3870082910119044E-3</v>
      </c>
      <c r="H242" s="202">
        <f t="shared" si="94"/>
        <v>1.3832315336724531E-2</v>
      </c>
      <c r="I242" s="409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1">
        <f t="shared" si="96"/>
        <v>-47149.81</v>
      </c>
      <c r="N242" s="183">
        <f t="shared" si="92"/>
        <v>-0.11787452499999999</v>
      </c>
      <c r="O242" s="182">
        <f t="shared" si="85"/>
        <v>-0.12407397768371757</v>
      </c>
      <c r="P242" s="181" t="b">
        <f t="shared" si="97"/>
        <v>1</v>
      </c>
      <c r="Q242" s="183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3">
        <f>STDEV(D$2:D242)*SQRT(252)</f>
        <v>0.173946186031568</v>
      </c>
      <c r="W242" s="183">
        <f>STDEV(L$2:L242)*SQRT(252)</f>
        <v>0.37202162492103208</v>
      </c>
      <c r="X242" s="173">
        <f t="shared" si="88"/>
        <v>-0.6776493793236027</v>
      </c>
      <c r="Y242" s="173">
        <f t="shared" si="89"/>
        <v>-0.33351281047184927</v>
      </c>
      <c r="Z242" s="794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1">
        <v>42583</v>
      </c>
      <c r="C243" s="242">
        <v>2170.84</v>
      </c>
      <c r="D243" s="170">
        <f t="shared" si="82"/>
        <v>-1.2697828487301084E-3</v>
      </c>
      <c r="E243" s="243">
        <f t="shared" si="93"/>
        <v>3.253362759460441E-2</v>
      </c>
      <c r="F243" s="244">
        <v>5184.1899999999996</v>
      </c>
      <c r="G243" s="170">
        <f t="shared" si="76"/>
        <v>4.2734297663947806E-3</v>
      </c>
      <c r="H243" s="245">
        <f t="shared" si="94"/>
        <v>1.8164856531217428E-2</v>
      </c>
      <c r="I243" s="246">
        <v>345131.68</v>
      </c>
      <c r="J243" s="247">
        <v>400000</v>
      </c>
      <c r="K243" s="247">
        <f t="shared" si="95"/>
        <v>-7718.5100000000093</v>
      </c>
      <c r="L243" s="170">
        <f t="shared" si="91"/>
        <v>-2.1874750868066725E-2</v>
      </c>
      <c r="M243" s="248">
        <f t="shared" si="96"/>
        <v>-54868.320000000007</v>
      </c>
      <c r="N243" s="249">
        <f t="shared" si="92"/>
        <v>-0.13717080000000001</v>
      </c>
      <c r="O243" s="182">
        <f t="shared" si="85"/>
        <v>-0.14314752771428574</v>
      </c>
      <c r="P243" s="248" t="b">
        <f t="shared" si="97"/>
        <v>0</v>
      </c>
      <c r="Q243" s="249">
        <f>COUNTIF(P$2:P243, TRUE)/(COUNTIF(P$2:P243,FALSE) + COUNTIF(P$2:P243, TRUE))</f>
        <v>0.48760330578512395</v>
      </c>
      <c r="R243" s="247">
        <v>293278.65999999997</v>
      </c>
      <c r="S243" s="247">
        <f t="shared" ref="S243:S251" si="100">I243-R243</f>
        <v>51853.020000000019</v>
      </c>
      <c r="T243" s="247">
        <v>-69701</v>
      </c>
      <c r="U243" s="247">
        <f t="shared" ref="U243:U251" si="101">M243-T243</f>
        <v>14832.679999999993</v>
      </c>
      <c r="V243" s="249">
        <f>STDEV(D$2:D243)*SQRT(252)</f>
        <v>0.17358991388387063</v>
      </c>
      <c r="W243" s="249">
        <f>STDEV(L$2:L243)*SQRT(252)</f>
        <v>0.37192751121581696</v>
      </c>
      <c r="X243" s="173">
        <f t="shared" si="88"/>
        <v>-0.79020028831724332</v>
      </c>
      <c r="Y243" s="173">
        <f t="shared" si="89"/>
        <v>-0.38488018067376056</v>
      </c>
      <c r="Z243" s="794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1">
        <v>42584</v>
      </c>
      <c r="C244" s="242">
        <v>2157.0300000000002</v>
      </c>
      <c r="D244" s="170">
        <f t="shared" si="82"/>
        <v>-6.3615927475078517E-3</v>
      </c>
      <c r="E244" s="243">
        <f t="shared" si="93"/>
        <v>2.5965069157740599E-2</v>
      </c>
      <c r="F244" s="244">
        <v>5137.7299999999996</v>
      </c>
      <c r="G244" s="170">
        <f t="shared" si="76"/>
        <v>-8.9618628946855801E-3</v>
      </c>
      <c r="H244" s="245">
        <f t="shared" si="94"/>
        <v>9.0402026827974442E-3</v>
      </c>
      <c r="I244" s="246">
        <v>341216.81</v>
      </c>
      <c r="J244" s="247">
        <v>400000</v>
      </c>
      <c r="K244" s="247">
        <f t="shared" si="95"/>
        <v>-3914.8699999999953</v>
      </c>
      <c r="L244" s="170">
        <f t="shared" si="91"/>
        <v>-1.1343119820237875E-2</v>
      </c>
      <c r="M244" s="248">
        <f t="shared" si="96"/>
        <v>-58783.19</v>
      </c>
      <c r="N244" s="249">
        <f t="shared" si="92"/>
        <v>-0.14695797500000002</v>
      </c>
      <c r="O244" s="182">
        <f t="shared" si="85"/>
        <v>-0.15292421757478633</v>
      </c>
      <c r="P244" s="248" t="b">
        <f t="shared" si="97"/>
        <v>0</v>
      </c>
      <c r="Q244" s="249">
        <f>COUNTIF(P$2:P244, TRUE)/(COUNTIF(P$2:P244,FALSE) + COUNTIF(P$2:P244, TRUE))</f>
        <v>0.48559670781893005</v>
      </c>
      <c r="R244" s="247">
        <v>294933.84999999998</v>
      </c>
      <c r="S244" s="247">
        <f t="shared" si="100"/>
        <v>46282.960000000021</v>
      </c>
      <c r="T244" s="247">
        <v>-70463</v>
      </c>
      <c r="U244" s="247">
        <f t="shared" si="101"/>
        <v>11679.809999999998</v>
      </c>
      <c r="V244" s="249">
        <f>STDEV(D$2:D244)*SQRT(252)</f>
        <v>0.17335845617207907</v>
      </c>
      <c r="W244" s="249">
        <f>STDEV(L$2:L244)*SQRT(252)</f>
        <v>0.37133699496327655</v>
      </c>
      <c r="X244" s="173">
        <f t="shared" si="88"/>
        <v>-0.84771160429651382</v>
      </c>
      <c r="Y244" s="173">
        <f t="shared" si="89"/>
        <v>-0.41182058251403098</v>
      </c>
      <c r="Z244" s="794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1">
        <v>42585</v>
      </c>
      <c r="C245" s="242">
        <v>2163.79</v>
      </c>
      <c r="D245" s="170">
        <f t="shared" si="82"/>
        <v>3.1339387954732955E-3</v>
      </c>
      <c r="E245" s="243">
        <f t="shared" si="93"/>
        <v>2.9180380890774484E-2</v>
      </c>
      <c r="F245" s="244">
        <v>5159.7299999999996</v>
      </c>
      <c r="G245" s="170">
        <f t="shared" si="76"/>
        <v>4.2820467404865578E-3</v>
      </c>
      <c r="H245" s="245">
        <f t="shared" si="94"/>
        <v>1.3360959993715213E-2</v>
      </c>
      <c r="I245" s="246">
        <v>347416.57</v>
      </c>
      <c r="J245" s="247">
        <v>400000</v>
      </c>
      <c r="K245" s="247">
        <f t="shared" si="95"/>
        <v>6199.7600000000093</v>
      </c>
      <c r="L245" s="170">
        <f t="shared" si="91"/>
        <v>1.8169562044730473E-2</v>
      </c>
      <c r="M245" s="248">
        <f t="shared" si="96"/>
        <v>-52583.429999999993</v>
      </c>
      <c r="N245" s="249">
        <f t="shared" si="92"/>
        <v>-0.13145857499999999</v>
      </c>
      <c r="O245" s="182">
        <f t="shared" si="85"/>
        <v>-0.13640694465553976</v>
      </c>
      <c r="P245" s="248" t="b">
        <f t="shared" si="97"/>
        <v>1</v>
      </c>
      <c r="Q245" s="249">
        <f>COUNTIF(P$2:P245, TRUE)/(COUNTIF(P$2:P245,FALSE) + COUNTIF(P$2:P245, TRUE))</f>
        <v>0.48770491803278687</v>
      </c>
      <c r="R245" s="247">
        <v>306485.61</v>
      </c>
      <c r="S245" s="247">
        <f t="shared" si="100"/>
        <v>40930.960000000021</v>
      </c>
      <c r="T245" s="247">
        <v>-64757</v>
      </c>
      <c r="U245" s="247">
        <f t="shared" si="101"/>
        <v>12173.570000000007</v>
      </c>
      <c r="V245" s="249">
        <f>STDEV(D$2:D245)*SQRT(252)</f>
        <v>0.17302631654204345</v>
      </c>
      <c r="W245" s="249">
        <f>STDEV(L$2:L245)*SQRT(252)</f>
        <v>0.37103067638911486</v>
      </c>
      <c r="X245" s="173">
        <f t="shared" si="88"/>
        <v>-0.75976058224678811</v>
      </c>
      <c r="Y245" s="173">
        <f t="shared" si="89"/>
        <v>-0.36764330643238863</v>
      </c>
      <c r="Z245" s="794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1">
        <v>42586</v>
      </c>
      <c r="C246" s="242">
        <v>2164.25</v>
      </c>
      <c r="D246" s="170">
        <f t="shared" si="82"/>
        <v>2.1258994634416298E-4</v>
      </c>
      <c r="E246" s="243">
        <f t="shared" si="93"/>
        <v>2.939917429272652E-2</v>
      </c>
      <c r="F246" s="244">
        <v>5166.24</v>
      </c>
      <c r="G246" s="170">
        <f t="shared" si="76"/>
        <v>1.2616939258449993E-3</v>
      </c>
      <c r="H246" s="245">
        <f t="shared" si="94"/>
        <v>1.4639511361627741E-2</v>
      </c>
      <c r="I246" s="246">
        <v>348668.66</v>
      </c>
      <c r="J246" s="247">
        <v>400000</v>
      </c>
      <c r="K246" s="247">
        <f t="shared" si="95"/>
        <v>1252.0899999999674</v>
      </c>
      <c r="L246" s="170">
        <f t="shared" si="91"/>
        <v>3.6040019622551895E-3</v>
      </c>
      <c r="M246" s="248">
        <f t="shared" si="96"/>
        <v>-51331.340000000026</v>
      </c>
      <c r="N246" s="249">
        <f t="shared" si="92"/>
        <v>-0.12832835000000006</v>
      </c>
      <c r="O246" s="182">
        <f t="shared" si="85"/>
        <v>-0.13278167092776211</v>
      </c>
      <c r="P246" s="248" t="b">
        <f t="shared" si="97"/>
        <v>1</v>
      </c>
      <c r="Q246" s="249">
        <f>COUNTIF(P$2:P246, TRUE)/(COUNTIF(P$2:P246,FALSE) + COUNTIF(P$2:P246, TRUE))</f>
        <v>0.48979591836734693</v>
      </c>
      <c r="R246" s="247">
        <v>306486.61</v>
      </c>
      <c r="S246" s="247">
        <f t="shared" si="100"/>
        <v>42182.049999999988</v>
      </c>
      <c r="T246" s="247">
        <v>-64756</v>
      </c>
      <c r="U246" s="247">
        <f t="shared" si="101"/>
        <v>13424.659999999974</v>
      </c>
      <c r="V246" s="249">
        <f>STDEV(D$2:D246)*SQRT(252)</f>
        <v>0.1726699319358726</v>
      </c>
      <c r="W246" s="249">
        <f>STDEV(L$2:L246)*SQRT(252)</f>
        <v>0.37028383202660053</v>
      </c>
      <c r="X246" s="173">
        <f t="shared" si="88"/>
        <v>-0.7432003277076612</v>
      </c>
      <c r="Y246" s="173">
        <f t="shared" si="89"/>
        <v>-0.3585942983279467</v>
      </c>
      <c r="Z246" s="794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1">
        <v>42587</v>
      </c>
      <c r="C247" s="242">
        <v>2182.87</v>
      </c>
      <c r="D247" s="170">
        <f t="shared" si="82"/>
        <v>8.6034423010280196E-3</v>
      </c>
      <c r="E247" s="243">
        <f t="shared" si="93"/>
        <v>3.8255550693479877E-2</v>
      </c>
      <c r="F247" s="244">
        <v>5221.12</v>
      </c>
      <c r="G247" s="170">
        <f t="shared" si="76"/>
        <v>1.0622812722599049E-2</v>
      </c>
      <c r="H247" s="245">
        <f t="shared" si="94"/>
        <v>2.5417836871771723E-2</v>
      </c>
      <c r="I247" s="246">
        <v>357514.04</v>
      </c>
      <c r="J247" s="247">
        <v>400000</v>
      </c>
      <c r="K247" s="247">
        <f t="shared" si="95"/>
        <v>8845.3800000000047</v>
      </c>
      <c r="L247" s="170">
        <f t="shared" si="91"/>
        <v>2.5369013664721128E-2</v>
      </c>
      <c r="M247" s="248">
        <f t="shared" si="96"/>
        <v>-42485.960000000021</v>
      </c>
      <c r="N247" s="249">
        <f t="shared" si="92"/>
        <v>-0.10621490000000006</v>
      </c>
      <c r="O247" s="182">
        <f t="shared" si="85"/>
        <v>-0.10959037351694921</v>
      </c>
      <c r="P247" s="248" t="b">
        <f t="shared" si="97"/>
        <v>1</v>
      </c>
      <c r="Q247" s="249">
        <f>COUNTIF(P$2:P247, TRUE)/(COUNTIF(P$2:P247,FALSE) + COUNTIF(P$2:P247, TRUE))</f>
        <v>0.491869918699187</v>
      </c>
      <c r="R247" s="247">
        <v>296324.56</v>
      </c>
      <c r="S247" s="247">
        <f t="shared" si="100"/>
        <v>61189.479999999981</v>
      </c>
      <c r="T247" s="247">
        <v>-56695</v>
      </c>
      <c r="U247" s="247">
        <f t="shared" si="101"/>
        <v>14209.039999999979</v>
      </c>
      <c r="V247" s="249">
        <f>STDEV(D$2:D247)*SQRT(252)</f>
        <v>0.17252748561218473</v>
      </c>
      <c r="W247" s="249">
        <f>STDEV(L$2:L247)*SQRT(252)</f>
        <v>0.37041269754030803</v>
      </c>
      <c r="X247" s="173">
        <f t="shared" si="88"/>
        <v>-0.61564045649372545</v>
      </c>
      <c r="Y247" s="173">
        <f t="shared" si="89"/>
        <v>-0.29586019659875096</v>
      </c>
      <c r="Z247" s="794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4">
        <v>2180.89</v>
      </c>
      <c r="D248" s="170">
        <f t="shared" si="82"/>
        <v>-9.0706272018032145E-4</v>
      </c>
      <c r="E248" s="208">
        <f t="shared" si="93"/>
        <v>3.7313787789425533E-2</v>
      </c>
      <c r="F248" s="218">
        <v>5213.1400000000003</v>
      </c>
      <c r="G248" s="170">
        <f t="shared" si="76"/>
        <v>-1.528407697965104E-3</v>
      </c>
      <c r="H248" s="202">
        <f t="shared" si="94"/>
        <v>2.3850580356266179E-2</v>
      </c>
      <c r="I248" s="220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1">
        <f t="shared" si="96"/>
        <v>-39282.520000000019</v>
      </c>
      <c r="N248" s="183">
        <f t="shared" si="92"/>
        <v>-9.8206300000000052E-2</v>
      </c>
      <c r="O248" s="182">
        <f t="shared" si="85"/>
        <v>-0.10047577331932778</v>
      </c>
      <c r="P248" s="181" t="b">
        <f t="shared" si="97"/>
        <v>1</v>
      </c>
      <c r="Q248" s="183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3">
        <f>STDEV(D$2:D248)*SQRT(252)</f>
        <v>0.17217875518634856</v>
      </c>
      <c r="W248" s="183">
        <f>STDEV(L$2:L248)*SQRT(252)</f>
        <v>0.36976250802064314</v>
      </c>
      <c r="X248" s="173">
        <f t="shared" si="88"/>
        <v>-0.57037408531448408</v>
      </c>
      <c r="Y248" s="173">
        <f t="shared" si="89"/>
        <v>-0.27173055985902822</v>
      </c>
      <c r="Z248" s="794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4">
        <v>2181.89</v>
      </c>
      <c r="D249" s="170">
        <f t="shared" si="82"/>
        <v>4.5852839895638939E-4</v>
      </c>
      <c r="E249" s="208">
        <f t="shared" si="93"/>
        <v>3.7789425619756005E-2</v>
      </c>
      <c r="F249" s="218">
        <v>5214.1400000000003</v>
      </c>
      <c r="G249" s="170">
        <f t="shared" si="76"/>
        <v>1.9182297041706148E-4</v>
      </c>
      <c r="H249" s="202">
        <f t="shared" si="94"/>
        <v>2.4046978415853352E-2</v>
      </c>
      <c r="I249" s="220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1">
        <f t="shared" si="96"/>
        <v>-39207.859999999986</v>
      </c>
      <c r="N249" s="183">
        <f t="shared" si="92"/>
        <v>-9.8019649999999958E-2</v>
      </c>
      <c r="O249" s="182">
        <f t="shared" si="85"/>
        <v>-0.10000468481145247</v>
      </c>
      <c r="P249" s="181" t="b">
        <f t="shared" si="97"/>
        <v>0</v>
      </c>
      <c r="Q249" s="183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3">
        <f>STDEV(D$2:D249)*SQRT(252)</f>
        <v>0.17182862889451342</v>
      </c>
      <c r="W249" s="183">
        <f>STDEV(L$2:L249)*SQRT(252)</f>
        <v>0.36901019344056429</v>
      </c>
      <c r="X249" s="173">
        <f t="shared" si="88"/>
        <v>-0.57045005032412144</v>
      </c>
      <c r="Y249" s="173">
        <f t="shared" si="89"/>
        <v>-0.27100791953477571</v>
      </c>
      <c r="Z249" s="794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4">
        <v>2175.4899999999998</v>
      </c>
      <c r="D250" s="170">
        <f t="shared" si="82"/>
        <v>-2.9332367809560022E-3</v>
      </c>
      <c r="E250" s="208">
        <f t="shared" si="93"/>
        <v>3.4745343505640937E-2</v>
      </c>
      <c r="F250" s="218">
        <v>5204.58</v>
      </c>
      <c r="G250" s="170">
        <f t="shared" si="76"/>
        <v>-1.8334758943949338E-3</v>
      </c>
      <c r="H250" s="202">
        <f t="shared" si="94"/>
        <v>2.2169412966199915E-2</v>
      </c>
      <c r="I250" s="220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1">
        <f t="shared" si="96"/>
        <v>-45569.210000000021</v>
      </c>
      <c r="N250" s="183">
        <f t="shared" si="92"/>
        <v>-0.11392302500000005</v>
      </c>
      <c r="O250" s="182">
        <f t="shared" si="85"/>
        <v>-0.11590636457172708</v>
      </c>
      <c r="P250" s="181" t="b">
        <f t="shared" si="97"/>
        <v>0</v>
      </c>
      <c r="Q250" s="183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3">
        <f>STDEV(D$2:D250)*SQRT(252)</f>
        <v>0.17150968940597233</v>
      </c>
      <c r="W250" s="183">
        <f>STDEV(L$2:L250)*SQRT(252)</f>
        <v>0.36870219429475543</v>
      </c>
      <c r="X250" s="173">
        <f t="shared" si="88"/>
        <v>-0.66423667021131583</v>
      </c>
      <c r="Y250" s="173">
        <f t="shared" si="89"/>
        <v>-0.31436309944786184</v>
      </c>
      <c r="Z250" s="794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1">
        <v>42597</v>
      </c>
      <c r="C251" s="242">
        <v>2190.15</v>
      </c>
      <c r="D251" s="170">
        <f t="shared" si="82"/>
        <v>6.7387117385050311E-3</v>
      </c>
      <c r="E251" s="243">
        <f t="shared" si="93"/>
        <v>4.1718194098285817E-2</v>
      </c>
      <c r="F251" s="244">
        <v>5262.01</v>
      </c>
      <c r="G251" s="170">
        <f t="shared" si="76"/>
        <v>1.1034511910663356E-2</v>
      </c>
      <c r="H251" s="245">
        <f t="shared" si="94"/>
        <v>3.3448553528291222E-2</v>
      </c>
      <c r="I251" s="246">
        <v>368660.8</v>
      </c>
      <c r="J251" s="247">
        <v>400000</v>
      </c>
      <c r="K251" s="247">
        <f t="shared" si="95"/>
        <v>14230.010000000009</v>
      </c>
      <c r="L251" s="170">
        <f t="shared" si="102"/>
        <v>4.0148910313350626E-2</v>
      </c>
      <c r="M251" s="248">
        <f t="shared" si="96"/>
        <v>-31339.200000000012</v>
      </c>
      <c r="N251" s="249">
        <f t="shared" si="92"/>
        <v>-7.8348000000000029E-2</v>
      </c>
      <c r="O251" s="182">
        <f t="shared" si="85"/>
        <v>-7.8617052197802226E-2</v>
      </c>
      <c r="P251" s="248" t="b">
        <f t="shared" si="97"/>
        <v>1</v>
      </c>
      <c r="Q251" s="249">
        <f>COUNTIF(P$2:P251, TRUE)/(COUNTIF(P$2:P251,FALSE) + COUNTIF(P$2:P251, TRUE))</f>
        <v>0.49199999999999999</v>
      </c>
      <c r="R251" s="247">
        <v>269504.8</v>
      </c>
      <c r="S251" s="247">
        <f t="shared" si="100"/>
        <v>99156</v>
      </c>
      <c r="T251" s="247">
        <v>-45515</v>
      </c>
      <c r="U251" s="247">
        <f t="shared" si="101"/>
        <v>14175.799999999988</v>
      </c>
      <c r="V251" s="249">
        <f>STDEV(D$2:D251)*SQRT(252)</f>
        <v>0.17129006286582368</v>
      </c>
      <c r="W251" s="249">
        <f>STDEV(L$2:L251)*SQRT(252)</f>
        <v>0.37015124159076757</v>
      </c>
      <c r="X251" s="173">
        <f t="shared" si="88"/>
        <v>-0.45739956357755684</v>
      </c>
      <c r="Y251" s="173">
        <f t="shared" si="89"/>
        <v>-0.21239170199709825</v>
      </c>
      <c r="Z251" s="794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1">
        <v>42598</v>
      </c>
      <c r="C252" s="242">
        <v>2178.15</v>
      </c>
      <c r="D252" s="170">
        <f t="shared" si="82"/>
        <v>-5.479076775563317E-3</v>
      </c>
      <c r="E252" s="243">
        <f t="shared" si="93"/>
        <v>3.6010540134320139E-2</v>
      </c>
      <c r="F252" s="244">
        <v>5227.1099999999997</v>
      </c>
      <c r="G252" s="170">
        <f t="shared" si="76"/>
        <v>-6.6324465365897338E-3</v>
      </c>
      <c r="H252" s="245">
        <f t="shared" si="94"/>
        <v>2.6594261248698837E-2</v>
      </c>
      <c r="I252" s="246">
        <f>368660.8+2262.39</f>
        <v>370923.19</v>
      </c>
      <c r="J252" s="247">
        <v>400000</v>
      </c>
      <c r="K252" s="247">
        <f t="shared" si="95"/>
        <v>2262.390000000014</v>
      </c>
      <c r="L252" s="170">
        <f t="shared" si="102"/>
        <v>6.1367793917878281E-3</v>
      </c>
      <c r="M252" s="248">
        <f t="shared" si="96"/>
        <v>-29076.809999999998</v>
      </c>
      <c r="N252" s="249">
        <f t="shared" si="92"/>
        <v>-7.2692024999999993E-2</v>
      </c>
      <c r="O252" s="182">
        <f t="shared" si="85"/>
        <v>-7.2741814058219167E-2</v>
      </c>
      <c r="P252" s="248" t="b">
        <f t="shared" si="97"/>
        <v>1</v>
      </c>
      <c r="Q252" s="249">
        <f>COUNTIF(P$2:P252, TRUE)/(COUNTIF(P$2:P252,FALSE) + COUNTIF(P$2:P252, TRUE))</f>
        <v>0.49402390438247012</v>
      </c>
      <c r="R252" s="247"/>
      <c r="S252" s="247"/>
      <c r="T252" s="247"/>
      <c r="U252" s="247"/>
      <c r="V252" s="249">
        <f>STDEV(D$2:D252)*SQRT(252)</f>
        <v>0.17104156878989371</v>
      </c>
      <c r="W252" s="249">
        <f>STDEV(L$2:L252)*SQRT(252)</f>
        <v>0.36945344751699344</v>
      </c>
      <c r="X252" s="173">
        <f t="shared" si="88"/>
        <v>-0.4249962480716859</v>
      </c>
      <c r="Y252" s="173">
        <f t="shared" si="89"/>
        <v>-0.19689033773293813</v>
      </c>
      <c r="Z252" s="794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1">
        <v>42599</v>
      </c>
      <c r="C253" s="242">
        <v>2182.2199999999998</v>
      </c>
      <c r="D253" s="170">
        <f t="shared" si="82"/>
        <v>1.8685581801068378E-3</v>
      </c>
      <c r="E253" s="243">
        <f t="shared" si="93"/>
        <v>3.794638610376503E-2</v>
      </c>
      <c r="F253" s="244">
        <v>5228.6499999999996</v>
      </c>
      <c r="G253" s="170">
        <f t="shared" si="76"/>
        <v>2.946178672344687E-4</v>
      </c>
      <c r="H253" s="245">
        <f t="shared" si="94"/>
        <v>2.6896714260463073E-2</v>
      </c>
      <c r="I253" s="246">
        <v>375295.13</v>
      </c>
      <c r="J253" s="247">
        <v>400000</v>
      </c>
      <c r="K253" s="247">
        <f t="shared" si="95"/>
        <v>4371.9400000000023</v>
      </c>
      <c r="L253" s="170">
        <f t="shared" si="102"/>
        <v>1.1786645100296917E-2</v>
      </c>
      <c r="M253" s="248">
        <f t="shared" si="96"/>
        <v>-24704.869999999995</v>
      </c>
      <c r="N253" s="249">
        <f t="shared" si="92"/>
        <v>-6.1762174999999989E-2</v>
      </c>
      <c r="O253" s="182">
        <f t="shared" si="85"/>
        <v>-6.1635613165983594E-2</v>
      </c>
      <c r="P253" s="248" t="b">
        <f t="shared" si="97"/>
        <v>1</v>
      </c>
      <c r="Q253" s="249">
        <f>COUNTIF(P$2:P253, TRUE)/(COUNTIF(P$2:P253,FALSE) + COUNTIF(P$2:P253, TRUE))</f>
        <v>0.49603174603174605</v>
      </c>
      <c r="R253" s="247">
        <v>255293.6</v>
      </c>
      <c r="S253" s="247">
        <f t="shared" ref="S253:S284" si="104">I253-R253</f>
        <v>120001.53</v>
      </c>
      <c r="T253" s="247">
        <v>-39008</v>
      </c>
      <c r="U253" s="247">
        <f t="shared" ref="U253:U284" si="105">M253-T253</f>
        <v>14303.130000000005</v>
      </c>
      <c r="V253" s="249">
        <f>STDEV(D$2:D253)*SQRT(252)</f>
        <v>0.17070733564482474</v>
      </c>
      <c r="W253" s="249">
        <f>STDEV(L$2:L253)*SQRT(252)</f>
        <v>0.36889217852396583</v>
      </c>
      <c r="X253" s="173">
        <f t="shared" si="88"/>
        <v>-0.36180152871990773</v>
      </c>
      <c r="Y253" s="173">
        <f t="shared" si="89"/>
        <v>-0.16708300352857525</v>
      </c>
      <c r="Z253" s="794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1">
        <v>42600</v>
      </c>
      <c r="C254" s="242">
        <v>2187.02</v>
      </c>
      <c r="D254" s="170">
        <f t="shared" si="82"/>
        <v>2.1995949079378716E-3</v>
      </c>
      <c r="E254" s="243">
        <f t="shared" si="93"/>
        <v>4.0229447689351383E-2</v>
      </c>
      <c r="F254" s="244">
        <v>5240.1400000000003</v>
      </c>
      <c r="G254" s="170">
        <f t="shared" si="76"/>
        <v>2.1975079609460745E-3</v>
      </c>
      <c r="H254" s="245">
        <f t="shared" si="94"/>
        <v>2.9153327965119807E-2</v>
      </c>
      <c r="I254" s="246">
        <v>382262.83</v>
      </c>
      <c r="J254" s="247">
        <v>400000</v>
      </c>
      <c r="K254" s="247">
        <f t="shared" si="95"/>
        <v>6967.7000000000116</v>
      </c>
      <c r="L254" s="170">
        <f t="shared" si="102"/>
        <v>1.8565921705405587E-2</v>
      </c>
      <c r="M254" s="248">
        <f t="shared" ref="M254:M259" si="106">I254-J254</f>
        <v>-17737.169999999984</v>
      </c>
      <c r="N254" s="249">
        <f t="shared" ref="N254:N285" si="107">M254/J254</f>
        <v>-4.4342924999999957E-2</v>
      </c>
      <c r="O254" s="182">
        <f t="shared" si="85"/>
        <v>-4.4131480534741106E-2</v>
      </c>
      <c r="P254" s="248" t="b">
        <f t="shared" si="97"/>
        <v>1</v>
      </c>
      <c r="Q254" s="249">
        <f>COUNTIF(P$2:P254, TRUE)/(COUNTIF(P$2:P254,FALSE) + COUNTIF(P$2:P254, TRUE))</f>
        <v>0.49802371541501977</v>
      </c>
      <c r="R254" s="247">
        <v>234684.9</v>
      </c>
      <c r="S254" s="247">
        <f t="shared" si="104"/>
        <v>147577.93000000002</v>
      </c>
      <c r="T254" s="247">
        <v>-32026</v>
      </c>
      <c r="U254" s="247">
        <f t="shared" si="105"/>
        <v>14288.830000000016</v>
      </c>
      <c r="V254" s="249">
        <f>STDEV(D$2:D254)*SQRT(252)</f>
        <v>0.17037860468394234</v>
      </c>
      <c r="W254" s="249">
        <f>STDEV(L$2:L254)*SQRT(252)</f>
        <v>0.36860527111095059</v>
      </c>
      <c r="X254" s="173">
        <f t="shared" si="88"/>
        <v>-0.26026111131886231</v>
      </c>
      <c r="Y254" s="173">
        <f t="shared" si="89"/>
        <v>-0.11972558179033062</v>
      </c>
      <c r="Z254" s="794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1">
        <v>42601</v>
      </c>
      <c r="C255" s="242">
        <v>2183.87</v>
      </c>
      <c r="D255" s="170">
        <f t="shared" si="82"/>
        <v>-1.4403160464925291E-3</v>
      </c>
      <c r="E255" s="243">
        <f t="shared" si="93"/>
        <v>3.8731188523810349E-2</v>
      </c>
      <c r="F255" s="244">
        <v>5238.37</v>
      </c>
      <c r="G255" s="170">
        <f t="shared" si="76"/>
        <v>-3.377772349594546E-4</v>
      </c>
      <c r="H255" s="245">
        <f t="shared" si="94"/>
        <v>2.8805703399650426E-2</v>
      </c>
      <c r="I255" s="246">
        <v>382810.75</v>
      </c>
      <c r="J255" s="247">
        <v>400000</v>
      </c>
      <c r="K255" s="247">
        <f t="shared" si="95"/>
        <v>547.9199999999837</v>
      </c>
      <c r="L255" s="170">
        <f t="shared" si="102"/>
        <v>1.4333593459766509E-3</v>
      </c>
      <c r="M255" s="248">
        <f t="shared" si="106"/>
        <v>-17189.25</v>
      </c>
      <c r="N255" s="249">
        <f t="shared" si="107"/>
        <v>-4.2973125000000001E-2</v>
      </c>
      <c r="O255" s="182">
        <f t="shared" si="85"/>
        <v>-4.265199431046196E-2</v>
      </c>
      <c r="P255" s="248" t="b">
        <f t="shared" si="97"/>
        <v>1</v>
      </c>
      <c r="Q255" s="249">
        <f>COUNTIF(P$2:P255, TRUE)/(COUNTIF(P$2:P255,FALSE) + COUNTIF(P$2:P255, TRUE))</f>
        <v>0.5</v>
      </c>
      <c r="R255" s="247">
        <v>232963</v>
      </c>
      <c r="S255" s="247">
        <f t="shared" si="104"/>
        <v>149847.75</v>
      </c>
      <c r="T255" s="247">
        <v>-31491</v>
      </c>
      <c r="U255" s="247">
        <f t="shared" si="105"/>
        <v>14301.75</v>
      </c>
      <c r="V255" s="249">
        <f>STDEV(D$2:D255)*SQRT(252)</f>
        <v>0.17004823124419763</v>
      </c>
      <c r="W255" s="249">
        <f>STDEV(L$2:L255)*SQRT(252)</f>
        <v>0.36787447588145594</v>
      </c>
      <c r="X255" s="173">
        <f t="shared" si="88"/>
        <v>-0.25271139067767473</v>
      </c>
      <c r="Y255" s="173">
        <f t="shared" si="89"/>
        <v>-0.11594170595354422</v>
      </c>
      <c r="Z255" s="794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4">
        <v>2182.64</v>
      </c>
      <c r="D256" s="170">
        <f t="shared" si="82"/>
        <v>-5.6322033820695291E-4</v>
      </c>
      <c r="E256" s="208">
        <f t="shared" ref="E256:E287" si="108">(C256-$C$2)/$C$2</f>
        <v>3.8146153992503859E-2</v>
      </c>
      <c r="F256" s="218">
        <v>5244.6</v>
      </c>
      <c r="G256" s="170">
        <f t="shared" ref="G256:G261" si="109">(F256-F255)/F255</f>
        <v>1.1893012521071388E-3</v>
      </c>
      <c r="H256" s="202">
        <f t="shared" ref="H256:H287" si="110">(F256-F$2)/F$2</f>
        <v>3.0029263310878598E-2</v>
      </c>
      <c r="I256" s="220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1">
        <f t="shared" si="106"/>
        <v>-22916.580000000016</v>
      </c>
      <c r="N256" s="183">
        <f t="shared" si="107"/>
        <v>-5.7291450000000042E-2</v>
      </c>
      <c r="O256" s="182">
        <f t="shared" si="85"/>
        <v>-5.6403509737196808E-2</v>
      </c>
      <c r="P256" s="181" t="b">
        <f t="shared" ref="P256:P287" si="112">L256&gt;D256</f>
        <v>0</v>
      </c>
      <c r="Q256" s="183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3">
        <f>STDEV(D$2:D256)*SQRT(252)</f>
        <v>0.1697135708935549</v>
      </c>
      <c r="W256" s="183">
        <f>STDEV(L$2:L256)*SQRT(252)</f>
        <v>0.36746793184663218</v>
      </c>
      <c r="X256" s="173">
        <f t="shared" si="88"/>
        <v>-0.33757730568248717</v>
      </c>
      <c r="Y256" s="173">
        <f t="shared" si="89"/>
        <v>-0.15349233184444946</v>
      </c>
      <c r="Z256" s="794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4">
        <v>2186.9</v>
      </c>
      <c r="D257" s="170">
        <f t="shared" ref="D257:D263" si="113">(C257-C256)/C256</f>
        <v>1.951764835245491E-3</v>
      </c>
      <c r="E257" s="208">
        <f t="shared" si="108"/>
        <v>4.0172371149711783E-2</v>
      </c>
      <c r="F257" s="218">
        <v>5260.07</v>
      </c>
      <c r="G257" s="170">
        <f t="shared" si="109"/>
        <v>2.9497006444722845E-3</v>
      </c>
      <c r="H257" s="202">
        <f t="shared" si="110"/>
        <v>3.3067541292692008E-2</v>
      </c>
      <c r="I257" s="220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1">
        <f t="shared" si="106"/>
        <v>-16389.950000000012</v>
      </c>
      <c r="N257" s="183">
        <f t="shared" si="107"/>
        <v>-4.0974875000000029E-2</v>
      </c>
      <c r="O257" s="182">
        <f t="shared" si="85"/>
        <v>-4.023137928427422E-2</v>
      </c>
      <c r="P257" s="181" t="b">
        <f t="shared" si="112"/>
        <v>1</v>
      </c>
      <c r="Q257" s="183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3">
        <f>STDEV(D$2:D257)*SQRT(252)</f>
        <v>0.16938806622202984</v>
      </c>
      <c r="W257" s="183">
        <f>STDEV(L$2:L257)*SQRT(252)</f>
        <v>0.36712884125938189</v>
      </c>
      <c r="X257" s="173">
        <f t="shared" si="88"/>
        <v>-0.24189942015331314</v>
      </c>
      <c r="Y257" s="173">
        <f t="shared" si="89"/>
        <v>-0.10958381571512156</v>
      </c>
      <c r="Z257" s="794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4">
        <v>2175.44</v>
      </c>
      <c r="D258" s="170">
        <f t="shared" si="113"/>
        <v>-5.2402944807718854E-3</v>
      </c>
      <c r="E258" s="208">
        <f t="shared" si="108"/>
        <v>3.4721561614124541E-2</v>
      </c>
      <c r="F258" s="218">
        <v>5217.6899999999996</v>
      </c>
      <c r="G258" s="170">
        <f t="shared" si="109"/>
        <v>-8.0569269990703758E-3</v>
      </c>
      <c r="H258" s="202">
        <f t="shared" si="110"/>
        <v>2.4744191527387667E-2</v>
      </c>
      <c r="I258" s="220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1">
        <f t="shared" si="106"/>
        <v>-19991.75</v>
      </c>
      <c r="N258" s="183">
        <f t="shared" si="107"/>
        <v>-4.9979374999999999E-2</v>
      </c>
      <c r="O258" s="182">
        <f t="shared" si="85"/>
        <v>-4.894092954088472E-2</v>
      </c>
      <c r="P258" s="181" t="b">
        <f t="shared" si="112"/>
        <v>0</v>
      </c>
      <c r="Q258" s="183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3">
        <f>STDEV(D$2:D258)*SQRT(252)</f>
        <v>0.1691421099558785</v>
      </c>
      <c r="W258" s="183">
        <f>STDEV(L$2:L258)*SQRT(252)</f>
        <v>0.36653871966751894</v>
      </c>
      <c r="X258" s="173">
        <f t="shared" si="88"/>
        <v>-0.29548747507665213</v>
      </c>
      <c r="Y258" s="173">
        <f t="shared" si="89"/>
        <v>-0.13352185434946193</v>
      </c>
      <c r="Z258" s="794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4">
        <v>2172.4699999999998</v>
      </c>
      <c r="D259" s="170">
        <f t="shared" si="113"/>
        <v>-1.3652410546833075E-3</v>
      </c>
      <c r="E259" s="208">
        <f t="shared" si="108"/>
        <v>3.3308917258042914E-2</v>
      </c>
      <c r="F259" s="218">
        <v>5212.2</v>
      </c>
      <c r="G259" s="170">
        <f t="shared" si="109"/>
        <v>-1.0521897621360759E-3</v>
      </c>
      <c r="H259" s="202">
        <f t="shared" si="110"/>
        <v>2.3665966180254142E-2</v>
      </c>
      <c r="I259" s="220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1">
        <f t="shared" si="106"/>
        <v>-19247.409999999974</v>
      </c>
      <c r="N259" s="183">
        <f t="shared" si="107"/>
        <v>-4.8118524999999933E-2</v>
      </c>
      <c r="O259" s="182">
        <f t="shared" si="85"/>
        <v>-4.6992757369652347E-2</v>
      </c>
      <c r="P259" s="181" t="b">
        <f t="shared" si="112"/>
        <v>1</v>
      </c>
      <c r="Q259" s="183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3">
        <f>STDEV(D$2:D259)*SQRT(252)</f>
        <v>0.16881845547722549</v>
      </c>
      <c r="W259" s="183">
        <f>STDEV(L$2:L259)*SQRT(252)</f>
        <v>0.36582526513101316</v>
      </c>
      <c r="X259" s="173">
        <f t="shared" si="88"/>
        <v>-0.28503118846796571</v>
      </c>
      <c r="Y259" s="173">
        <f t="shared" si="89"/>
        <v>-0.12845683950457279</v>
      </c>
      <c r="Z259" s="794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4">
        <v>2169.04</v>
      </c>
      <c r="D260" s="170">
        <f t="shared" si="113"/>
        <v>-1.578848039328431E-3</v>
      </c>
      <c r="E260" s="208">
        <f t="shared" si="108"/>
        <v>3.1677479500009466E-2</v>
      </c>
      <c r="F260" s="218">
        <v>5218.91</v>
      </c>
      <c r="G260" s="170">
        <f t="shared" si="109"/>
        <v>1.2873642607728092E-3</v>
      </c>
      <c r="H260" s="202">
        <f t="shared" si="110"/>
        <v>2.4983797160084066E-2</v>
      </c>
      <c r="I260" s="220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1">
        <f t="shared" ref="M260:M273" si="114">I260-J260</f>
        <v>-18899.479999999981</v>
      </c>
      <c r="N260" s="183">
        <f t="shared" si="107"/>
        <v>-4.7248699999999956E-2</v>
      </c>
      <c r="O260" s="182">
        <f t="shared" si="85"/>
        <v>-4.6020233799999963E-2</v>
      </c>
      <c r="P260" s="181" t="b">
        <f t="shared" si="112"/>
        <v>1</v>
      </c>
      <c r="Q260" s="183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3">
        <f>STDEV(D$2:D260)*SQRT(252)</f>
        <v>0.16849870140291789</v>
      </c>
      <c r="W260" s="183">
        <f>STDEV(L$2:L260)*SQRT(252)</f>
        <v>0.36511315760461099</v>
      </c>
      <c r="X260" s="173">
        <f t="shared" si="88"/>
        <v>-0.28040987619849839</v>
      </c>
      <c r="Y260" s="173">
        <f t="shared" si="89"/>
        <v>-0.12604375613829913</v>
      </c>
      <c r="Z260" s="794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1">
        <v>42611</v>
      </c>
      <c r="C261" s="242">
        <v>2180.38</v>
      </c>
      <c r="D261" s="170">
        <f t="shared" si="113"/>
        <v>5.2281193523402731E-3</v>
      </c>
      <c r="E261" s="243">
        <f t="shared" si="108"/>
        <v>3.7071212495957101E-2</v>
      </c>
      <c r="F261" s="244">
        <v>5232.32</v>
      </c>
      <c r="G261" s="170">
        <f t="shared" si="109"/>
        <v>2.569502060775115E-3</v>
      </c>
      <c r="H261" s="245">
        <f t="shared" si="110"/>
        <v>2.7617495139148004E-2</v>
      </c>
      <c r="I261" s="246">
        <v>382828.93</v>
      </c>
      <c r="J261" s="247">
        <v>400000</v>
      </c>
      <c r="K261" s="247">
        <f t="shared" si="111"/>
        <v>1728.4099999999744</v>
      </c>
      <c r="L261" s="170">
        <f>K261/I260</f>
        <v>4.5353126256557569E-3</v>
      </c>
      <c r="M261" s="248">
        <f t="shared" si="114"/>
        <v>-17171.070000000007</v>
      </c>
      <c r="N261" s="249">
        <f t="shared" si="107"/>
        <v>-4.2927675000000019E-2</v>
      </c>
      <c r="O261" s="182">
        <f t="shared" si="85"/>
        <v>-4.147971770833335E-2</v>
      </c>
      <c r="P261" s="248" t="b">
        <f t="shared" si="112"/>
        <v>0</v>
      </c>
      <c r="Q261" s="249">
        <f>COUNTIF(P$2:P261, TRUE)/(COUNTIF(P$2:P261,FALSE) + COUNTIF(P$2:P261, TRUE))</f>
        <v>0.5</v>
      </c>
      <c r="R261" s="247">
        <v>260300.32</v>
      </c>
      <c r="S261" s="247">
        <f t="shared" si="104"/>
        <v>122528.60999999999</v>
      </c>
      <c r="T261" s="247">
        <v>-31777</v>
      </c>
      <c r="U261" s="247">
        <f t="shared" si="105"/>
        <v>14605.929999999993</v>
      </c>
      <c r="V261" s="249">
        <f>STDEV(D$2:D261)*SQRT(252)</f>
        <v>0.16824562360938053</v>
      </c>
      <c r="W261" s="249">
        <f>STDEV(L$2:L261)*SQRT(252)</f>
        <v>0.36442732658879068</v>
      </c>
      <c r="X261" s="173">
        <f t="shared" si="88"/>
        <v>-0.25514883584530035</v>
      </c>
      <c r="Y261" s="173">
        <f t="shared" si="89"/>
        <v>-0.11382164476139263</v>
      </c>
      <c r="Z261" s="794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1">
        <v>42612</v>
      </c>
      <c r="C262" s="242">
        <v>2176.12</v>
      </c>
      <c r="D262" s="170">
        <f t="shared" si="113"/>
        <v>-1.9537878718389537E-3</v>
      </c>
      <c r="E262" s="243">
        <f t="shared" si="108"/>
        <v>3.5044995338749184E-2</v>
      </c>
      <c r="F262" s="244">
        <v>5222.9799999999996</v>
      </c>
      <c r="G262" s="170">
        <f>(F262-F261)/F261</f>
        <v>-1.7850590177971046E-3</v>
      </c>
      <c r="H262" s="245">
        <f t="shared" si="110"/>
        <v>2.5783137262603797E-2</v>
      </c>
      <c r="I262" s="246">
        <v>379406.56</v>
      </c>
      <c r="J262" s="247">
        <v>400000</v>
      </c>
      <c r="K262" s="247">
        <f t="shared" si="111"/>
        <v>-3422.3699999999953</v>
      </c>
      <c r="L262" s="170">
        <f>K262/I261</f>
        <v>-8.9396848874508921E-3</v>
      </c>
      <c r="M262" s="248">
        <f t="shared" si="114"/>
        <v>-20593.440000000002</v>
      </c>
      <c r="N262" s="249">
        <f t="shared" si="107"/>
        <v>-5.1483600000000004E-2</v>
      </c>
      <c r="O262" s="182">
        <f t="shared" si="85"/>
        <v>-4.9615791292875994E-2</v>
      </c>
      <c r="P262" s="248" t="b">
        <f t="shared" si="112"/>
        <v>0</v>
      </c>
      <c r="Q262" s="249">
        <f>COUNTIF(P$2:P262, TRUE)/(COUNTIF(P$2:P262,FALSE) + COUNTIF(P$2:P262, TRUE))</f>
        <v>0.49808429118773945</v>
      </c>
      <c r="R262" s="247">
        <v>274968.95</v>
      </c>
      <c r="S262" s="247">
        <f t="shared" si="104"/>
        <v>104437.60999999999</v>
      </c>
      <c r="T262" s="247">
        <v>-35414</v>
      </c>
      <c r="U262" s="247">
        <f t="shared" si="105"/>
        <v>14820.559999999998</v>
      </c>
      <c r="V262" s="249">
        <f>STDEV(D$2:D262)*SQRT(252)</f>
        <v>0.16793385572919492</v>
      </c>
      <c r="W262" s="249">
        <f>STDEV(L$2:L262)*SQRT(252)</f>
        <v>0.36384060156715331</v>
      </c>
      <c r="X262" s="173">
        <f t="shared" si="88"/>
        <v>-0.30657070175903606</v>
      </c>
      <c r="Y262" s="173">
        <f t="shared" si="89"/>
        <v>-0.13636683503481539</v>
      </c>
      <c r="Z262" s="794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1">
        <v>42613</v>
      </c>
      <c r="C263" s="242">
        <v>2170.94</v>
      </c>
      <c r="D263" s="170">
        <f t="shared" si="113"/>
        <v>-2.3803834347369797E-3</v>
      </c>
      <c r="E263" s="243">
        <f t="shared" si="108"/>
        <v>3.258119137763741E-2</v>
      </c>
      <c r="F263" s="244">
        <v>5213.22</v>
      </c>
      <c r="G263" s="170">
        <f t="shared" ref="G263:G270" si="115">(F263-F262)/F262</f>
        <v>-1.8686650149913094E-3</v>
      </c>
      <c r="H263" s="245">
        <f t="shared" si="110"/>
        <v>2.3866292201033139E-2</v>
      </c>
      <c r="I263" s="464">
        <v>375078.22</v>
      </c>
      <c r="J263" s="247">
        <v>400000</v>
      </c>
      <c r="K263" s="247">
        <f t="shared" si="111"/>
        <v>-4328.3400000000256</v>
      </c>
      <c r="L263" s="170">
        <f>K263/I262</f>
        <v>-1.1408184402504863E-2</v>
      </c>
      <c r="M263" s="248">
        <f t="shared" si="114"/>
        <v>-24921.780000000028</v>
      </c>
      <c r="N263" s="249">
        <f t="shared" si="107"/>
        <v>-6.2304450000000067E-2</v>
      </c>
      <c r="O263" s="182">
        <f t="shared" ref="O263:O326" si="116">N263/(A263/365.25)</f>
        <v>-5.9886053585526386E-2</v>
      </c>
      <c r="P263" s="248" t="b">
        <f t="shared" si="112"/>
        <v>0</v>
      </c>
      <c r="Q263" s="249">
        <f>COUNTIF(P$2:P263, TRUE)/(COUNTIF(P$2:P263,FALSE) + COUNTIF(P$2:P263, TRUE))</f>
        <v>0.49618320610687022</v>
      </c>
      <c r="R263" s="247">
        <v>285803.11</v>
      </c>
      <c r="S263" s="247">
        <f t="shared" si="104"/>
        <v>89275.109999999986</v>
      </c>
      <c r="T263" s="247">
        <v>-39480</v>
      </c>
      <c r="U263" s="247">
        <f t="shared" si="105"/>
        <v>14558.219999999972</v>
      </c>
      <c r="V263" s="249">
        <f>STDEV(D$2:D263)*SQRT(252)</f>
        <v>0.16762959845319877</v>
      </c>
      <c r="W263" s="249">
        <f>STDEV(L$2:L263)*SQRT(252)</f>
        <v>0.36332602481523973</v>
      </c>
      <c r="X263" s="173">
        <f t="shared" si="88"/>
        <v>-0.37167928918827015</v>
      </c>
      <c r="Y263" s="173">
        <f t="shared" si="89"/>
        <v>-0.1648273162264661</v>
      </c>
      <c r="Z263" s="794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1">
        <v>42614</v>
      </c>
      <c r="C264" s="242">
        <v>2170.86</v>
      </c>
      <c r="D264" s="170">
        <f t="shared" ref="D264:D270" si="117">(C264-C263)/C263</f>
        <v>-3.6850396602359916E-5</v>
      </c>
      <c r="E264" s="243">
        <f t="shared" si="108"/>
        <v>3.254314035121101E-2</v>
      </c>
      <c r="F264" s="244">
        <v>5227.2</v>
      </c>
      <c r="G264" s="170">
        <f t="shared" si="115"/>
        <v>2.6816439743574151E-3</v>
      </c>
      <c r="H264" s="245">
        <f t="shared" si="110"/>
        <v>2.661193707406171E-2</v>
      </c>
      <c r="I264" s="246">
        <v>374158.47</v>
      </c>
      <c r="J264" s="247">
        <v>400000</v>
      </c>
      <c r="K264" s="247">
        <f t="shared" si="111"/>
        <v>-919.75</v>
      </c>
      <c r="L264" s="170">
        <f t="shared" ref="L264:L269" si="118">K264/I263</f>
        <v>-2.4521551797915646E-3</v>
      </c>
      <c r="M264" s="248">
        <f t="shared" si="114"/>
        <v>-25841.530000000028</v>
      </c>
      <c r="N264" s="249">
        <f t="shared" si="107"/>
        <v>-6.4603825000000073E-2</v>
      </c>
      <c r="O264" s="182">
        <f t="shared" si="116"/>
        <v>-6.1933194438976449E-2</v>
      </c>
      <c r="P264" s="248" t="b">
        <f t="shared" si="112"/>
        <v>0</v>
      </c>
      <c r="Q264" s="249">
        <f>COUNTIF(P$2:P264, TRUE)/(COUNTIF(P$2:P264,FALSE) + COUNTIF(P$2:P264, TRUE))</f>
        <v>0.49429657794676807</v>
      </c>
      <c r="R264" s="247">
        <v>284793.13</v>
      </c>
      <c r="S264" s="247">
        <f t="shared" si="104"/>
        <v>89365.339999999967</v>
      </c>
      <c r="T264" s="247">
        <v>-40089</v>
      </c>
      <c r="U264" s="247">
        <f t="shared" si="105"/>
        <v>14247.469999999972</v>
      </c>
      <c r="V264" s="249">
        <f>STDEV(D$2:D264)*SQRT(252)</f>
        <v>0.16730829405773207</v>
      </c>
      <c r="W264" s="249">
        <f>STDEV(L$2:L264)*SQRT(252)</f>
        <v>0.36263989119612255</v>
      </c>
      <c r="X264" s="173">
        <f t="shared" si="88"/>
        <v>-0.38613641579363434</v>
      </c>
      <c r="Y264" s="173">
        <f t="shared" si="89"/>
        <v>-0.17078428474787347</v>
      </c>
      <c r="Z264" s="794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1">
        <v>42615</v>
      </c>
      <c r="C265" s="242">
        <v>2179.98</v>
      </c>
      <c r="D265" s="170">
        <f t="shared" si="117"/>
        <v>4.2011000248748835E-3</v>
      </c>
      <c r="E265" s="243">
        <f t="shared" si="108"/>
        <v>3.6880957363824872E-2</v>
      </c>
      <c r="F265" s="244">
        <v>5249.89</v>
      </c>
      <c r="G265" s="170">
        <f t="shared" si="115"/>
        <v>4.3407560453015978E-3</v>
      </c>
      <c r="H265" s="245">
        <f t="shared" si="110"/>
        <v>3.1068209046094725E-2</v>
      </c>
      <c r="I265" s="246">
        <v>379833.49</v>
      </c>
      <c r="J265" s="247">
        <v>400000</v>
      </c>
      <c r="K265" s="247">
        <f t="shared" si="111"/>
        <v>5675.0200000000186</v>
      </c>
      <c r="L265" s="170">
        <f t="shared" si="118"/>
        <v>1.5167423578570916E-2</v>
      </c>
      <c r="M265" s="248">
        <f t="shared" si="114"/>
        <v>-20166.510000000009</v>
      </c>
      <c r="N265" s="249">
        <f t="shared" si="107"/>
        <v>-5.0416275000000024E-2</v>
      </c>
      <c r="O265" s="182">
        <f t="shared" si="116"/>
        <v>-4.8205613727094261E-2</v>
      </c>
      <c r="P265" s="248" t="b">
        <f t="shared" si="112"/>
        <v>1</v>
      </c>
      <c r="Q265" s="249">
        <f>COUNTIF(P$2:P265, TRUE)/(COUNTIF(P$2:P265,FALSE) + COUNTIF(P$2:P265, TRUE))</f>
        <v>0.49621212121212122</v>
      </c>
      <c r="R265" s="247">
        <v>279915.57</v>
      </c>
      <c r="S265" s="247">
        <f t="shared" si="104"/>
        <v>99917.919999999984</v>
      </c>
      <c r="T265" s="247">
        <v>-35299</v>
      </c>
      <c r="U265" s="247">
        <f t="shared" si="105"/>
        <v>15132.489999999991</v>
      </c>
      <c r="V265" s="249">
        <f>STDEV(D$2:D265)*SQRT(252)</f>
        <v>0.16703513483712773</v>
      </c>
      <c r="W265" s="249">
        <f>STDEV(L$2:L265)*SQRT(252)</f>
        <v>0.3622373095628969</v>
      </c>
      <c r="X265" s="173">
        <f t="shared" si="88"/>
        <v>-0.30183036071518621</v>
      </c>
      <c r="Y265" s="173">
        <f t="shared" si="89"/>
        <v>-0.13307743971835154</v>
      </c>
      <c r="Z265" s="794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4">
        <v>2186.48</v>
      </c>
      <c r="D266" s="170">
        <f t="shared" si="117"/>
        <v>2.9816787309975322E-3</v>
      </c>
      <c r="E266" s="208">
        <f t="shared" si="108"/>
        <v>3.9972603260972947E-2</v>
      </c>
      <c r="F266" s="218">
        <v>5275.9</v>
      </c>
      <c r="G266" s="170">
        <f t="shared" si="115"/>
        <v>4.9543895205422031E-3</v>
      </c>
      <c r="H266" s="202">
        <f t="shared" si="110"/>
        <v>3.6176522575956917E-2</v>
      </c>
      <c r="I266" s="220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1">
        <f t="shared" si="114"/>
        <v>-17072.200000000012</v>
      </c>
      <c r="N266" s="183">
        <f t="shared" si="107"/>
        <v>-4.2680500000000031E-2</v>
      </c>
      <c r="O266" s="182">
        <f t="shared" si="116"/>
        <v>-4.0386146696891223E-2</v>
      </c>
      <c r="P266" s="181" t="b">
        <f t="shared" si="112"/>
        <v>1</v>
      </c>
      <c r="Q266" s="183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3">
        <f>STDEV(D$2:D266)*SQRT(252)</f>
        <v>0.16673953715434717</v>
      </c>
      <c r="W266" s="183">
        <f>STDEV(L$2:L266)*SQRT(252)</f>
        <v>0.36162688235726198</v>
      </c>
      <c r="X266" s="173">
        <f t="shared" si="88"/>
        <v>-0.2559710835738474</v>
      </c>
      <c r="Y266" s="173">
        <f t="shared" si="89"/>
        <v>-0.11167905005743611</v>
      </c>
      <c r="Z266" s="794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4">
        <v>2186.16</v>
      </c>
      <c r="D267" s="170">
        <f t="shared" si="117"/>
        <v>-1.4635395704518849E-4</v>
      </c>
      <c r="E267" s="208">
        <f t="shared" si="108"/>
        <v>3.9820399155267118E-2</v>
      </c>
      <c r="F267" s="218">
        <v>5283.92</v>
      </c>
      <c r="G267" s="170">
        <f t="shared" si="115"/>
        <v>1.5201197899885209E-3</v>
      </c>
      <c r="H267" s="202">
        <f t="shared" si="110"/>
        <v>3.7751635013846117E-2</v>
      </c>
      <c r="I267" s="220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1">
        <f t="shared" si="114"/>
        <v>-13046.159999999974</v>
      </c>
      <c r="N267" s="183">
        <f t="shared" si="107"/>
        <v>-3.2615399999999933E-2</v>
      </c>
      <c r="O267" s="182">
        <f t="shared" si="116"/>
        <v>-3.0782363953488309E-2</v>
      </c>
      <c r="P267" s="181" t="b">
        <f t="shared" si="112"/>
        <v>1</v>
      </c>
      <c r="Q267" s="183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3">
        <f>STDEV(D$2:D267)*SQRT(252)</f>
        <v>0.16642379270655777</v>
      </c>
      <c r="W267" s="183">
        <f>STDEV(L$2:L267)*SQRT(252)</f>
        <v>0.3610748681776339</v>
      </c>
      <c r="X267" s="173">
        <f t="shared" si="88"/>
        <v>-0.19597798769980054</v>
      </c>
      <c r="Y267" s="173">
        <f t="shared" si="89"/>
        <v>-8.5252025733191322E-2</v>
      </c>
      <c r="Z267" s="794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4">
        <v>2181.3000000000002</v>
      </c>
      <c r="D268" s="170">
        <f t="shared" si="117"/>
        <v>-2.2230760786034294E-3</v>
      </c>
      <c r="E268" s="208">
        <f t="shared" si="108"/>
        <v>3.7508799299861173E-2</v>
      </c>
      <c r="F268" s="218">
        <v>5259.48</v>
      </c>
      <c r="G268" s="170">
        <f t="shared" si="115"/>
        <v>-4.6253539039199133E-3</v>
      </c>
      <c r="H268" s="202">
        <f t="shared" si="110"/>
        <v>3.2951666437535547E-2</v>
      </c>
      <c r="I268" s="220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1">
        <f t="shared" si="114"/>
        <v>-2881.8699999999953</v>
      </c>
      <c r="N268" s="183">
        <f t="shared" si="107"/>
        <v>-7.2046749999999885E-3</v>
      </c>
      <c r="O268" s="182">
        <f t="shared" si="116"/>
        <v>-6.7822359374999901E-3</v>
      </c>
      <c r="P268" s="181" t="b">
        <f t="shared" si="112"/>
        <v>1</v>
      </c>
      <c r="Q268" s="183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3">
        <f>STDEV(D$2:D268)*SQRT(252)</f>
        <v>0.16612626124990684</v>
      </c>
      <c r="W268" s="183">
        <f>STDEV(L$2:L268)*SQRT(252)</f>
        <v>0.36126574974857484</v>
      </c>
      <c r="X268" s="173">
        <f t="shared" si="88"/>
        <v>-4.3368669985065521E-2</v>
      </c>
      <c r="Y268" s="173">
        <f t="shared" si="89"/>
        <v>-1.8773537049167073E-2</v>
      </c>
      <c r="Z268" s="794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4">
        <v>2127.81</v>
      </c>
      <c r="D269" s="170">
        <f t="shared" si="117"/>
        <v>-2.4522073992573341E-2</v>
      </c>
      <c r="E269" s="208">
        <f t="shared" si="108"/>
        <v>1.2066931755484052E-2</v>
      </c>
      <c r="F269" s="218">
        <v>5125.8999999999996</v>
      </c>
      <c r="G269" s="170">
        <f t="shared" si="115"/>
        <v>-2.5397948086122571E-2</v>
      </c>
      <c r="H269" s="202">
        <f t="shared" si="110"/>
        <v>6.7168136378812221E-3</v>
      </c>
      <c r="I269" s="220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1">
        <f t="shared" si="114"/>
        <v>-13788.679999999993</v>
      </c>
      <c r="N269" s="183">
        <f t="shared" si="107"/>
        <v>-3.447169999999998E-2</v>
      </c>
      <c r="O269" s="182">
        <f t="shared" si="116"/>
        <v>-3.2367065359897154E-2</v>
      </c>
      <c r="P269" s="181" t="b">
        <f t="shared" si="112"/>
        <v>0</v>
      </c>
      <c r="Q269" s="183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3">
        <f>STDEV(D$2:D269)*SQRT(252)</f>
        <v>0.1675431453543596</v>
      </c>
      <c r="W269" s="183">
        <f>STDEV(L$2:L269)*SQRT(252)</f>
        <v>0.36161388324136196</v>
      </c>
      <c r="X269" s="173">
        <f t="shared" si="88"/>
        <v>-0.20574819654418647</v>
      </c>
      <c r="Y269" s="173">
        <f t="shared" si="89"/>
        <v>-8.9507253067199047E-2</v>
      </c>
      <c r="Z269" s="794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1">
        <v>42625</v>
      </c>
      <c r="C270" s="242">
        <v>2159.04</v>
      </c>
      <c r="D270" s="170">
        <f t="shared" si="117"/>
        <v>1.4677062331693158E-2</v>
      </c>
      <c r="E270" s="243">
        <f t="shared" si="108"/>
        <v>2.6921101196704739E-2</v>
      </c>
      <c r="F270" s="244">
        <v>5211.88</v>
      </c>
      <c r="G270" s="170">
        <f t="shared" si="115"/>
        <v>1.6773639751068197E-2</v>
      </c>
      <c r="H270" s="245">
        <f t="shared" si="110"/>
        <v>2.3603118801186301E-2</v>
      </c>
      <c r="I270" s="246">
        <v>387052.15</v>
      </c>
      <c r="J270" s="247">
        <v>400000</v>
      </c>
      <c r="K270" s="247">
        <f t="shared" si="111"/>
        <v>840.8300000000163</v>
      </c>
      <c r="L270" s="170">
        <f t="shared" ref="L270:L285" si="119">K270/I269</f>
        <v>2.1771241712956945E-3</v>
      </c>
      <c r="M270" s="248">
        <f t="shared" si="114"/>
        <v>-12947.849999999977</v>
      </c>
      <c r="N270" s="249">
        <f t="shared" si="107"/>
        <v>-3.2369624999999944E-2</v>
      </c>
      <c r="O270" s="182">
        <f t="shared" si="116"/>
        <v>-3.0160728396045867E-2</v>
      </c>
      <c r="P270" s="248" t="b">
        <f t="shared" si="112"/>
        <v>0</v>
      </c>
      <c r="Q270" s="249">
        <f>COUNTIF(P$2:P270, TRUE)/(COUNTIF(P$2:P270,FALSE) + COUNTIF(P$2:P270, TRUE))</f>
        <v>0.49814126394052044</v>
      </c>
      <c r="R270" s="247">
        <v>279690.06</v>
      </c>
      <c r="S270" s="247">
        <f t="shared" si="104"/>
        <v>107362.09000000003</v>
      </c>
      <c r="T270" s="247">
        <v>-29688</v>
      </c>
      <c r="U270" s="247">
        <f t="shared" si="105"/>
        <v>16740.150000000023</v>
      </c>
      <c r="V270" s="249">
        <f>STDEV(D$2:D270)*SQRT(252)</f>
        <v>0.16782539199806834</v>
      </c>
      <c r="W270" s="249">
        <f>STDEV(L$2:L270)*SQRT(252)</f>
        <v>0.36093984423813291</v>
      </c>
      <c r="X270" s="173">
        <f t="shared" si="88"/>
        <v>-0.19287680257807779</v>
      </c>
      <c r="Y270" s="173">
        <f t="shared" si="89"/>
        <v>-8.3561648506023864E-2</v>
      </c>
      <c r="Z270" s="794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1">
        <v>42626</v>
      </c>
      <c r="C271" s="242">
        <v>2127.02</v>
      </c>
      <c r="D271" s="170">
        <f t="shared" ref="D271:D285" si="120">(C271-C270)/C270</f>
        <v>-1.483066548095449E-2</v>
      </c>
      <c r="E271" s="243">
        <f t="shared" si="108"/>
        <v>1.1691177869522996E-2</v>
      </c>
      <c r="F271" s="244">
        <v>5155.25</v>
      </c>
      <c r="G271" s="170">
        <f t="shared" ref="G271:G285" si="121">(F271-F270)/F270</f>
        <v>-1.0865560987589911E-2</v>
      </c>
      <c r="H271" s="245">
        <f t="shared" si="110"/>
        <v>1.2481096686764771E-2</v>
      </c>
      <c r="I271" s="246">
        <v>374259.41</v>
      </c>
      <c r="J271" s="247">
        <v>400000</v>
      </c>
      <c r="K271" s="247">
        <f t="shared" si="111"/>
        <v>-12792.740000000049</v>
      </c>
      <c r="L271" s="170">
        <f t="shared" si="119"/>
        <v>-3.3051721841617594E-2</v>
      </c>
      <c r="M271" s="248">
        <f t="shared" si="114"/>
        <v>-25740.590000000026</v>
      </c>
      <c r="N271" s="249">
        <f t="shared" si="107"/>
        <v>-6.4351475000000061E-2</v>
      </c>
      <c r="O271" s="182">
        <f t="shared" si="116"/>
        <v>-5.9807573139313036E-2</v>
      </c>
      <c r="P271" s="248" t="b">
        <f t="shared" si="112"/>
        <v>0</v>
      </c>
      <c r="Q271" s="249">
        <f>COUNTIF(P$2:P271, TRUE)/(COUNTIF(P$2:P271,FALSE) + COUNTIF(P$2:P271, TRUE))</f>
        <v>0.49629629629629629</v>
      </c>
      <c r="R271" s="247">
        <v>294807.52</v>
      </c>
      <c r="S271" s="247">
        <f t="shared" si="104"/>
        <v>79451.889999999956</v>
      </c>
      <c r="T271" s="247">
        <v>-40449</v>
      </c>
      <c r="U271" s="247">
        <f t="shared" si="105"/>
        <v>14708.409999999974</v>
      </c>
      <c r="V271" s="249">
        <f>STDEV(D$2:D271)*SQRT(252)</f>
        <v>0.16813876158922561</v>
      </c>
      <c r="W271" s="249">
        <f>STDEV(L$2:L271)*SQRT(252)</f>
        <v>0.36172480886226521</v>
      </c>
      <c r="X271" s="173">
        <f t="shared" si="88"/>
        <v>-0.38272837501453161</v>
      </c>
      <c r="Y271" s="173">
        <f t="shared" si="89"/>
        <v>-0.16533998131736136</v>
      </c>
      <c r="Z271" s="794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1">
        <v>42627</v>
      </c>
      <c r="C272" s="242">
        <v>2125.77</v>
      </c>
      <c r="D272" s="170">
        <f t="shared" si="120"/>
        <v>-5.8767665560267412E-4</v>
      </c>
      <c r="E272" s="243">
        <f t="shared" si="108"/>
        <v>1.1096630581609904E-2</v>
      </c>
      <c r="F272" s="244">
        <v>5173.7700000000004</v>
      </c>
      <c r="G272" s="170">
        <f t="shared" si="121"/>
        <v>3.5924542941662258E-3</v>
      </c>
      <c r="H272" s="245">
        <f t="shared" si="110"/>
        <v>1.6118388750319269E-2</v>
      </c>
      <c r="I272" s="246">
        <v>370693.02</v>
      </c>
      <c r="J272" s="247">
        <v>400000</v>
      </c>
      <c r="K272" s="247">
        <f t="shared" si="111"/>
        <v>-3566.3899999999558</v>
      </c>
      <c r="L272" s="170">
        <f t="shared" si="119"/>
        <v>-9.5291925993255741E-3</v>
      </c>
      <c r="M272" s="248">
        <f t="shared" si="114"/>
        <v>-29306.979999999981</v>
      </c>
      <c r="N272" s="249">
        <f t="shared" si="107"/>
        <v>-7.3267449999999956E-2</v>
      </c>
      <c r="O272" s="182">
        <f t="shared" si="116"/>
        <v>-6.7921157645939048E-2</v>
      </c>
      <c r="P272" s="248" t="b">
        <f t="shared" si="112"/>
        <v>0</v>
      </c>
      <c r="Q272" s="249">
        <f>COUNTIF(P$2:P272, TRUE)/(COUNTIF(P$2:P272,FALSE) + COUNTIF(P$2:P272, TRUE))</f>
        <v>0.49446494464944651</v>
      </c>
      <c r="R272" s="247">
        <v>304166.43</v>
      </c>
      <c r="S272" s="247">
        <f t="shared" si="104"/>
        <v>66526.590000000026</v>
      </c>
      <c r="T272" s="247">
        <v>-43966</v>
      </c>
      <c r="U272" s="247">
        <f t="shared" si="105"/>
        <v>14659.020000000019</v>
      </c>
      <c r="V272" s="249">
        <f>STDEV(D$2:D272)*SQRT(252)</f>
        <v>0.16782725694658282</v>
      </c>
      <c r="W272" s="249">
        <f>STDEV(L$2:L272)*SQRT(252)</f>
        <v>0.36117811757925894</v>
      </c>
      <c r="X272" s="173">
        <f t="shared" si="88"/>
        <v>-0.43656466376805531</v>
      </c>
      <c r="Y272" s="173">
        <f t="shared" si="89"/>
        <v>-0.18805446493040667</v>
      </c>
      <c r="Z272" s="794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1">
        <v>42628</v>
      </c>
      <c r="C273" s="242">
        <v>2147.2600000000002</v>
      </c>
      <c r="D273" s="170">
        <f t="shared" si="120"/>
        <v>1.0109278049836171E-2</v>
      </c>
      <c r="E273" s="243">
        <f t="shared" si="108"/>
        <v>2.1318087555411886E-2</v>
      </c>
      <c r="F273" s="244">
        <v>5249.68</v>
      </c>
      <c r="G273" s="170">
        <f t="shared" si="121"/>
        <v>1.4672086312302218E-2</v>
      </c>
      <c r="H273" s="245">
        <f t="shared" si="110"/>
        <v>3.1026965453581412E-2</v>
      </c>
      <c r="I273" s="246">
        <v>375852.08</v>
      </c>
      <c r="J273" s="247">
        <v>400000</v>
      </c>
      <c r="K273" s="247">
        <f t="shared" si="111"/>
        <v>5159.0599999999977</v>
      </c>
      <c r="L273" s="170">
        <f t="shared" si="119"/>
        <v>1.3917337855457859E-2</v>
      </c>
      <c r="M273" s="248">
        <f t="shared" si="114"/>
        <v>-24147.919999999984</v>
      </c>
      <c r="N273" s="249">
        <f t="shared" si="107"/>
        <v>-6.036979999999996E-2</v>
      </c>
      <c r="O273" s="182">
        <f t="shared" si="116"/>
        <v>-5.582296063291136E-2</v>
      </c>
      <c r="P273" s="248" t="b">
        <f t="shared" si="112"/>
        <v>1</v>
      </c>
      <c r="Q273" s="249">
        <f>COUNTIF(P$2:P273, TRUE)/(COUNTIF(P$2:P273,FALSE) + COUNTIF(P$2:P273, TRUE))</f>
        <v>0.49632352941176472</v>
      </c>
      <c r="R273" s="247">
        <v>309277.58</v>
      </c>
      <c r="S273" s="247">
        <f t="shared" si="104"/>
        <v>66574.5</v>
      </c>
      <c r="T273" s="247">
        <v>-40569</v>
      </c>
      <c r="U273" s="247">
        <f t="shared" si="105"/>
        <v>16421.080000000016</v>
      </c>
      <c r="V273" s="249">
        <f>STDEV(D$2:D273)*SQRT(252)</f>
        <v>0.16779419960031708</v>
      </c>
      <c r="W273" s="249">
        <f>STDEV(L$2:L273)*SQRT(252)</f>
        <v>0.36074703023734866</v>
      </c>
      <c r="X273" s="173">
        <f t="shared" si="88"/>
        <v>-0.3597847848364234</v>
      </c>
      <c r="Y273" s="173">
        <f t="shared" si="89"/>
        <v>-0.15474267548698431</v>
      </c>
      <c r="Z273" s="794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1">
        <v>42629</v>
      </c>
      <c r="C274" s="242">
        <v>2139.16</v>
      </c>
      <c r="D274" s="170">
        <f t="shared" si="120"/>
        <v>-3.7722492851356439E-3</v>
      </c>
      <c r="E274" s="243">
        <f t="shared" si="108"/>
        <v>1.7465421129734877E-2</v>
      </c>
      <c r="F274" s="244">
        <v>5244.56</v>
      </c>
      <c r="G274" s="170">
        <f t="shared" si="121"/>
        <v>-9.7529754194539294E-4</v>
      </c>
      <c r="H274" s="245">
        <f t="shared" si="110"/>
        <v>3.0021407388495118E-2</v>
      </c>
      <c r="I274" s="246">
        <v>375872.83</v>
      </c>
      <c r="J274" s="247">
        <v>400000</v>
      </c>
      <c r="K274" s="247">
        <f t="shared" si="111"/>
        <v>20.75</v>
      </c>
      <c r="L274" s="170">
        <f t="shared" si="119"/>
        <v>5.5207889231316743E-5</v>
      </c>
      <c r="M274" s="248">
        <f t="shared" ref="M274:M279" si="122">I274-J274</f>
        <v>-24127.169999999984</v>
      </c>
      <c r="N274" s="249">
        <f t="shared" si="107"/>
        <v>-6.031792499999996E-2</v>
      </c>
      <c r="O274" s="182">
        <f t="shared" si="116"/>
        <v>-5.5634146732954505E-2</v>
      </c>
      <c r="P274" s="248" t="b">
        <f t="shared" si="112"/>
        <v>1</v>
      </c>
      <c r="Q274" s="249">
        <f>COUNTIF(P$2:P274, TRUE)/(COUNTIF(P$2:P274,FALSE) + COUNTIF(P$2:P274, TRUE))</f>
        <v>0.49816849816849818</v>
      </c>
      <c r="R274" s="247">
        <v>307021.42</v>
      </c>
      <c r="S274" s="247">
        <f t="shared" si="104"/>
        <v>68851.410000000033</v>
      </c>
      <c r="T274" s="247">
        <v>-40175</v>
      </c>
      <c r="U274" s="247">
        <f t="shared" si="105"/>
        <v>16047.830000000016</v>
      </c>
      <c r="V274" s="249">
        <f>STDEV(D$2:D274)*SQRT(252)</f>
        <v>0.16752651970065091</v>
      </c>
      <c r="W274" s="249">
        <f>STDEV(L$2:L274)*SQRT(252)</f>
        <v>0.36008095750354496</v>
      </c>
      <c r="X274" s="173">
        <f t="shared" si="88"/>
        <v>-0.36005000944197135</v>
      </c>
      <c r="Y274" s="173">
        <f t="shared" si="89"/>
        <v>-0.1545045511950095</v>
      </c>
      <c r="Z274" s="794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4">
        <v>2139.12</v>
      </c>
      <c r="D275" s="170">
        <f t="shared" si="120"/>
        <v>-1.8698928551377E-5</v>
      </c>
      <c r="E275" s="208">
        <f t="shared" si="108"/>
        <v>1.7446395616521677E-2</v>
      </c>
      <c r="F275" s="218">
        <v>5235.0200000000004</v>
      </c>
      <c r="G275" s="170">
        <f t="shared" si="121"/>
        <v>-1.8190277163384464E-3</v>
      </c>
      <c r="H275" s="202">
        <f t="shared" si="110"/>
        <v>2.8147769900033509E-2</v>
      </c>
      <c r="I275" s="220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1">
        <f t="shared" si="122"/>
        <v>-26876.520000000019</v>
      </c>
      <c r="N275" s="183">
        <f t="shared" si="107"/>
        <v>-6.7191300000000051E-2</v>
      </c>
      <c r="O275" s="182">
        <f t="shared" si="116"/>
        <v>-6.1507825375939899E-2</v>
      </c>
      <c r="P275" s="181" t="b">
        <f t="shared" si="112"/>
        <v>0</v>
      </c>
      <c r="Q275" s="183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3">
        <f>STDEV(D$2:D275)*SQRT(252)</f>
        <v>0.16721833549598966</v>
      </c>
      <c r="W275" s="183">
        <f>STDEV(L$2:L275)*SQRT(252)</f>
        <v>0.35949423119806312</v>
      </c>
      <c r="X275" s="173">
        <f t="shared" si="88"/>
        <v>-0.40181777794105283</v>
      </c>
      <c r="Y275" s="173">
        <f t="shared" si="89"/>
        <v>-0.17109544476126018</v>
      </c>
      <c r="Z275" s="794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4">
        <v>2139.7600000000002</v>
      </c>
      <c r="D276" s="170">
        <f t="shared" si="120"/>
        <v>2.991884513259319E-4</v>
      </c>
      <c r="E276" s="208">
        <f t="shared" si="108"/>
        <v>1.7750803827933335E-2</v>
      </c>
      <c r="F276" s="218">
        <v>5241.3500000000004</v>
      </c>
      <c r="G276" s="170">
        <f t="shared" si="121"/>
        <v>1.2091644349018584E-3</v>
      </c>
      <c r="H276" s="202">
        <f t="shared" si="110"/>
        <v>2.9390969617220292E-2</v>
      </c>
      <c r="I276" s="220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1">
        <f t="shared" si="122"/>
        <v>-27281.289999999979</v>
      </c>
      <c r="N276" s="183">
        <f t="shared" si="107"/>
        <v>-6.8203224999999951E-2</v>
      </c>
      <c r="O276" s="182">
        <f t="shared" si="116"/>
        <v>-6.2278069828124956E-2</v>
      </c>
      <c r="P276" s="181" t="b">
        <f t="shared" si="112"/>
        <v>0</v>
      </c>
      <c r="Q276" s="183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3">
        <f>STDEV(D$2:D276)*SQRT(252)</f>
        <v>0.16691188354135808</v>
      </c>
      <c r="W276" s="183">
        <f>STDEV(L$2:L276)*SQRT(252)</f>
        <v>0.35883781630276246</v>
      </c>
      <c r="X276" s="173">
        <f t="shared" si="88"/>
        <v>-0.40861814960646758</v>
      </c>
      <c r="Y276" s="173">
        <f t="shared" si="89"/>
        <v>-0.17355492369728123</v>
      </c>
      <c r="Z276" s="794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4">
        <v>2163.12</v>
      </c>
      <c r="D277" s="170">
        <f t="shared" si="120"/>
        <v>1.0917112199498855E-2</v>
      </c>
      <c r="E277" s="208">
        <f t="shared" si="108"/>
        <v>2.8861703544453034E-2</v>
      </c>
      <c r="F277" s="218">
        <v>5295.18</v>
      </c>
      <c r="G277" s="170">
        <f t="shared" si="121"/>
        <v>1.0270254800766963E-2</v>
      </c>
      <c r="H277" s="202">
        <f t="shared" si="110"/>
        <v>3.9963077164797703E-2</v>
      </c>
      <c r="I277" s="220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1">
        <f t="shared" si="122"/>
        <v>-17536.380000000005</v>
      </c>
      <c r="N277" s="183">
        <f t="shared" si="107"/>
        <v>-4.384095000000001E-2</v>
      </c>
      <c r="O277" s="182">
        <f t="shared" si="116"/>
        <v>-3.9932436377805497E-2</v>
      </c>
      <c r="P277" s="181" t="b">
        <f t="shared" si="112"/>
        <v>1</v>
      </c>
      <c r="Q277" s="183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3">
        <f>STDEV(D$2:D277)*SQRT(252)</f>
        <v>0.16692734623146724</v>
      </c>
      <c r="W277" s="183">
        <f>STDEV(L$2:L277)*SQRT(252)</f>
        <v>0.35903354110809649</v>
      </c>
      <c r="X277" s="173">
        <f t="shared" si="88"/>
        <v>-0.26263491866221028</v>
      </c>
      <c r="Y277" s="173">
        <f t="shared" si="89"/>
        <v>-0.11122202191628326</v>
      </c>
      <c r="Z277" s="794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4">
        <v>2177.1799999999998</v>
      </c>
      <c r="D278" s="170">
        <f t="shared" si="120"/>
        <v>6.4998705573430723E-3</v>
      </c>
      <c r="E278" s="208">
        <f t="shared" si="108"/>
        <v>3.5549171438899463E-2</v>
      </c>
      <c r="F278" s="218">
        <v>5339.52</v>
      </c>
      <c r="G278" s="170">
        <f t="shared" si="121"/>
        <v>8.373653020293954E-3</v>
      </c>
      <c r="H278" s="202">
        <f t="shared" si="110"/>
        <v>4.8671367126892913E-2</v>
      </c>
      <c r="I278" s="220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1">
        <f t="shared" si="122"/>
        <v>-14801.159999999974</v>
      </c>
      <c r="N278" s="183">
        <f t="shared" si="107"/>
        <v>-3.7002899999999936E-2</v>
      </c>
      <c r="O278" s="182">
        <f t="shared" si="116"/>
        <v>-3.3620172201492479E-2</v>
      </c>
      <c r="P278" s="181" t="b">
        <f t="shared" si="112"/>
        <v>1</v>
      </c>
      <c r="Q278" s="183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3">
        <f>STDEV(D$2:D278)*SQRT(252)</f>
        <v>0.16673370046778063</v>
      </c>
      <c r="W278" s="183">
        <f>STDEV(L$2:L278)*SQRT(252)</f>
        <v>0.35843771988043882</v>
      </c>
      <c r="X278" s="173">
        <f t="shared" si="88"/>
        <v>-0.22192813987925805</v>
      </c>
      <c r="Y278" s="173">
        <f t="shared" si="89"/>
        <v>-9.379641242195963E-2</v>
      </c>
      <c r="Z278" s="794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4">
        <v>2164.69</v>
      </c>
      <c r="D279" s="170">
        <f t="shared" si="120"/>
        <v>-5.7367787688660478E-3</v>
      </c>
      <c r="E279" s="208">
        <f t="shared" si="108"/>
        <v>2.9608454938071953E-2</v>
      </c>
      <c r="F279" s="218">
        <v>5305.74</v>
      </c>
      <c r="G279" s="170">
        <f t="shared" si="121"/>
        <v>-6.3264113628192517E-3</v>
      </c>
      <c r="H279" s="202">
        <f t="shared" si="110"/>
        <v>4.2037040674038136E-2</v>
      </c>
      <c r="I279" s="220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1">
        <f t="shared" si="122"/>
        <v>-18881.950000000012</v>
      </c>
      <c r="N279" s="183">
        <f t="shared" si="107"/>
        <v>-4.7204875000000028E-2</v>
      </c>
      <c r="O279" s="182">
        <f t="shared" si="116"/>
        <v>-4.2783078396402011E-2</v>
      </c>
      <c r="P279" s="181" t="b">
        <f t="shared" si="112"/>
        <v>0</v>
      </c>
      <c r="Q279" s="183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3">
        <f>STDEV(D$2:D279)*SQRT(252)</f>
        <v>0.16652707926624533</v>
      </c>
      <c r="W279" s="183">
        <f>STDEV(L$2:L279)*SQRT(252)</f>
        <v>0.35794291849606197</v>
      </c>
      <c r="X279" s="173">
        <f t="shared" si="88"/>
        <v>-0.28346666024525868</v>
      </c>
      <c r="Y279" s="173">
        <f t="shared" si="89"/>
        <v>-0.11952486328311787</v>
      </c>
      <c r="Z279" s="794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1">
        <v>42639</v>
      </c>
      <c r="C280" s="330">
        <v>2146.1</v>
      </c>
      <c r="D280" s="170">
        <f t="shared" si="120"/>
        <v>-8.5878347477006609E-3</v>
      </c>
      <c r="E280" s="243">
        <f t="shared" si="108"/>
        <v>2.0766347672228389E-2</v>
      </c>
      <c r="F280" s="244">
        <v>5257.49</v>
      </c>
      <c r="G280" s="170">
        <f t="shared" si="121"/>
        <v>-9.093924692879788E-3</v>
      </c>
      <c r="H280" s="245">
        <f t="shared" si="110"/>
        <v>3.256083429895712E-2</v>
      </c>
      <c r="I280" s="246">
        <v>378419.42</v>
      </c>
      <c r="J280" s="247">
        <v>400000</v>
      </c>
      <c r="K280" s="247">
        <f t="shared" si="111"/>
        <v>-2698.6300000000047</v>
      </c>
      <c r="L280" s="170">
        <f t="shared" si="119"/>
        <v>-7.0808244322198982E-3</v>
      </c>
      <c r="M280" s="248">
        <f t="shared" ref="M280:M311" si="124">I280-J280</f>
        <v>-21580.580000000016</v>
      </c>
      <c r="N280" s="249">
        <f t="shared" si="107"/>
        <v>-5.395145000000004E-2</v>
      </c>
      <c r="O280" s="182">
        <f t="shared" si="116"/>
        <v>-4.8536372198275897E-2</v>
      </c>
      <c r="P280" s="248" t="b">
        <f t="shared" si="112"/>
        <v>1</v>
      </c>
      <c r="Q280" s="249">
        <f>COUNTIF(P$2:P280, TRUE)/(COUNTIF(P$2:P280,FALSE) + COUNTIF(P$2:P280, TRUE))</f>
        <v>0.49820788530465948</v>
      </c>
      <c r="R280" s="247">
        <v>310812.53000000003</v>
      </c>
      <c r="S280" s="247">
        <f t="shared" si="104"/>
        <v>67606.889999999956</v>
      </c>
      <c r="T280" s="247">
        <v>-37706</v>
      </c>
      <c r="U280" s="247">
        <f t="shared" si="105"/>
        <v>16125.419999999984</v>
      </c>
      <c r="V280" s="249">
        <f>STDEV(D$2:D280)*SQRT(252)</f>
        <v>0.1664347537339865</v>
      </c>
      <c r="W280" s="249">
        <f>STDEV(L$2:L280)*SQRT(252)</f>
        <v>0.35736746994840918</v>
      </c>
      <c r="X280" s="173">
        <f t="shared" si="88"/>
        <v>-0.3241597610450454</v>
      </c>
      <c r="Y280" s="173">
        <f t="shared" si="89"/>
        <v>-0.13581642505201377</v>
      </c>
      <c r="Z280" s="794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1">
        <v>42640</v>
      </c>
      <c r="C281" s="330">
        <v>2159.9299999999998</v>
      </c>
      <c r="D281" s="170">
        <f t="shared" si="120"/>
        <v>6.4442477051395216E-3</v>
      </c>
      <c r="E281" s="243">
        <f t="shared" si="108"/>
        <v>2.7344418865698796E-2</v>
      </c>
      <c r="F281" s="244">
        <v>5305.71</v>
      </c>
      <c r="G281" s="170">
        <f t="shared" si="121"/>
        <v>9.1716769789386681E-3</v>
      </c>
      <c r="H281" s="245">
        <f t="shared" si="110"/>
        <v>4.203114873225057E-2</v>
      </c>
      <c r="I281" s="246">
        <v>375834.82</v>
      </c>
      <c r="J281" s="247">
        <v>400000</v>
      </c>
      <c r="K281" s="247">
        <f t="shared" si="111"/>
        <v>-2584.5999999999767</v>
      </c>
      <c r="L281" s="170">
        <f t="shared" si="119"/>
        <v>-6.8299877421723679E-3</v>
      </c>
      <c r="M281" s="248">
        <f t="shared" si="124"/>
        <v>-24165.179999999993</v>
      </c>
      <c r="N281" s="249">
        <f t="shared" si="107"/>
        <v>-6.0412949999999979E-2</v>
      </c>
      <c r="O281" s="182">
        <f t="shared" si="116"/>
        <v>-5.4215798495085982E-2</v>
      </c>
      <c r="P281" s="248" t="b">
        <f t="shared" si="112"/>
        <v>0</v>
      </c>
      <c r="Q281" s="249">
        <f>COUNTIF(P$2:P281, TRUE)/(COUNTIF(P$2:P281,FALSE) + COUNTIF(P$2:P281, TRUE))</f>
        <v>0.49642857142857144</v>
      </c>
      <c r="R281" s="247">
        <v>313206.95</v>
      </c>
      <c r="S281" s="247">
        <f t="shared" si="104"/>
        <v>62627.869999999995</v>
      </c>
      <c r="T281" s="247">
        <v>-41827</v>
      </c>
      <c r="U281" s="247">
        <f t="shared" si="105"/>
        <v>17661.820000000007</v>
      </c>
      <c r="V281" s="249">
        <f>STDEV(D$2:D281)*SQRT(252)</f>
        <v>0.16624352629269787</v>
      </c>
      <c r="W281" s="249">
        <f>STDEV(L$2:L281)*SQRT(252)</f>
        <v>0.35679007137958157</v>
      </c>
      <c r="X281" s="173">
        <f t="shared" si="88"/>
        <v>-0.36340031607386314</v>
      </c>
      <c r="Y281" s="173">
        <f t="shared" si="89"/>
        <v>-0.15195433630048219</v>
      </c>
      <c r="Z281" s="794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1">
        <v>42641</v>
      </c>
      <c r="C282" s="242">
        <v>2171.37</v>
      </c>
      <c r="D282" s="170">
        <f t="shared" si="120"/>
        <v>5.2964679410907088E-3</v>
      </c>
      <c r="E282" s="243">
        <f t="shared" si="108"/>
        <v>3.2785715644679435E-2</v>
      </c>
      <c r="F282" s="244">
        <v>5318.54</v>
      </c>
      <c r="G282" s="170">
        <f t="shared" si="121"/>
        <v>2.4181495030825145E-3</v>
      </c>
      <c r="H282" s="245">
        <f t="shared" si="110"/>
        <v>4.4550935836753965E-2</v>
      </c>
      <c r="I282" s="246">
        <v>385764.92</v>
      </c>
      <c r="J282" s="247">
        <v>400000</v>
      </c>
      <c r="K282" s="247">
        <f t="shared" si="111"/>
        <v>9930.0999999999767</v>
      </c>
      <c r="L282" s="170">
        <f t="shared" si="119"/>
        <v>2.6421447592322542E-2</v>
      </c>
      <c r="M282" s="248">
        <f t="shared" si="124"/>
        <v>-14235.080000000016</v>
      </c>
      <c r="N282" s="249">
        <f t="shared" si="107"/>
        <v>-3.5587700000000042E-2</v>
      </c>
      <c r="O282" s="182">
        <f t="shared" si="116"/>
        <v>-3.1858841727941213E-2</v>
      </c>
      <c r="P282" s="248" t="b">
        <f t="shared" si="112"/>
        <v>1</v>
      </c>
      <c r="Q282" s="249">
        <f>COUNTIF(P$2:P282, TRUE)/(COUNTIF(P$2:P282,FALSE) + COUNTIF(P$2:P282, TRUE))</f>
        <v>0.49822064056939502</v>
      </c>
      <c r="R282" s="247">
        <v>304000.24</v>
      </c>
      <c r="S282" s="247">
        <f t="shared" si="104"/>
        <v>81764.679999999993</v>
      </c>
      <c r="T282" s="247">
        <v>-31374</v>
      </c>
      <c r="U282" s="247">
        <f t="shared" si="105"/>
        <v>17138.919999999984</v>
      </c>
      <c r="V282" s="249">
        <f>STDEV(D$2:D282)*SQRT(252)</f>
        <v>0.16601709899528619</v>
      </c>
      <c r="W282" s="249">
        <f>STDEV(L$2:L282)*SQRT(252)</f>
        <v>0.35700717953973932</v>
      </c>
      <c r="X282" s="173">
        <f t="shared" si="88"/>
        <v>-0.21436165440410751</v>
      </c>
      <c r="Y282" s="173">
        <f t="shared" si="89"/>
        <v>-8.9238658362597242E-2</v>
      </c>
      <c r="Z282" s="794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1">
        <v>42642</v>
      </c>
      <c r="C283" s="242">
        <v>2151.13</v>
      </c>
      <c r="D283" s="170">
        <f t="shared" si="120"/>
        <v>-9.3213040614910318E-3</v>
      </c>
      <c r="E283" s="243">
        <f t="shared" si="108"/>
        <v>2.3158805958790763E-2</v>
      </c>
      <c r="F283" s="244">
        <v>5269.15</v>
      </c>
      <c r="G283" s="170">
        <f t="shared" si="121"/>
        <v>-9.286383105137937E-3</v>
      </c>
      <c r="H283" s="245">
        <f t="shared" si="110"/>
        <v>3.4850835673743509E-2</v>
      </c>
      <c r="I283" s="246">
        <v>389483.35</v>
      </c>
      <c r="J283" s="247">
        <v>400000</v>
      </c>
      <c r="K283" s="247">
        <f t="shared" si="111"/>
        <v>3718.429999999993</v>
      </c>
      <c r="L283" s="170">
        <f t="shared" si="119"/>
        <v>9.6391087090033824E-3</v>
      </c>
      <c r="M283" s="248">
        <f t="shared" si="124"/>
        <v>-10516.650000000023</v>
      </c>
      <c r="N283" s="249">
        <f t="shared" si="107"/>
        <v>-2.6291625000000058E-2</v>
      </c>
      <c r="O283" s="182">
        <f t="shared" si="116"/>
        <v>-2.3479256800122299E-2</v>
      </c>
      <c r="P283" s="248" t="b">
        <f t="shared" si="112"/>
        <v>1</v>
      </c>
      <c r="Q283" s="249">
        <f>COUNTIF(P$2:P283, TRUE)/(COUNTIF(P$2:P283,FALSE) + COUNTIF(P$2:P283, TRUE))</f>
        <v>0.5</v>
      </c>
      <c r="R283" s="247">
        <v>298931.3</v>
      </c>
      <c r="S283" s="247">
        <f t="shared" si="104"/>
        <v>90552.049999999988</v>
      </c>
      <c r="T283" s="247">
        <v>-27372</v>
      </c>
      <c r="U283" s="247">
        <f t="shared" si="105"/>
        <v>16855.349999999977</v>
      </c>
      <c r="V283" s="249">
        <f>STDEV(D$2:D283)*SQRT(252)</f>
        <v>0.16596393387436578</v>
      </c>
      <c r="W283" s="249">
        <f>STDEV(L$2:L283)*SQRT(252)</f>
        <v>0.35647523622237404</v>
      </c>
      <c r="X283" s="173">
        <f t="shared" ref="X283:X346" si="125">N283/V283</f>
        <v>-0.15841770188396923</v>
      </c>
      <c r="Y283" s="173">
        <f t="shared" ref="Y283:Y346" si="126">O283/W283</f>
        <v>-6.5865043106320076E-2</v>
      </c>
      <c r="Z283" s="794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1">
        <v>42643</v>
      </c>
      <c r="C284" s="242">
        <v>2168.27</v>
      </c>
      <c r="D284" s="170">
        <f t="shared" si="120"/>
        <v>7.9679052405014442E-3</v>
      </c>
      <c r="E284" s="243">
        <f t="shared" si="108"/>
        <v>3.1311238370655012E-2</v>
      </c>
      <c r="F284" s="244">
        <v>5312</v>
      </c>
      <c r="G284" s="170">
        <f t="shared" si="121"/>
        <v>8.1322414431170813E-3</v>
      </c>
      <c r="H284" s="245">
        <f t="shared" si="110"/>
        <v>4.3266492527053869E-2</v>
      </c>
      <c r="I284" s="464">
        <v>389657.79</v>
      </c>
      <c r="J284" s="247">
        <v>400000</v>
      </c>
      <c r="K284" s="247">
        <f t="shared" si="111"/>
        <v>174.44000000000233</v>
      </c>
      <c r="L284" s="170">
        <f t="shared" si="119"/>
        <v>4.478753713092032E-4</v>
      </c>
      <c r="M284" s="248">
        <f t="shared" si="124"/>
        <v>-10342.210000000021</v>
      </c>
      <c r="N284" s="249">
        <f t="shared" si="107"/>
        <v>-2.5855525000000053E-2</v>
      </c>
      <c r="O284" s="182">
        <f t="shared" si="116"/>
        <v>-2.3033489039634193E-2</v>
      </c>
      <c r="P284" s="248" t="b">
        <f t="shared" si="112"/>
        <v>0</v>
      </c>
      <c r="Q284" s="249">
        <f>COUNTIF(P$2:P284, TRUE)/(COUNTIF(P$2:P284,FALSE) + COUNTIF(P$2:P284, TRUE))</f>
        <v>0.49823321554770317</v>
      </c>
      <c r="R284" s="247">
        <v>303944.73</v>
      </c>
      <c r="S284" s="247">
        <f t="shared" si="104"/>
        <v>85713.06</v>
      </c>
      <c r="T284" s="247">
        <v>-28150</v>
      </c>
      <c r="U284" s="247">
        <f t="shared" si="105"/>
        <v>17807.789999999979</v>
      </c>
      <c r="V284" s="249">
        <f>STDEV(D$2:D284)*SQRT(252)</f>
        <v>0.16583370781569123</v>
      </c>
      <c r="W284" s="249">
        <f>STDEV(L$2:L284)*SQRT(252)</f>
        <v>0.35584037520231043</v>
      </c>
      <c r="X284" s="173">
        <f t="shared" si="125"/>
        <v>-0.15591236148887214</v>
      </c>
      <c r="Y284" s="173">
        <f t="shared" si="126"/>
        <v>-6.4729835748792333E-2</v>
      </c>
      <c r="Z284" s="794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4">
        <v>2161.1999999999998</v>
      </c>
      <c r="D285" s="170">
        <f t="shared" si="120"/>
        <v>-3.2606640316935453E-3</v>
      </c>
      <c r="E285" s="208">
        <f t="shared" si="108"/>
        <v>2.794847891021849E-2</v>
      </c>
      <c r="F285" s="218">
        <v>5300.87</v>
      </c>
      <c r="G285" s="170">
        <f t="shared" si="121"/>
        <v>-2.0952560240964061E-3</v>
      </c>
      <c r="H285" s="202">
        <f t="shared" si="110"/>
        <v>4.108058212384863E-2</v>
      </c>
      <c r="I285" s="220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1">
        <f t="shared" si="124"/>
        <v>-10212.419999999984</v>
      </c>
      <c r="N285" s="183">
        <f t="shared" si="107"/>
        <v>-2.5531049999999958E-2</v>
      </c>
      <c r="O285" s="182">
        <f t="shared" si="116"/>
        <v>-2.2579215526634347E-2</v>
      </c>
      <c r="P285" s="181" t="b">
        <f t="shared" si="112"/>
        <v>1</v>
      </c>
      <c r="Q285" s="183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3">
        <f>STDEV(D$2:D285)*SQRT(252)</f>
        <v>0.16557095301003413</v>
      </c>
      <c r="W285" s="183">
        <f>STDEV(L$2:L285)*SQRT(252)</f>
        <v>0.35520892170812252</v>
      </c>
      <c r="X285" s="173">
        <f t="shared" si="125"/>
        <v>-0.15420005463429745</v>
      </c>
      <c r="Y285" s="173">
        <f t="shared" si="126"/>
        <v>-6.3566014665554588E-2</v>
      </c>
      <c r="Z285" s="794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4">
        <v>2150.4899999999998</v>
      </c>
      <c r="D286" s="170">
        <f t="shared" ref="D286:D295" si="130">(C286-C285)/C285</f>
        <v>-4.9555802332037933E-3</v>
      </c>
      <c r="E286" s="208">
        <f t="shared" si="108"/>
        <v>2.2854397747379105E-2</v>
      </c>
      <c r="F286" s="218">
        <v>5289.65</v>
      </c>
      <c r="G286" s="170">
        <f t="shared" ref="G286:G292" si="131">(F286-F285)/F285</f>
        <v>-2.1166336846593589E-3</v>
      </c>
      <c r="H286" s="202">
        <f t="shared" si="110"/>
        <v>3.8876995895280521E-2</v>
      </c>
      <c r="I286" s="220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1">
        <f t="shared" si="124"/>
        <v>-14766.969999999972</v>
      </c>
      <c r="N286" s="183">
        <f t="shared" ref="N286:N317" si="133">M286/J286</f>
        <v>-3.6917424999999927E-2</v>
      </c>
      <c r="O286" s="182">
        <f t="shared" si="116"/>
        <v>-3.2570264447463707E-2</v>
      </c>
      <c r="P286" s="181" t="b">
        <f t="shared" si="112"/>
        <v>0</v>
      </c>
      <c r="Q286" s="183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3">
        <f>STDEV(D$2:D286)*SQRT(252)</f>
        <v>0.16534817054416481</v>
      </c>
      <c r="W286" s="183">
        <f>STDEV(L$2:L286)*SQRT(252)</f>
        <v>0.35476607688224249</v>
      </c>
      <c r="X286" s="173">
        <f t="shared" si="125"/>
        <v>-0.22327084042420181</v>
      </c>
      <c r="Y286" s="173">
        <f t="shared" si="126"/>
        <v>-9.1807719423733836E-2</v>
      </c>
      <c r="Z286" s="794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4">
        <v>2159.73</v>
      </c>
      <c r="D287" s="170">
        <f t="shared" si="130"/>
        <v>4.2966951717981657E-3</v>
      </c>
      <c r="E287" s="208">
        <f t="shared" si="108"/>
        <v>2.7249291299632789E-2</v>
      </c>
      <c r="F287" s="218">
        <v>5316.02</v>
      </c>
      <c r="G287" s="170">
        <f t="shared" si="131"/>
        <v>4.9852069607631512E-3</v>
      </c>
      <c r="H287" s="202">
        <f t="shared" si="110"/>
        <v>4.4056012726594387E-2</v>
      </c>
      <c r="I287" s="220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1">
        <f t="shared" si="124"/>
        <v>-9407.460000000021</v>
      </c>
      <c r="N287" s="183">
        <f t="shared" si="133"/>
        <v>-2.3518650000000054E-2</v>
      </c>
      <c r="O287" s="182">
        <f t="shared" si="116"/>
        <v>-2.0699245572289207E-2</v>
      </c>
      <c r="P287" s="181" t="b">
        <f t="shared" si="112"/>
        <v>1</v>
      </c>
      <c r="Q287" s="183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3">
        <f>STDEV(D$2:D287)*SQRT(252)</f>
        <v>0.16510322057626589</v>
      </c>
      <c r="W287" s="183">
        <f>STDEV(L$2:L287)*SQRT(252)</f>
        <v>0.35436735180004281</v>
      </c>
      <c r="X287" s="173">
        <f t="shared" si="125"/>
        <v>-0.14244816011409128</v>
      </c>
      <c r="Y287" s="173">
        <f t="shared" si="126"/>
        <v>-5.8411830173252167E-2</v>
      </c>
      <c r="Z287" s="794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4">
        <v>2160.77</v>
      </c>
      <c r="D288" s="170">
        <f t="shared" si="130"/>
        <v>4.8154167419073849E-4</v>
      </c>
      <c r="E288" s="208">
        <f t="shared" ref="E288:E319" si="134">(C288-$C$2)/$C$2</f>
        <v>2.7743954643176465E-2</v>
      </c>
      <c r="F288" s="218">
        <v>5306.85</v>
      </c>
      <c r="G288" s="170">
        <f t="shared" si="131"/>
        <v>-1.7249746991170221E-3</v>
      </c>
      <c r="H288" s="202">
        <f t="shared" ref="H288:H319" si="135">(F288-F$2)/F$2</f>
        <v>4.225504252018001E-2</v>
      </c>
      <c r="I288" s="220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1">
        <f t="shared" si="124"/>
        <v>-9128.1599999999744</v>
      </c>
      <c r="N288" s="183">
        <f t="shared" si="133"/>
        <v>-2.2820399999999935E-2</v>
      </c>
      <c r="O288" s="182">
        <f t="shared" si="116"/>
        <v>-2.0036420913461479E-2</v>
      </c>
      <c r="P288" s="181" t="b">
        <f t="shared" ref="P288:P319" si="137">L288&gt;D288</f>
        <v>1</v>
      </c>
      <c r="Q288" s="183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3">
        <f>STDEV(D$2:D288)*SQRT(252)</f>
        <v>0.16481360805187978</v>
      </c>
      <c r="W288" s="183">
        <f>STDEV(L$2:L288)*SQRT(252)</f>
        <v>0.35374517129723698</v>
      </c>
      <c r="X288" s="173">
        <f t="shared" si="125"/>
        <v>-0.13846186774102151</v>
      </c>
      <c r="Y288" s="173">
        <f t="shared" si="126"/>
        <v>-5.6640832269130054E-2</v>
      </c>
      <c r="Z288" s="794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4">
        <v>2153.7399999999998</v>
      </c>
      <c r="D289" s="170">
        <f t="shared" si="130"/>
        <v>-3.2534698278855224E-3</v>
      </c>
      <c r="E289" s="208">
        <f t="shared" si="134"/>
        <v>2.4400220695953143E-2</v>
      </c>
      <c r="F289" s="218">
        <v>5292.4</v>
      </c>
      <c r="G289" s="170">
        <f t="shared" si="131"/>
        <v>-2.7228958798535341E-3</v>
      </c>
      <c r="H289" s="202">
        <f t="shared" si="135"/>
        <v>3.9417090559145239E-2</v>
      </c>
      <c r="I289" s="220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1">
        <f t="shared" si="124"/>
        <v>-13673.820000000007</v>
      </c>
      <c r="N289" s="183">
        <f t="shared" si="133"/>
        <v>-3.4184550000000015E-2</v>
      </c>
      <c r="O289" s="182">
        <f t="shared" si="116"/>
        <v>-2.9942222751798572E-2</v>
      </c>
      <c r="P289" s="181" t="b">
        <f t="shared" si="137"/>
        <v>0</v>
      </c>
      <c r="Q289" s="183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3">
        <f>STDEV(D$2:D289)*SQRT(252)</f>
        <v>0.16455611820081531</v>
      </c>
      <c r="W289" s="183">
        <f>STDEV(L$2:L289)*SQRT(252)</f>
        <v>0.35330879271171961</v>
      </c>
      <c r="X289" s="173">
        <f t="shared" si="125"/>
        <v>-0.20773794601962509</v>
      </c>
      <c r="Y289" s="173">
        <f t="shared" si="126"/>
        <v>-8.4748026002935531E-2</v>
      </c>
      <c r="Z289" s="794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1">
        <v>42653</v>
      </c>
      <c r="C290" s="242">
        <v>2163.66</v>
      </c>
      <c r="D290" s="170">
        <f t="shared" si="130"/>
        <v>4.6059412928208948E-3</v>
      </c>
      <c r="E290" s="243">
        <f t="shared" si="134"/>
        <v>2.911854797283147E-2</v>
      </c>
      <c r="F290" s="244">
        <v>5328.67</v>
      </c>
      <c r="G290" s="170">
        <f t="shared" si="131"/>
        <v>6.8532234902880431E-3</v>
      </c>
      <c r="H290" s="245">
        <f t="shared" si="135"/>
        <v>4.6540448180372028E-2</v>
      </c>
      <c r="I290" s="246">
        <v>390200.44</v>
      </c>
      <c r="J290" s="247">
        <v>400000</v>
      </c>
      <c r="K290" s="247">
        <f t="shared" si="136"/>
        <v>3874.2600000000093</v>
      </c>
      <c r="L290" s="170">
        <f t="shared" si="132"/>
        <v>1.0028468689333997E-2</v>
      </c>
      <c r="M290" s="248">
        <f t="shared" si="124"/>
        <v>-9799.5599999999977</v>
      </c>
      <c r="N290" s="249">
        <f t="shared" si="133"/>
        <v>-2.4498899999999994E-2</v>
      </c>
      <c r="O290" s="182">
        <f t="shared" si="116"/>
        <v>-2.1305293392857139E-2</v>
      </c>
      <c r="P290" s="248" t="b">
        <f t="shared" si="137"/>
        <v>1</v>
      </c>
      <c r="Q290" s="249">
        <f>COUNTIF(P$2:P290, TRUE)/(COUNTIF(P$2:P290,FALSE) + COUNTIF(P$2:P290, TRUE))</f>
        <v>0.5017301038062284</v>
      </c>
      <c r="R290" s="247">
        <v>340124.03</v>
      </c>
      <c r="S290" s="247">
        <f t="shared" si="128"/>
        <v>50076.409999999974</v>
      </c>
      <c r="T290" s="247">
        <v>-26735</v>
      </c>
      <c r="U290" s="247">
        <f t="shared" si="129"/>
        <v>16935.440000000002</v>
      </c>
      <c r="V290" s="249">
        <f>STDEV(D$2:D290)*SQRT(252)</f>
        <v>0.16432235109111573</v>
      </c>
      <c r="W290" s="249">
        <f>STDEV(L$2:L290)*SQRT(252)</f>
        <v>0.35280655192521093</v>
      </c>
      <c r="X290" s="173">
        <f t="shared" si="125"/>
        <v>-0.14909049096075497</v>
      </c>
      <c r="Y290" s="173">
        <f t="shared" si="126"/>
        <v>-6.0388032128647948E-2</v>
      </c>
      <c r="Z290" s="794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4">
        <v>2139.6</v>
      </c>
      <c r="D291" s="170">
        <f t="shared" si="130"/>
        <v>-1.1120046587726327E-2</v>
      </c>
      <c r="E291" s="208">
        <f t="shared" si="134"/>
        <v>1.7674701775080313E-2</v>
      </c>
      <c r="F291" s="218">
        <v>5243.83</v>
      </c>
      <c r="G291" s="170">
        <f t="shared" si="131"/>
        <v>-1.592142129274287E-2</v>
      </c>
      <c r="H291" s="202">
        <f t="shared" si="135"/>
        <v>2.9878036804996389E-2</v>
      </c>
      <c r="I291" s="220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1">
        <f t="shared" si="124"/>
        <v>-25350.780000000028</v>
      </c>
      <c r="N291" s="183">
        <f t="shared" si="133"/>
        <v>-6.3376950000000071E-2</v>
      </c>
      <c r="O291" s="182">
        <f t="shared" si="116"/>
        <v>-5.4085119129672961E-2</v>
      </c>
      <c r="P291" s="181" t="b">
        <f t="shared" si="137"/>
        <v>0</v>
      </c>
      <c r="Q291" s="183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3">
        <f>STDEV(D$2:D291)*SQRT(252)</f>
        <v>0.16437424820296684</v>
      </c>
      <c r="W291" s="183">
        <f>STDEV(L$2:L291)*SQRT(252)</f>
        <v>0.35420191935581979</v>
      </c>
      <c r="X291" s="173">
        <f t="shared" si="125"/>
        <v>-0.38556495736329188</v>
      </c>
      <c r="Y291" s="173">
        <f t="shared" si="126"/>
        <v>-0.15269572572626519</v>
      </c>
      <c r="Z291" s="794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4">
        <v>2144.29</v>
      </c>
      <c r="D292" s="170">
        <f t="shared" si="130"/>
        <v>2.1919985043933701E-3</v>
      </c>
      <c r="E292" s="208">
        <f t="shared" si="134"/>
        <v>1.9905443199330259E-2</v>
      </c>
      <c r="F292" s="218">
        <v>5246.41</v>
      </c>
      <c r="G292" s="170">
        <f t="shared" si="131"/>
        <v>4.9200679655898979E-4</v>
      </c>
      <c r="H292" s="202">
        <f t="shared" si="135"/>
        <v>3.0384743798731278E-2</v>
      </c>
      <c r="I292" s="220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1">
        <f t="shared" si="124"/>
        <v>-19783.349999999977</v>
      </c>
      <c r="N292" s="183">
        <f t="shared" si="133"/>
        <v>-4.9458374999999943E-2</v>
      </c>
      <c r="O292" s="182">
        <f t="shared" si="116"/>
        <v>-4.2108791302447504E-2</v>
      </c>
      <c r="P292" s="181" t="b">
        <f t="shared" si="137"/>
        <v>1</v>
      </c>
      <c r="Q292" s="183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3">
        <f>STDEV(D$2:D292)*SQRT(252)</f>
        <v>0.16410104874699943</v>
      </c>
      <c r="W292" s="183">
        <f>STDEV(L$2:L292)*SQRT(252)</f>
        <v>0.3538474741949057</v>
      </c>
      <c r="X292" s="173">
        <f t="shared" si="125"/>
        <v>-0.30138975574892102</v>
      </c>
      <c r="Y292" s="173">
        <f t="shared" si="126"/>
        <v>-0.11900266180578474</v>
      </c>
      <c r="Z292" s="794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4">
        <v>2141.34</v>
      </c>
      <c r="D293" s="170">
        <f t="shared" si="130"/>
        <v>-1.3757467506726321E-3</v>
      </c>
      <c r="E293" s="208">
        <f t="shared" si="134"/>
        <v>1.850231159985545E-2</v>
      </c>
      <c r="F293" s="218">
        <v>5241.83</v>
      </c>
      <c r="G293" s="170">
        <f t="shared" ref="G293:G306" si="138">(F293-F292)/F292</f>
        <v>-8.7297790298507499E-4</v>
      </c>
      <c r="H293" s="202">
        <f t="shared" si="135"/>
        <v>2.9485240685822048E-2</v>
      </c>
      <c r="I293" s="220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1">
        <f t="shared" si="124"/>
        <v>-18978.559999999998</v>
      </c>
      <c r="N293" s="183">
        <f t="shared" si="133"/>
        <v>-4.7446399999999993E-2</v>
      </c>
      <c r="O293" s="182">
        <f t="shared" si="116"/>
        <v>-4.0301854883720921E-2</v>
      </c>
      <c r="P293" s="181" t="b">
        <f t="shared" si="137"/>
        <v>1</v>
      </c>
      <c r="Q293" s="183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3">
        <f>STDEV(D$2:D293)*SQRT(252)</f>
        <v>0.16382379522732679</v>
      </c>
      <c r="W293" s="183">
        <f>STDEV(L$2:L293)*SQRT(252)</f>
        <v>0.35324050890305325</v>
      </c>
      <c r="X293" s="173">
        <f t="shared" si="125"/>
        <v>-0.28961848878035057</v>
      </c>
      <c r="Y293" s="173">
        <f t="shared" si="126"/>
        <v>-0.11409182658261245</v>
      </c>
      <c r="Z293" s="794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4">
        <v>2141.16</v>
      </c>
      <c r="D294" s="170">
        <f t="shared" si="130"/>
        <v>-8.4059514136144197E-5</v>
      </c>
      <c r="E294" s="208">
        <f t="shared" si="134"/>
        <v>1.8416696790395825E-2</v>
      </c>
      <c r="F294" s="218">
        <v>5257.4</v>
      </c>
      <c r="G294" s="170">
        <f t="shared" si="138"/>
        <v>2.9703366953906765E-3</v>
      </c>
      <c r="H294" s="202">
        <f t="shared" si="135"/>
        <v>3.254315847359425E-2</v>
      </c>
      <c r="I294" s="220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1">
        <f t="shared" si="124"/>
        <v>-21004.710000000021</v>
      </c>
      <c r="N294" s="183">
        <f t="shared" si="133"/>
        <v>-5.2511775000000052E-2</v>
      </c>
      <c r="O294" s="182">
        <f t="shared" si="116"/>
        <v>-4.4500987978538326E-2</v>
      </c>
      <c r="P294" s="181" t="b">
        <f t="shared" si="137"/>
        <v>0</v>
      </c>
      <c r="Q294" s="183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3">
        <f>STDEV(D$2:D294)*SQRT(252)</f>
        <v>0.16354217458793488</v>
      </c>
      <c r="W294" s="183">
        <f>STDEV(L$2:L294)*SQRT(252)</f>
        <v>0.35267302551448443</v>
      </c>
      <c r="X294" s="173">
        <f t="shared" si="125"/>
        <v>-0.32109011105123242</v>
      </c>
      <c r="Y294" s="173">
        <f t="shared" si="126"/>
        <v>-0.12618200077428562</v>
      </c>
      <c r="Z294" s="794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1">
        <v>42667</v>
      </c>
      <c r="C295" s="242">
        <v>2151.33</v>
      </c>
      <c r="D295" s="170">
        <f t="shared" si="130"/>
        <v>4.7497618113546275E-3</v>
      </c>
      <c r="E295" s="243">
        <f t="shared" si="134"/>
        <v>2.3253933524856774E-2</v>
      </c>
      <c r="F295" s="244">
        <v>5309.82</v>
      </c>
      <c r="G295" s="170">
        <f t="shared" si="138"/>
        <v>9.9707079545022399E-3</v>
      </c>
      <c r="H295" s="245">
        <f t="shared" si="135"/>
        <v>4.2838344757153778E-2</v>
      </c>
      <c r="I295" s="246">
        <v>378540.69</v>
      </c>
      <c r="J295" s="247">
        <v>400000</v>
      </c>
      <c r="K295" s="247">
        <f t="shared" si="136"/>
        <v>-454.59999999997672</v>
      </c>
      <c r="L295" s="170">
        <f t="shared" si="132"/>
        <v>-1.1994872020704445E-3</v>
      </c>
      <c r="M295" s="248">
        <f t="shared" si="124"/>
        <v>-21459.309999999998</v>
      </c>
      <c r="N295" s="249">
        <f t="shared" si="133"/>
        <v>-5.3648274999999995E-2</v>
      </c>
      <c r="O295" s="182">
        <f t="shared" si="116"/>
        <v>-4.5149844340437784E-2</v>
      </c>
      <c r="P295" s="248" t="b">
        <f t="shared" si="137"/>
        <v>0</v>
      </c>
      <c r="Q295" s="249">
        <f>COUNTIF(P$2:P295, TRUE)/(COUNTIF(P$2:P295,FALSE) + COUNTIF(P$2:P295, TRUE))</f>
        <v>0.5</v>
      </c>
      <c r="R295" s="247">
        <v>324753.15000000002</v>
      </c>
      <c r="S295" s="247">
        <f t="shared" si="128"/>
        <v>53787.539999999979</v>
      </c>
      <c r="T295" s="247">
        <v>-39269</v>
      </c>
      <c r="U295" s="247">
        <f t="shared" si="129"/>
        <v>17809.690000000002</v>
      </c>
      <c r="V295" s="249">
        <f>STDEV(D$2:D295)*SQRT(252)</f>
        <v>0.16331845604618789</v>
      </c>
      <c r="W295" s="249">
        <f>STDEV(L$2:L295)*SQRT(252)</f>
        <v>0.35207165866831386</v>
      </c>
      <c r="X295" s="173">
        <f t="shared" si="125"/>
        <v>-0.32848874706988285</v>
      </c>
      <c r="Y295" s="173">
        <f t="shared" si="126"/>
        <v>-0.12824049658303618</v>
      </c>
      <c r="Z295" s="794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1">
        <v>42668</v>
      </c>
      <c r="C296" s="242">
        <v>2143.16</v>
      </c>
      <c r="D296" s="170">
        <f t="shared" ref="D296:D306" si="139">(C296-C295)/C295</f>
        <v>-3.797650755579141E-3</v>
      </c>
      <c r="E296" s="243">
        <f t="shared" si="134"/>
        <v>1.9367972451056772E-2</v>
      </c>
      <c r="F296" s="244">
        <v>5283.39</v>
      </c>
      <c r="G296" s="170">
        <f t="shared" si="138"/>
        <v>-4.9775698611251194E-3</v>
      </c>
      <c r="H296" s="245">
        <f t="shared" si="135"/>
        <v>3.764754404226496E-2</v>
      </c>
      <c r="I296" s="246">
        <v>374243.66</v>
      </c>
      <c r="J296" s="247">
        <v>400000</v>
      </c>
      <c r="K296" s="247">
        <f t="shared" si="136"/>
        <v>-4297.0300000000279</v>
      </c>
      <c r="L296" s="170">
        <f>K296/I295</f>
        <v>-1.1351566987422219E-2</v>
      </c>
      <c r="M296" s="248">
        <f t="shared" si="124"/>
        <v>-25756.340000000026</v>
      </c>
      <c r="N296" s="249">
        <f t="shared" si="133"/>
        <v>-6.4390850000000069E-2</v>
      </c>
      <c r="O296" s="182">
        <f t="shared" si="116"/>
        <v>-5.4066110258620743E-2</v>
      </c>
      <c r="P296" s="248" t="b">
        <f t="shared" si="137"/>
        <v>0</v>
      </c>
      <c r="Q296" s="249">
        <f>COUNTIF(P$2:P296, TRUE)/(COUNTIF(P$2:P296,FALSE) + COUNTIF(P$2:P296, TRUE))</f>
        <v>0.49830508474576274</v>
      </c>
      <c r="R296" s="247">
        <v>324754.15000000002</v>
      </c>
      <c r="S296" s="247">
        <f t="shared" si="128"/>
        <v>49489.509999999951</v>
      </c>
      <c r="T296" s="247">
        <v>-44170</v>
      </c>
      <c r="U296" s="247">
        <f t="shared" si="129"/>
        <v>18413.659999999974</v>
      </c>
      <c r="V296" s="249">
        <f>STDEV(D$2:D296)*SQRT(252)</f>
        <v>0.16308008977690622</v>
      </c>
      <c r="W296" s="249">
        <f>STDEV(L$2:L296)*SQRT(252)</f>
        <v>0.35163793771094465</v>
      </c>
      <c r="X296" s="173">
        <f t="shared" si="125"/>
        <v>-0.39484188467204573</v>
      </c>
      <c r="Y296" s="173">
        <f t="shared" si="126"/>
        <v>-0.15375505444769291</v>
      </c>
      <c r="Z296" s="794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1">
        <v>42669</v>
      </c>
      <c r="C297" s="242">
        <v>2139.4299999999998</v>
      </c>
      <c r="D297" s="170">
        <f t="shared" si="139"/>
        <v>-1.7404206872095496E-3</v>
      </c>
      <c r="E297" s="243">
        <f t="shared" si="134"/>
        <v>1.7593843343924099E-2</v>
      </c>
      <c r="F297" s="244">
        <v>5250.26</v>
      </c>
      <c r="G297" s="170">
        <f t="shared" si="138"/>
        <v>-6.2705952049725852E-3</v>
      </c>
      <c r="H297" s="245">
        <f t="shared" si="135"/>
        <v>3.1140876328141956E-2</v>
      </c>
      <c r="I297" s="246">
        <v>374681.1</v>
      </c>
      <c r="J297" s="247">
        <v>400000</v>
      </c>
      <c r="K297" s="247">
        <f t="shared" si="136"/>
        <v>437.44000000000233</v>
      </c>
      <c r="L297" s="170">
        <f>K297/I296</f>
        <v>1.1688641565764997E-3</v>
      </c>
      <c r="M297" s="248">
        <f t="shared" si="124"/>
        <v>-25318.900000000023</v>
      </c>
      <c r="N297" s="249">
        <f t="shared" si="133"/>
        <v>-6.3297250000000055E-2</v>
      </c>
      <c r="O297" s="182">
        <f t="shared" si="116"/>
        <v>-5.3025964592889954E-2</v>
      </c>
      <c r="P297" s="248" t="b">
        <f t="shared" si="137"/>
        <v>1</v>
      </c>
      <c r="Q297" s="249">
        <f>COUNTIF(P$2:P297, TRUE)/(COUNTIF(P$2:P297,FALSE) + COUNTIF(P$2:P297, TRUE))</f>
        <v>0.5</v>
      </c>
      <c r="R297" s="247">
        <v>325355.95</v>
      </c>
      <c r="S297" s="247">
        <f t="shared" si="128"/>
        <v>49325.149999999965</v>
      </c>
      <c r="T297" s="247">
        <v>-44067</v>
      </c>
      <c r="U297" s="247">
        <f t="shared" si="129"/>
        <v>18748.099999999977</v>
      </c>
      <c r="V297" s="249">
        <f>STDEV(D$2:D297)*SQRT(252)</f>
        <v>0.16281156659849447</v>
      </c>
      <c r="W297" s="249">
        <f>STDEV(L$2:L297)*SQRT(252)</f>
        <v>0.3510402532906407</v>
      </c>
      <c r="X297" s="173">
        <f t="shared" si="125"/>
        <v>-0.38877612520058735</v>
      </c>
      <c r="Y297" s="173">
        <f t="shared" si="126"/>
        <v>-0.15105380108356853</v>
      </c>
      <c r="Z297" s="794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1">
        <v>42670</v>
      </c>
      <c r="C298" s="242">
        <v>2133.04</v>
      </c>
      <c r="D298" s="170">
        <f t="shared" si="139"/>
        <v>-2.9867768517782183E-3</v>
      </c>
      <c r="E298" s="243">
        <f t="shared" si="134"/>
        <v>1.4554517608112435E-2</v>
      </c>
      <c r="F298" s="244">
        <v>5215.97</v>
      </c>
      <c r="G298" s="170">
        <f t="shared" si="138"/>
        <v>-6.5311051262223136E-3</v>
      </c>
      <c r="H298" s="245">
        <f t="shared" si="135"/>
        <v>2.440638686489786E-2</v>
      </c>
      <c r="I298" s="246">
        <v>371125.09</v>
      </c>
      <c r="J298" s="247">
        <v>400000</v>
      </c>
      <c r="K298" s="247">
        <f t="shared" si="136"/>
        <v>-3556.0099999999511</v>
      </c>
      <c r="L298" s="170">
        <f>K298/I297</f>
        <v>-9.4907642792763005E-3</v>
      </c>
      <c r="M298" s="248">
        <f t="shared" si="124"/>
        <v>-28874.909999999974</v>
      </c>
      <c r="N298" s="249">
        <f t="shared" si="133"/>
        <v>-7.218727499999994E-2</v>
      </c>
      <c r="O298" s="182">
        <f t="shared" si="116"/>
        <v>-6.0335016461670429E-2</v>
      </c>
      <c r="P298" s="248" t="b">
        <f t="shared" si="137"/>
        <v>0</v>
      </c>
      <c r="Q298" s="249">
        <f>COUNTIF(P$2:P298, TRUE)/(COUNTIF(P$2:P298,FALSE) + COUNTIF(P$2:P298, TRUE))</f>
        <v>0.49831649831649832</v>
      </c>
      <c r="R298" s="247">
        <v>360946.85</v>
      </c>
      <c r="S298" s="247">
        <f t="shared" si="128"/>
        <v>10178.240000000049</v>
      </c>
      <c r="T298" s="247">
        <v>-47280</v>
      </c>
      <c r="U298" s="247">
        <f t="shared" si="129"/>
        <v>18405.090000000026</v>
      </c>
      <c r="V298" s="249">
        <f>STDEV(D$2:D298)*SQRT(252)</f>
        <v>0.16256052123167744</v>
      </c>
      <c r="W298" s="249">
        <f>STDEV(L$2:L298)*SQRT(252)</f>
        <v>0.3505620528969402</v>
      </c>
      <c r="X298" s="173">
        <f t="shared" si="125"/>
        <v>-0.44406399815315756</v>
      </c>
      <c r="Y298" s="173">
        <f t="shared" si="126"/>
        <v>-0.17210937682239094</v>
      </c>
      <c r="Z298" s="794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1">
        <v>42671</v>
      </c>
      <c r="C299" s="242">
        <v>2126.41</v>
      </c>
      <c r="D299" s="170">
        <f t="shared" si="139"/>
        <v>-3.1082398829839616E-3</v>
      </c>
      <c r="E299" s="243">
        <f t="shared" si="134"/>
        <v>1.1401038793021347E-2</v>
      </c>
      <c r="F299" s="244">
        <v>5190.1000000000004</v>
      </c>
      <c r="G299" s="170">
        <f t="shared" si="138"/>
        <v>-4.9597677900754585E-3</v>
      </c>
      <c r="H299" s="245">
        <f t="shared" si="135"/>
        <v>1.9325569063377762E-2</v>
      </c>
      <c r="I299" s="246">
        <v>366496.83</v>
      </c>
      <c r="J299" s="247">
        <v>400000</v>
      </c>
      <c r="K299" s="247">
        <f t="shared" si="136"/>
        <v>-4628.2600000000093</v>
      </c>
      <c r="L299" s="170">
        <f>K299/I298</f>
        <v>-1.2470889532152108E-2</v>
      </c>
      <c r="M299" s="248">
        <f t="shared" si="124"/>
        <v>-33503.169999999984</v>
      </c>
      <c r="N299" s="249">
        <f t="shared" si="133"/>
        <v>-8.3757924999999955E-2</v>
      </c>
      <c r="O299" s="182">
        <f t="shared" si="116"/>
        <v>-6.9846077868150641E-2</v>
      </c>
      <c r="P299" s="248" t="b">
        <f t="shared" si="137"/>
        <v>0</v>
      </c>
      <c r="Q299" s="249">
        <f>COUNTIF(P$2:P299, TRUE)/(COUNTIF(P$2:P299,FALSE) + COUNTIF(P$2:P299, TRUE))</f>
        <v>0.49664429530201343</v>
      </c>
      <c r="R299" s="247">
        <v>352107.26</v>
      </c>
      <c r="S299" s="247">
        <f t="shared" si="128"/>
        <v>14389.570000000007</v>
      </c>
      <c r="T299" s="247">
        <v>-51134</v>
      </c>
      <c r="U299" s="247">
        <f t="shared" si="129"/>
        <v>17630.830000000016</v>
      </c>
      <c r="V299" s="249">
        <f>STDEV(D$2:D299)*SQRT(252)</f>
        <v>0.16231261803243649</v>
      </c>
      <c r="W299" s="249">
        <f>STDEV(L$2:L299)*SQRT(252)</f>
        <v>0.35016714235962632</v>
      </c>
      <c r="X299" s="173">
        <f t="shared" si="125"/>
        <v>-0.51602842721236741</v>
      </c>
      <c r="Y299" s="173">
        <f t="shared" si="126"/>
        <v>-0.19946496806492994</v>
      </c>
      <c r="Z299" s="794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4">
        <v>2126.15</v>
      </c>
      <c r="D300" s="170">
        <f t="shared" si="139"/>
        <v>-1.2227181023403931E-4</v>
      </c>
      <c r="E300" s="208">
        <f t="shared" si="134"/>
        <v>1.1277372957135537E-2</v>
      </c>
      <c r="F300" s="218">
        <v>5189.13</v>
      </c>
      <c r="G300" s="170">
        <f t="shared" si="138"/>
        <v>-1.8689427949370043E-4</v>
      </c>
      <c r="H300" s="202">
        <f t="shared" si="135"/>
        <v>1.9135062945578155E-2</v>
      </c>
      <c r="I300" s="409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1">
        <f t="shared" si="124"/>
        <v>-40013.130000000005</v>
      </c>
      <c r="N300" s="183">
        <f t="shared" si="133"/>
        <v>-0.10003282500000001</v>
      </c>
      <c r="O300" s="182">
        <f t="shared" si="116"/>
        <v>-8.2850315943877567E-2</v>
      </c>
      <c r="P300" s="181" t="b">
        <f t="shared" si="137"/>
        <v>0</v>
      </c>
      <c r="Q300" s="183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3">
        <f>STDEV(D$2:D300)*SQRT(252)</f>
        <v>0.16203925205045192</v>
      </c>
      <c r="W300" s="183">
        <f>STDEV(L$2:L300)*SQRT(252)</f>
        <v>0.34996980187049981</v>
      </c>
      <c r="X300" s="173">
        <f t="shared" si="125"/>
        <v>-0.61733699541426035</v>
      </c>
      <c r="Y300" s="173">
        <f t="shared" si="126"/>
        <v>-0.23673561404745108</v>
      </c>
      <c r="Z300" s="794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4">
        <v>2111.7199999999998</v>
      </c>
      <c r="D301" s="170">
        <f t="shared" si="139"/>
        <v>-6.7869153164171348E-3</v>
      </c>
      <c r="E301" s="208">
        <f t="shared" si="134"/>
        <v>4.4139190654666699E-3</v>
      </c>
      <c r="F301" s="218">
        <v>5153.57</v>
      </c>
      <c r="G301" s="170">
        <f t="shared" si="138"/>
        <v>-6.8527864979294022E-3</v>
      </c>
      <c r="H301" s="202">
        <f t="shared" si="135"/>
        <v>1.2151147946658267E-2</v>
      </c>
      <c r="I301" s="220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1">
        <f t="shared" si="124"/>
        <v>-39772.780000000028</v>
      </c>
      <c r="N301" s="183">
        <f t="shared" si="133"/>
        <v>-9.9431950000000074E-2</v>
      </c>
      <c r="O301" s="182">
        <f t="shared" si="116"/>
        <v>-8.2166334247737616E-2</v>
      </c>
      <c r="P301" s="181" t="b">
        <f t="shared" si="137"/>
        <v>1</v>
      </c>
      <c r="Q301" s="183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3">
        <f>STDEV(D$2:D301)*SQRT(252)</f>
        <v>0.16189028230482433</v>
      </c>
      <c r="W301" s="183">
        <f>STDEV(L$2:L301)*SQRT(252)</f>
        <v>0.34938237475224687</v>
      </c>
      <c r="X301" s="173">
        <f t="shared" si="125"/>
        <v>-0.61419344375951468</v>
      </c>
      <c r="Y301" s="173">
        <f t="shared" si="126"/>
        <v>-0.23517595673222838</v>
      </c>
      <c r="Z301" s="794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4">
        <v>2097.94</v>
      </c>
      <c r="D302" s="170">
        <f t="shared" si="139"/>
        <v>-6.525486333415295E-3</v>
      </c>
      <c r="E302" s="208">
        <f t="shared" si="134"/>
        <v>-2.1403702364871293E-3</v>
      </c>
      <c r="F302" s="218">
        <v>5105.5600000000004</v>
      </c>
      <c r="G302" s="170">
        <f t="shared" si="138"/>
        <v>-9.3158722982319662E-3</v>
      </c>
      <c r="H302" s="202">
        <f t="shared" si="135"/>
        <v>2.7220771058783086E-3</v>
      </c>
      <c r="I302" s="220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1">
        <f t="shared" si="124"/>
        <v>-49177.640000000014</v>
      </c>
      <c r="N302" s="183">
        <f t="shared" si="133"/>
        <v>-0.12294410000000003</v>
      </c>
      <c r="O302" s="182">
        <f t="shared" si="116"/>
        <v>-0.10136643910835216</v>
      </c>
      <c r="P302" s="181" t="b">
        <f t="shared" si="137"/>
        <v>0</v>
      </c>
      <c r="Q302" s="183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3">
        <f>STDEV(D$2:D302)*SQRT(252)</f>
        <v>0.16173222652481728</v>
      </c>
      <c r="W302" s="183">
        <f>STDEV(L$2:L302)*SQRT(252)</f>
        <v>0.34963013361097944</v>
      </c>
      <c r="X302" s="173">
        <f t="shared" si="125"/>
        <v>-0.76017070092789862</v>
      </c>
      <c r="Y302" s="173">
        <f t="shared" si="126"/>
        <v>-0.28992477868380434</v>
      </c>
      <c r="Z302" s="794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4">
        <v>2088.66</v>
      </c>
      <c r="D303" s="170">
        <f t="shared" si="139"/>
        <v>-4.423386750812797E-3</v>
      </c>
      <c r="E303" s="208">
        <f t="shared" si="134"/>
        <v>-6.5542893019540152E-3</v>
      </c>
      <c r="F303" s="218">
        <v>5058.3999999999996</v>
      </c>
      <c r="G303" s="170">
        <f t="shared" si="138"/>
        <v>-9.2369886946781082E-3</v>
      </c>
      <c r="H303" s="202">
        <f t="shared" si="135"/>
        <v>-6.54005538425284E-3</v>
      </c>
      <c r="I303" s="220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1">
        <f t="shared" si="124"/>
        <v>-33076.130000000005</v>
      </c>
      <c r="N303" s="183">
        <f t="shared" si="133"/>
        <v>-8.2690325000000009E-2</v>
      </c>
      <c r="O303" s="182">
        <f t="shared" si="116"/>
        <v>-6.8023966680743245E-2</v>
      </c>
      <c r="P303" s="181" t="b">
        <f t="shared" si="137"/>
        <v>1</v>
      </c>
      <c r="Q303" s="183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3">
        <f>STDEV(D$2:D303)*SQRT(252)</f>
        <v>0.16151419687276639</v>
      </c>
      <c r="W303" s="183">
        <f>STDEV(L$2:L303)*SQRT(252)</f>
        <v>0.35155170674162023</v>
      </c>
      <c r="X303" s="173">
        <f t="shared" si="125"/>
        <v>-0.51196939093310623</v>
      </c>
      <c r="Y303" s="173">
        <f t="shared" si="126"/>
        <v>-0.19349633461099588</v>
      </c>
      <c r="Z303" s="794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4">
        <v>2085.1799999999998</v>
      </c>
      <c r="D304" s="170">
        <f t="shared" si="139"/>
        <v>-1.6661400132142227E-3</v>
      </c>
      <c r="E304" s="208">
        <f t="shared" si="134"/>
        <v>-8.2095089515040708E-3</v>
      </c>
      <c r="F304" s="218">
        <v>5046.37</v>
      </c>
      <c r="G304" s="170">
        <f t="shared" si="138"/>
        <v>-2.3782223628024172E-3</v>
      </c>
      <c r="H304" s="202">
        <f t="shared" si="135"/>
        <v>-8.9027240410864596E-3</v>
      </c>
      <c r="I304" s="220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1">
        <f t="shared" si="124"/>
        <v>-37078.909999999974</v>
      </c>
      <c r="N304" s="183">
        <f t="shared" si="133"/>
        <v>-9.269727499999994E-2</v>
      </c>
      <c r="O304" s="182">
        <f t="shared" si="116"/>
        <v>-7.6084673469101069E-2</v>
      </c>
      <c r="P304" s="181" t="b">
        <f t="shared" si="137"/>
        <v>0</v>
      </c>
      <c r="Q304" s="183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3">
        <f>STDEV(D$2:D304)*SQRT(252)</f>
        <v>0.16125311992836353</v>
      </c>
      <c r="W304" s="183">
        <f>STDEV(L$2:L304)*SQRT(252)</f>
        <v>0.35111566598352262</v>
      </c>
      <c r="X304" s="173">
        <f t="shared" si="125"/>
        <v>-0.57485569917146762</v>
      </c>
      <c r="Y304" s="173">
        <f t="shared" si="126"/>
        <v>-0.21669404370203071</v>
      </c>
      <c r="Z304" s="794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1">
        <v>42701</v>
      </c>
      <c r="C305" s="242">
        <v>2213.35</v>
      </c>
      <c r="D305" s="170">
        <f t="shared" si="139"/>
        <v>6.1467115548777602E-2</v>
      </c>
      <c r="E305" s="243">
        <f t="shared" si="134"/>
        <v>5.2752991761952708E-2</v>
      </c>
      <c r="F305" s="244">
        <v>5398.92</v>
      </c>
      <c r="G305" s="170">
        <f t="shared" si="138"/>
        <v>6.9862098894849206E-2</v>
      </c>
      <c r="H305" s="245">
        <f t="shared" si="135"/>
        <v>6.0337411866370816E-2</v>
      </c>
      <c r="I305" s="543">
        <v>407026.88</v>
      </c>
      <c r="J305" s="247">
        <v>400000</v>
      </c>
      <c r="K305" s="247">
        <f t="shared" si="136"/>
        <v>44105.789999999979</v>
      </c>
      <c r="L305" s="170">
        <f t="shared" si="140"/>
        <v>0.12152997225925882</v>
      </c>
      <c r="M305" s="248">
        <f t="shared" si="124"/>
        <v>7026.8800000000047</v>
      </c>
      <c r="N305" s="249">
        <f t="shared" si="133"/>
        <v>1.7567200000000012E-2</v>
      </c>
      <c r="O305" s="182">
        <f t="shared" si="116"/>
        <v>1.3710298717948729E-2</v>
      </c>
      <c r="P305" s="248" t="b">
        <f t="shared" si="137"/>
        <v>1</v>
      </c>
      <c r="Q305" s="249">
        <f>COUNTIF(P$2:P305, TRUE)/(COUNTIF(P$2:P305,FALSE) + COUNTIF(P$2:P305, TRUE))</f>
        <v>0.49671052631578949</v>
      </c>
      <c r="R305" s="247">
        <v>282065.34000000003</v>
      </c>
      <c r="S305" s="247">
        <f t="shared" si="128"/>
        <v>124961.53999999998</v>
      </c>
      <c r="T305" s="247">
        <v>-28519</v>
      </c>
      <c r="U305" s="247">
        <f t="shared" si="129"/>
        <v>35545.880000000005</v>
      </c>
      <c r="V305" s="249">
        <f>STDEV(D$2:D305)*SQRT(252)</f>
        <v>0.17045897478056438</v>
      </c>
      <c r="W305" s="249">
        <f>STDEV(L$2:L305)*SQRT(252)</f>
        <v>0.36757496684562585</v>
      </c>
      <c r="X305" s="173">
        <f t="shared" si="125"/>
        <v>0.1030582286595039</v>
      </c>
      <c r="Y305" s="173">
        <f t="shared" si="126"/>
        <v>3.7299326544472711E-2</v>
      </c>
      <c r="Z305" s="794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4">
        <v>2201.7199999999998</v>
      </c>
      <c r="D306" s="170">
        <f t="shared" si="139"/>
        <v>-5.2544785054329905E-3</v>
      </c>
      <c r="E306" s="208">
        <f t="shared" si="134"/>
        <v>4.7221323795209255E-2</v>
      </c>
      <c r="F306" s="218">
        <v>5368.81</v>
      </c>
      <c r="G306" s="170">
        <f t="shared" si="138"/>
        <v>-5.5770413341927035E-3</v>
      </c>
      <c r="H306" s="202">
        <f t="shared" si="135"/>
        <v>5.4423866292201147E-2</v>
      </c>
      <c r="I306" s="220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1">
        <f t="shared" si="124"/>
        <v>1105.4799999999814</v>
      </c>
      <c r="N306" s="183">
        <f t="shared" si="133"/>
        <v>2.7636999999999536E-3</v>
      </c>
      <c r="O306" s="182">
        <f t="shared" si="116"/>
        <v>2.1523271321961259E-3</v>
      </c>
      <c r="P306" s="181" t="b">
        <f t="shared" si="137"/>
        <v>0</v>
      </c>
      <c r="Q306" s="183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3">
        <f>STDEV(D$2:D306)*SQRT(252)</f>
        <v>0.17025062089045567</v>
      </c>
      <c r="W306" s="183">
        <f>STDEV(L$2:L306)*SQRT(252)</f>
        <v>0.36722797653623318</v>
      </c>
      <c r="X306" s="173">
        <f t="shared" si="125"/>
        <v>1.6233127289316616E-2</v>
      </c>
      <c r="Y306" s="173">
        <f t="shared" si="126"/>
        <v>5.8610107881684305E-3</v>
      </c>
      <c r="Z306" s="794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4">
        <v>2204.66</v>
      </c>
      <c r="D307" s="170">
        <f t="shared" ref="D307:D316" si="142">(C307-C306)/C306</f>
        <v>1.3353196591755787E-3</v>
      </c>
      <c r="E307" s="208">
        <f t="shared" si="134"/>
        <v>4.8619699016380871E-2</v>
      </c>
      <c r="F307" s="218">
        <v>5379.91</v>
      </c>
      <c r="G307" s="170">
        <f t="shared" ref="G307:G321" si="143">(F307-F306)/F306</f>
        <v>2.0674972666195031E-3</v>
      </c>
      <c r="H307" s="202">
        <f t="shared" si="135"/>
        <v>5.6603884753618647E-2</v>
      </c>
      <c r="I307" s="220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1">
        <f t="shared" si="124"/>
        <v>-6432.640000000014</v>
      </c>
      <c r="N307" s="183">
        <f t="shared" si="133"/>
        <v>-1.6081600000000036E-2</v>
      </c>
      <c r="O307" s="182">
        <f t="shared" si="116"/>
        <v>-1.2497456170212794E-2</v>
      </c>
      <c r="P307" s="181" t="b">
        <f t="shared" si="137"/>
        <v>0</v>
      </c>
      <c r="Q307" s="183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3">
        <f>STDEV(D$2:D307)*SQRT(252)</f>
        <v>0.16997345622567742</v>
      </c>
      <c r="W307" s="183">
        <f>STDEV(L$2:L307)*SQRT(252)</f>
        <v>0.36704612962809202</v>
      </c>
      <c r="X307" s="173">
        <f t="shared" si="125"/>
        <v>-9.461241982776504E-2</v>
      </c>
      <c r="Y307" s="173">
        <f t="shared" si="126"/>
        <v>-3.4048734372640818E-2</v>
      </c>
      <c r="Z307" s="794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4">
        <v>2198.81</v>
      </c>
      <c r="D308" s="170">
        <f t="shared" si="142"/>
        <v>-2.6534703763845262E-3</v>
      </c>
      <c r="E308" s="208">
        <f t="shared" si="134"/>
        <v>4.5837217708947643E-2</v>
      </c>
      <c r="F308" s="218">
        <v>5323.68</v>
      </c>
      <c r="G308" s="170">
        <f t="shared" si="143"/>
        <v>-1.0451847707489449E-2</v>
      </c>
      <c r="H308" s="202">
        <f t="shared" si="135"/>
        <v>4.5560421863032087E-2</v>
      </c>
      <c r="I308" s="465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5">
        <f t="shared" si="124"/>
        <v>16163.599999999977</v>
      </c>
      <c r="N308" s="183">
        <f t="shared" si="133"/>
        <v>4.6181714285714222E-2</v>
      </c>
      <c r="O308" s="182">
        <f t="shared" si="116"/>
        <v>3.581288989990896E-2</v>
      </c>
      <c r="P308" s="181" t="b">
        <f t="shared" si="137"/>
        <v>1</v>
      </c>
      <c r="Q308" s="183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3">
        <f>STDEV(D$2:D308)*SQRT(252)</f>
        <v>0.16971451435778193</v>
      </c>
      <c r="W308" s="183">
        <f>STDEV(L$2:L308)*SQRT(252)</f>
        <v>0.37006384127225039</v>
      </c>
      <c r="X308" s="173">
        <f t="shared" si="125"/>
        <v>0.27211411151527504</v>
      </c>
      <c r="Y308" s="173">
        <f t="shared" si="126"/>
        <v>9.677489639838105E-2</v>
      </c>
      <c r="Z308" s="794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4">
        <v>2191.08</v>
      </c>
      <c r="D309" s="170">
        <f t="shared" si="142"/>
        <v>-3.5155379500730025E-3</v>
      </c>
      <c r="E309" s="208">
        <f t="shared" si="134"/>
        <v>4.2160537280493078E-2</v>
      </c>
      <c r="F309" s="218">
        <v>5251.1</v>
      </c>
      <c r="G309" s="170">
        <f t="shared" si="143"/>
        <v>-1.3633426501968549E-2</v>
      </c>
      <c r="H309" s="202">
        <f t="shared" si="135"/>
        <v>3.1305850698195213E-2</v>
      </c>
      <c r="I309" s="220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1">
        <f t="shared" si="124"/>
        <v>11692.5</v>
      </c>
      <c r="N309" s="183">
        <f t="shared" si="133"/>
        <v>3.3407142857142857E-2</v>
      </c>
      <c r="O309" s="182">
        <f t="shared" si="116"/>
        <v>2.5851607899515738E-2</v>
      </c>
      <c r="P309" s="181" t="b">
        <f t="shared" si="137"/>
        <v>0</v>
      </c>
      <c r="Q309" s="183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3">
        <f>STDEV(D$2:D309)*SQRT(252)</f>
        <v>0.16947047230211157</v>
      </c>
      <c r="W309" s="183">
        <f>STDEV(L$2:L309)*SQRT(252)</f>
        <v>0.36964383438211174</v>
      </c>
      <c r="X309" s="173">
        <f t="shared" si="125"/>
        <v>0.19712662862937338</v>
      </c>
      <c r="Y309" s="173">
        <f t="shared" si="126"/>
        <v>6.9936532128903758E-2</v>
      </c>
      <c r="Z309" s="794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4">
        <v>2191.9499999999998</v>
      </c>
      <c r="D310" s="170">
        <f t="shared" si="142"/>
        <v>3.9706446136147054E-4</v>
      </c>
      <c r="E310" s="208">
        <f t="shared" si="134"/>
        <v>4.2574342192880539E-2</v>
      </c>
      <c r="F310" s="218">
        <v>5255.65</v>
      </c>
      <c r="G310" s="170">
        <f t="shared" si="143"/>
        <v>8.664851174038339E-4</v>
      </c>
      <c r="H310" s="202">
        <f t="shared" si="135"/>
        <v>3.2199461869316694E-2</v>
      </c>
      <c r="I310" s="220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1">
        <f t="shared" si="124"/>
        <v>13669.119999999995</v>
      </c>
      <c r="N310" s="183">
        <f t="shared" si="133"/>
        <v>4.5563733333333314E-2</v>
      </c>
      <c r="O310" s="182">
        <f t="shared" si="116"/>
        <v>3.5184257082452416E-2</v>
      </c>
      <c r="P310" s="181" t="b">
        <f t="shared" si="137"/>
        <v>1</v>
      </c>
      <c r="Q310" s="183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3">
        <f>STDEV(D$2:D310)*SQRT(252)</f>
        <v>0.16919433911473156</v>
      </c>
      <c r="W310" s="183">
        <f>STDEV(L$2:L310)*SQRT(252)</f>
        <v>0.36906691391637653</v>
      </c>
      <c r="X310" s="173">
        <f t="shared" si="125"/>
        <v>0.26929821394577697</v>
      </c>
      <c r="Y310" s="173">
        <f t="shared" si="126"/>
        <v>9.5333002650095297E-2</v>
      </c>
      <c r="Z310" s="794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1">
        <v>42709</v>
      </c>
      <c r="C311" s="242">
        <v>2204.71</v>
      </c>
      <c r="D311" s="170">
        <f t="shared" si="142"/>
        <v>5.821300668354761E-3</v>
      </c>
      <c r="E311" s="243">
        <f t="shared" si="134"/>
        <v>4.8643480907897482E-2</v>
      </c>
      <c r="F311" s="244">
        <v>5308.89</v>
      </c>
      <c r="G311" s="170">
        <f t="shared" si="143"/>
        <v>1.0130050517062722E-2</v>
      </c>
      <c r="H311" s="245">
        <f t="shared" si="135"/>
        <v>4.2655694561737831E-2</v>
      </c>
      <c r="I311" s="543">
        <v>315749.27</v>
      </c>
      <c r="J311" s="247">
        <v>300000</v>
      </c>
      <c r="K311" s="247">
        <f t="shared" si="136"/>
        <v>2080.1500000000233</v>
      </c>
      <c r="L311" s="170">
        <f t="shared" si="144"/>
        <v>6.6316697034123837E-3</v>
      </c>
      <c r="M311" s="248">
        <f t="shared" si="124"/>
        <v>15749.270000000019</v>
      </c>
      <c r="N311" s="249">
        <f t="shared" si="133"/>
        <v>5.2497566666666731E-2</v>
      </c>
      <c r="O311" s="182">
        <f t="shared" si="116"/>
        <v>4.0283059296218532E-2</v>
      </c>
      <c r="P311" s="248" t="b">
        <f t="shared" si="137"/>
        <v>1</v>
      </c>
      <c r="Q311" s="249">
        <f>COUNTIF(P$2:P311, TRUE)/(COUNTIF(P$2:P311,FALSE) + COUNTIF(P$2:P311, TRUE))</f>
        <v>0.49677419354838709</v>
      </c>
      <c r="R311" s="247">
        <v>256362.35</v>
      </c>
      <c r="S311" s="247">
        <f t="shared" si="128"/>
        <v>59386.920000000013</v>
      </c>
      <c r="T311" s="247">
        <v>-31763</v>
      </c>
      <c r="U311" s="247">
        <f t="shared" si="129"/>
        <v>47512.270000000019</v>
      </c>
      <c r="V311" s="249">
        <f>STDEV(D$2:D311)*SQRT(252)</f>
        <v>0.16899593279406544</v>
      </c>
      <c r="W311" s="249">
        <f>STDEV(L$2:L311)*SQRT(252)</f>
        <v>0.3685065540926854</v>
      </c>
      <c r="X311" s="173">
        <f t="shared" si="125"/>
        <v>0.31064396520500326</v>
      </c>
      <c r="Y311" s="173">
        <f t="shared" si="126"/>
        <v>0.10931436320149325</v>
      </c>
      <c r="Z311" s="794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1">
        <v>42710</v>
      </c>
      <c r="C312" s="242">
        <v>2212.23</v>
      </c>
      <c r="D312" s="170">
        <f t="shared" si="142"/>
        <v>3.4108794353905872E-3</v>
      </c>
      <c r="E312" s="243">
        <f t="shared" si="134"/>
        <v>5.2220277391982629E-2</v>
      </c>
      <c r="F312" s="244">
        <v>5333</v>
      </c>
      <c r="G312" s="170">
        <f t="shared" si="143"/>
        <v>4.5414389825367768E-3</v>
      </c>
      <c r="H312" s="245">
        <f t="shared" si="135"/>
        <v>4.7390851778384466E-2</v>
      </c>
      <c r="I312" s="543">
        <v>317812.25</v>
      </c>
      <c r="J312" s="247">
        <v>300000</v>
      </c>
      <c r="K312" s="247">
        <f t="shared" si="136"/>
        <v>2062.9799999999814</v>
      </c>
      <c r="L312" s="170">
        <f t="shared" si="144"/>
        <v>6.5336018037349102E-3</v>
      </c>
      <c r="M312" s="248">
        <f t="shared" ref="M312:M343" si="145">I312-J312</f>
        <v>17812.25</v>
      </c>
      <c r="N312" s="249">
        <f t="shared" si="133"/>
        <v>5.9374166666666665E-2</v>
      </c>
      <c r="O312" s="182">
        <f t="shared" si="116"/>
        <v>4.5464181079664566E-2</v>
      </c>
      <c r="P312" s="248" t="b">
        <f t="shared" si="137"/>
        <v>1</v>
      </c>
      <c r="Q312" s="249">
        <f>COUNTIF(P$2:P312, TRUE)/(COUNTIF(P$2:P312,FALSE) + COUNTIF(P$2:P312, TRUE))</f>
        <v>0.49839228295819937</v>
      </c>
      <c r="R312" s="247">
        <v>247476.7</v>
      </c>
      <c r="S312" s="247">
        <f t="shared" si="128"/>
        <v>70335.549999999988</v>
      </c>
      <c r="T312" s="247">
        <v>-30573</v>
      </c>
      <c r="U312" s="247">
        <f t="shared" si="129"/>
        <v>48385.25</v>
      </c>
      <c r="V312" s="249">
        <f>STDEV(D$2:D312)*SQRT(252)</f>
        <v>0.1687469337814691</v>
      </c>
      <c r="W312" s="249">
        <f>STDEV(L$2:L312)*SQRT(252)</f>
        <v>0.36794744748761488</v>
      </c>
      <c r="X312" s="173">
        <f t="shared" si="125"/>
        <v>0.35185330681953303</v>
      </c>
      <c r="Y312" s="173">
        <f t="shared" si="126"/>
        <v>0.1235616156331534</v>
      </c>
      <c r="Z312" s="794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1">
        <v>42711</v>
      </c>
      <c r="C313" s="242">
        <v>2241.35</v>
      </c>
      <c r="D313" s="170">
        <f t="shared" si="142"/>
        <v>1.316318827608336E-2</v>
      </c>
      <c r="E313" s="243">
        <f t="shared" si="134"/>
        <v>6.6070851011205953E-2</v>
      </c>
      <c r="F313" s="244">
        <v>5393.76</v>
      </c>
      <c r="G313" s="170">
        <f t="shared" si="143"/>
        <v>1.1393212075754776E-2</v>
      </c>
      <c r="H313" s="245">
        <f t="shared" si="135"/>
        <v>5.9323997878901039E-2</v>
      </c>
      <c r="I313" s="543">
        <v>321172.03999999998</v>
      </c>
      <c r="J313" s="247">
        <v>300000</v>
      </c>
      <c r="K313" s="247">
        <f t="shared" si="136"/>
        <v>3359.789999999979</v>
      </c>
      <c r="L313" s="170">
        <f t="shared" si="144"/>
        <v>1.0571618935393394E-2</v>
      </c>
      <c r="M313" s="248">
        <f t="shared" si="145"/>
        <v>21172.039999999979</v>
      </c>
      <c r="N313" s="249">
        <f t="shared" si="133"/>
        <v>7.0573466666666598E-2</v>
      </c>
      <c r="O313" s="182">
        <f t="shared" si="116"/>
        <v>5.3926691841004133E-2</v>
      </c>
      <c r="P313" s="248" t="b">
        <f t="shared" si="137"/>
        <v>0</v>
      </c>
      <c r="Q313" s="249">
        <f>COUNTIF(P$2:P313, TRUE)/(COUNTIF(P$2:P313,FALSE) + COUNTIF(P$2:P313, TRUE))</f>
        <v>0.49679487179487181</v>
      </c>
      <c r="R313" s="247">
        <v>220777.60000000001</v>
      </c>
      <c r="S313" s="247">
        <f t="shared" si="128"/>
        <v>100394.43999999997</v>
      </c>
      <c r="T313" s="247">
        <v>-30508</v>
      </c>
      <c r="U313" s="247">
        <f t="shared" si="129"/>
        <v>51680.039999999979</v>
      </c>
      <c r="V313" s="249">
        <f>STDEV(D$2:D313)*SQRT(252)</f>
        <v>0.16887690023643279</v>
      </c>
      <c r="W313" s="249">
        <f>STDEV(L$2:L313)*SQRT(252)</f>
        <v>0.36746067349044381</v>
      </c>
      <c r="X313" s="173">
        <f t="shared" si="125"/>
        <v>0.41789887526276004</v>
      </c>
      <c r="Y313" s="173">
        <f t="shared" si="126"/>
        <v>0.146755001912896</v>
      </c>
      <c r="Z313" s="794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1">
        <v>42712</v>
      </c>
      <c r="C314" s="242">
        <v>2246.19</v>
      </c>
      <c r="D314" s="170">
        <f t="shared" si="142"/>
        <v>2.1594128538604618E-3</v>
      </c>
      <c r="E314" s="243">
        <f t="shared" si="134"/>
        <v>6.8372938110005513E-2</v>
      </c>
      <c r="F314" s="244">
        <v>5417.35</v>
      </c>
      <c r="G314" s="170">
        <f t="shared" si="143"/>
        <v>4.3735724244312211E-3</v>
      </c>
      <c r="H314" s="245">
        <f t="shared" si="135"/>
        <v>6.3957028104562441E-2</v>
      </c>
      <c r="I314" s="543">
        <v>322327.21999999997</v>
      </c>
      <c r="J314" s="247">
        <v>300000</v>
      </c>
      <c r="K314" s="247">
        <f t="shared" si="136"/>
        <v>1155.179999999993</v>
      </c>
      <c r="L314" s="170">
        <f t="shared" si="144"/>
        <v>3.596763902611177E-3</v>
      </c>
      <c r="M314" s="248">
        <f t="shared" si="145"/>
        <v>22327.219999999972</v>
      </c>
      <c r="N314" s="249">
        <f t="shared" si="133"/>
        <v>7.442406666666658E-2</v>
      </c>
      <c r="O314" s="182">
        <f t="shared" si="116"/>
        <v>5.6750293006262983E-2</v>
      </c>
      <c r="P314" s="248" t="b">
        <f t="shared" si="137"/>
        <v>1</v>
      </c>
      <c r="Q314" s="249">
        <f>COUNTIF(P$2:P314, TRUE)/(COUNTIF(P$2:P314,FALSE) + COUNTIF(P$2:P314, TRUE))</f>
        <v>0.49840255591054311</v>
      </c>
      <c r="R314" s="247">
        <v>216214.39999999999</v>
      </c>
      <c r="S314" s="247">
        <f t="shared" si="128"/>
        <v>106112.81999999998</v>
      </c>
      <c r="T314" s="247">
        <v>-30163</v>
      </c>
      <c r="U314" s="247">
        <f t="shared" si="129"/>
        <v>52490.219999999972</v>
      </c>
      <c r="V314" s="249">
        <f>STDEV(D$2:D314)*SQRT(252)</f>
        <v>0.16861379822258454</v>
      </c>
      <c r="W314" s="249">
        <f>STDEV(L$2:L314)*SQRT(252)</f>
        <v>0.36687837723498989</v>
      </c>
      <c r="X314" s="173">
        <f t="shared" si="125"/>
        <v>0.4413877597871349</v>
      </c>
      <c r="Y314" s="173">
        <f t="shared" si="126"/>
        <v>0.15468421288266263</v>
      </c>
      <c r="Z314" s="794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1">
        <v>42713</v>
      </c>
      <c r="C315" s="242">
        <v>2259.5300000000002</v>
      </c>
      <c r="D315" s="170">
        <f t="shared" si="142"/>
        <v>5.9389455032744986E-3</v>
      </c>
      <c r="E315" s="243">
        <f t="shared" si="134"/>
        <v>7.4717946766614099E-2</v>
      </c>
      <c r="F315" s="244">
        <v>5444.49</v>
      </c>
      <c r="G315" s="170">
        <f t="shared" si="143"/>
        <v>5.0098295291977476E-3</v>
      </c>
      <c r="H315" s="245">
        <f t="shared" si="135"/>
        <v>6.9287271441758155E-2</v>
      </c>
      <c r="I315" s="543">
        <v>323626.28000000003</v>
      </c>
      <c r="J315" s="247">
        <v>300000</v>
      </c>
      <c r="K315" s="247">
        <f t="shared" si="136"/>
        <v>1299.0600000000559</v>
      </c>
      <c r="L315" s="170">
        <f t="shared" si="144"/>
        <v>4.0302522387034396E-3</v>
      </c>
      <c r="M315" s="248">
        <f t="shared" si="145"/>
        <v>23626.280000000028</v>
      </c>
      <c r="N315" s="249">
        <f t="shared" si="133"/>
        <v>7.8754266666666753E-2</v>
      </c>
      <c r="O315" s="182">
        <f t="shared" si="116"/>
        <v>5.9927074791666736E-2</v>
      </c>
      <c r="P315" s="248" t="b">
        <f t="shared" si="137"/>
        <v>0</v>
      </c>
      <c r="Q315" s="249">
        <f>COUNTIF(P$2:P315, TRUE)/(COUNTIF(P$2:P315,FALSE) + COUNTIF(P$2:P315, TRUE))</f>
        <v>0.49681528662420382</v>
      </c>
      <c r="R315" s="247">
        <v>204478.8</v>
      </c>
      <c r="S315" s="247">
        <f t="shared" si="128"/>
        <v>119147.48000000004</v>
      </c>
      <c r="T315" s="247">
        <v>-28680</v>
      </c>
      <c r="U315" s="247">
        <f t="shared" si="129"/>
        <v>52306.280000000028</v>
      </c>
      <c r="V315" s="249">
        <f>STDEV(D$2:D315)*SQRT(252)</f>
        <v>0.16842024942459102</v>
      </c>
      <c r="W315" s="249">
        <f>STDEV(L$2:L315)*SQRT(252)</f>
        <v>0.36630175469945664</v>
      </c>
      <c r="X315" s="173">
        <f t="shared" si="125"/>
        <v>0.46760568836426297</v>
      </c>
      <c r="Y315" s="173">
        <f t="shared" si="126"/>
        <v>0.16360029408222659</v>
      </c>
      <c r="Z315" s="794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4">
        <v>2256.96</v>
      </c>
      <c r="D316" s="170">
        <f t="shared" si="142"/>
        <v>-1.137404681504633E-3</v>
      </c>
      <c r="E316" s="208">
        <f t="shared" si="134"/>
        <v>7.3495557542664708E-2</v>
      </c>
      <c r="F316" s="218">
        <v>5412.54</v>
      </c>
      <c r="G316" s="170">
        <f t="shared" si="143"/>
        <v>-5.8683182446840421E-3</v>
      </c>
      <c r="H316" s="202">
        <f t="shared" si="135"/>
        <v>6.301235343794806E-2</v>
      </c>
      <c r="I316" s="220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1">
        <f t="shared" si="145"/>
        <v>24351.419999999984</v>
      </c>
      <c r="N316" s="183">
        <f t="shared" si="133"/>
        <v>8.1171399999999949E-2</v>
      </c>
      <c r="O316" s="182">
        <f t="shared" si="116"/>
        <v>6.1382720186335366E-2</v>
      </c>
      <c r="P316" s="181" t="b">
        <f t="shared" si="137"/>
        <v>1</v>
      </c>
      <c r="Q316" s="183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3">
        <f>STDEV(D$2:D316)*SQRT(252)</f>
        <v>0.16815582865464937</v>
      </c>
      <c r="W316" s="183">
        <f>STDEV(L$2:L316)*SQRT(252)</f>
        <v>0.36571853063602927</v>
      </c>
      <c r="X316" s="173">
        <f t="shared" si="125"/>
        <v>0.4827153518817715</v>
      </c>
      <c r="Y316" s="173">
        <f t="shared" si="126"/>
        <v>0.16784142733917065</v>
      </c>
      <c r="Z316" s="794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4">
        <v>2271.7199999999998</v>
      </c>
      <c r="D317" s="170">
        <f t="shared" ref="D317:D324" si="146">(C317-C316)/C316</f>
        <v>6.539770310506063E-3</v>
      </c>
      <c r="E317" s="208">
        <f t="shared" si="134"/>
        <v>8.051597191834238E-2</v>
      </c>
      <c r="F317" s="218">
        <v>5463.82</v>
      </c>
      <c r="G317" s="170">
        <f t="shared" si="143"/>
        <v>9.47429487819023E-3</v>
      </c>
      <c r="H317" s="202">
        <f t="shared" si="135"/>
        <v>7.3083645933578162E-2</v>
      </c>
      <c r="I317" s="220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1">
        <f t="shared" si="145"/>
        <v>26932.270000000019</v>
      </c>
      <c r="N317" s="183">
        <f t="shared" si="133"/>
        <v>8.9774233333333397E-2</v>
      </c>
      <c r="O317" s="182">
        <f t="shared" si="116"/>
        <v>6.7748013894628145E-2</v>
      </c>
      <c r="P317" s="181" t="b">
        <f t="shared" si="137"/>
        <v>1</v>
      </c>
      <c r="Q317" s="183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3">
        <f>STDEV(D$2:D317)*SQRT(252)</f>
        <v>0.16798113436370918</v>
      </c>
      <c r="W317" s="183">
        <f>STDEV(L$2:L317)*SQRT(252)</f>
        <v>0.36519230283112208</v>
      </c>
      <c r="X317" s="173">
        <f t="shared" si="125"/>
        <v>0.53443045061808037</v>
      </c>
      <c r="Y317" s="173">
        <f t="shared" si="126"/>
        <v>0.18551325799973731</v>
      </c>
      <c r="Z317" s="794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4">
        <v>2253.2800000000002</v>
      </c>
      <c r="D318" s="170">
        <f t="shared" si="146"/>
        <v>-8.1171975419504164E-3</v>
      </c>
      <c r="E318" s="208">
        <f t="shared" si="134"/>
        <v>7.1745210327048642E-2</v>
      </c>
      <c r="F318" s="218">
        <v>5436.67</v>
      </c>
      <c r="G318" s="170">
        <f t="shared" si="143"/>
        <v>-4.9690509570226764E-3</v>
      </c>
      <c r="H318" s="202">
        <f t="shared" si="135"/>
        <v>6.775143861578653E-2</v>
      </c>
      <c r="I318" s="220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1">
        <f t="shared" si="145"/>
        <v>23187.580000000016</v>
      </c>
      <c r="N318" s="183">
        <f t="shared" ref="N318:N349" si="149">M318/J318</f>
        <v>7.7291933333333382E-2</v>
      </c>
      <c r="O318" s="182">
        <f t="shared" si="116"/>
        <v>5.8207997216494882E-2</v>
      </c>
      <c r="P318" s="181" t="b">
        <f t="shared" si="137"/>
        <v>0</v>
      </c>
      <c r="Q318" s="183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3">
        <f>STDEV(D$2:D318)*SQRT(252)</f>
        <v>0.1678827042507858</v>
      </c>
      <c r="W318" s="183">
        <f>STDEV(L$2:L318)*SQRT(252)</f>
        <v>0.36477613743457138</v>
      </c>
      <c r="X318" s="173">
        <f t="shared" si="125"/>
        <v>0.46039247269851863</v>
      </c>
      <c r="Y318" s="173">
        <f t="shared" si="126"/>
        <v>0.15957183390850352</v>
      </c>
      <c r="Z318" s="794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4">
        <v>2262.0300000000002</v>
      </c>
      <c r="D319" s="170">
        <f t="shared" si="146"/>
        <v>3.8832280053965771E-3</v>
      </c>
      <c r="E319" s="208">
        <f t="shared" si="134"/>
        <v>7.5907041342440279E-2</v>
      </c>
      <c r="F319" s="218">
        <v>5456.85</v>
      </c>
      <c r="G319" s="170">
        <f t="shared" si="143"/>
        <v>3.7118309553458811E-3</v>
      </c>
      <c r="H319" s="202">
        <f t="shared" si="135"/>
        <v>7.1714751458255704E-2</v>
      </c>
      <c r="I319" s="220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1">
        <f t="shared" si="145"/>
        <v>24820.979999999981</v>
      </c>
      <c r="N319" s="183">
        <f t="shared" si="149"/>
        <v>8.2736599999999938E-2</v>
      </c>
      <c r="O319" s="182">
        <f t="shared" si="116"/>
        <v>6.2180129938271558E-2</v>
      </c>
      <c r="P319" s="181" t="b">
        <f t="shared" si="137"/>
        <v>1</v>
      </c>
      <c r="Q319" s="183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3">
        <f>STDEV(D$2:D319)*SQRT(252)</f>
        <v>0.16764772855773447</v>
      </c>
      <c r="W319" s="183">
        <f>STDEV(L$2:L319)*SQRT(252)</f>
        <v>0.36421868785433931</v>
      </c>
      <c r="X319" s="173">
        <f t="shared" si="125"/>
        <v>0.49351458985921864</v>
      </c>
      <c r="Y319" s="173">
        <f t="shared" si="126"/>
        <v>0.17072196461028116</v>
      </c>
      <c r="Z319" s="794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4">
        <v>2258.0700000000002</v>
      </c>
      <c r="D320" s="170">
        <f t="shared" si="146"/>
        <v>-1.7506399119375233E-3</v>
      </c>
      <c r="E320" s="208">
        <f t="shared" ref="E320:E351" si="150">(C320-$C$2)/$C$2</f>
        <v>7.4023515534331591E-2</v>
      </c>
      <c r="F320" s="218">
        <v>5437.16</v>
      </c>
      <c r="G320" s="170">
        <f t="shared" si="143"/>
        <v>-3.6083088228557698E-3</v>
      </c>
      <c r="H320" s="202">
        <f t="shared" ref="H320:H351" si="151">(F320-F$2)/F$2</f>
        <v>6.7847673664984204E-2</v>
      </c>
      <c r="I320" s="220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1">
        <f t="shared" si="145"/>
        <v>27045.520000000019</v>
      </c>
      <c r="N320" s="183">
        <f t="shared" si="149"/>
        <v>9.01517333333334E-2</v>
      </c>
      <c r="O320" s="182">
        <f t="shared" si="116"/>
        <v>6.7613800000000057E-2</v>
      </c>
      <c r="P320" s="181" t="b">
        <f t="shared" ref="P320:P351" si="153">L320&gt;D320</f>
        <v>1</v>
      </c>
      <c r="Q320" s="183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3">
        <f>STDEV(D$2:D320)*SQRT(252)</f>
        <v>0.16739291241779608</v>
      </c>
      <c r="W320" s="183">
        <f>STDEV(L$2:L320)*SQRT(252)</f>
        <v>0.36368405399671344</v>
      </c>
      <c r="X320" s="173">
        <f t="shared" si="125"/>
        <v>0.53856362274361791</v>
      </c>
      <c r="Y320" s="173">
        <f t="shared" si="126"/>
        <v>0.18591356771614484</v>
      </c>
      <c r="Z320" s="794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1">
        <v>42723</v>
      </c>
      <c r="C321" s="242">
        <v>2262.5300000000002</v>
      </c>
      <c r="D321" s="170">
        <f t="shared" si="146"/>
        <v>1.9751380603790121E-3</v>
      </c>
      <c r="E321" s="243">
        <f t="shared" si="150"/>
        <v>7.6144860257605515E-2</v>
      </c>
      <c r="F321" s="244">
        <v>5457.44</v>
      </c>
      <c r="G321" s="170">
        <f t="shared" si="143"/>
        <v>3.7298883976192988E-3</v>
      </c>
      <c r="H321" s="245">
        <f t="shared" si="151"/>
        <v>7.1830626313411985E-2</v>
      </c>
      <c r="I321" s="543">
        <v>327054.27</v>
      </c>
      <c r="J321" s="247">
        <v>300000</v>
      </c>
      <c r="K321" s="247">
        <f t="shared" si="152"/>
        <v>8.75</v>
      </c>
      <c r="L321" s="170">
        <f t="shared" si="144"/>
        <v>2.6754685402814872E-5</v>
      </c>
      <c r="M321" s="248">
        <f t="shared" si="145"/>
        <v>27054.270000000019</v>
      </c>
      <c r="N321" s="249">
        <f t="shared" si="149"/>
        <v>9.0180900000000064E-2</v>
      </c>
      <c r="O321" s="182">
        <f t="shared" si="116"/>
        <v>6.7221579030612294E-2</v>
      </c>
      <c r="P321" s="248" t="b">
        <f t="shared" si="153"/>
        <v>0</v>
      </c>
      <c r="Q321" s="249">
        <f>COUNTIF(P$2:P321, TRUE)/(COUNTIF(P$2:P321,FALSE) + COUNTIF(P$2:P321, TRUE))</f>
        <v>0.5</v>
      </c>
      <c r="R321" s="247">
        <v>231413.84</v>
      </c>
      <c r="S321" s="247">
        <f t="shared" si="147"/>
        <v>95640.430000000022</v>
      </c>
      <c r="T321" s="247">
        <v>-28148</v>
      </c>
      <c r="U321" s="247">
        <f t="shared" si="148"/>
        <v>55202.270000000019</v>
      </c>
      <c r="V321" s="249">
        <f>STDEV(D$2:D321)*SQRT(252)</f>
        <v>0.16713630063292181</v>
      </c>
      <c r="W321" s="249">
        <f>STDEV(L$2:L321)*SQRT(252)</f>
        <v>0.36311240060215538</v>
      </c>
      <c r="X321" s="173">
        <f t="shared" si="125"/>
        <v>0.53956501166112691</v>
      </c>
      <c r="Y321" s="173">
        <f t="shared" si="126"/>
        <v>0.18512609021101351</v>
      </c>
      <c r="Z321" s="794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1">
        <v>42724</v>
      </c>
      <c r="C322" s="242">
        <v>2270.7600000000002</v>
      </c>
      <c r="D322" s="170">
        <f t="shared" si="146"/>
        <v>3.6375208284531112E-3</v>
      </c>
      <c r="E322" s="243">
        <f t="shared" si="150"/>
        <v>8.0059359601225316E-2</v>
      </c>
      <c r="F322" s="244">
        <v>5483.94</v>
      </c>
      <c r="G322" s="170">
        <f>(F322-F321)/F321</f>
        <v>4.8557565451933507E-3</v>
      </c>
      <c r="H322" s="245">
        <f t="shared" si="151"/>
        <v>7.7035174892472025E-2</v>
      </c>
      <c r="I322" s="543">
        <v>325810.98</v>
      </c>
      <c r="J322" s="247">
        <v>300000</v>
      </c>
      <c r="K322" s="247">
        <f t="shared" si="152"/>
        <v>-1243.2900000000373</v>
      </c>
      <c r="L322" s="170">
        <f>K322/I321</f>
        <v>-3.8014791857022296E-3</v>
      </c>
      <c r="M322" s="248">
        <f t="shared" si="145"/>
        <v>25810.979999999981</v>
      </c>
      <c r="N322" s="249">
        <f t="shared" si="149"/>
        <v>8.6036599999999935E-2</v>
      </c>
      <c r="O322" s="182">
        <f t="shared" si="116"/>
        <v>6.4001768126272868E-2</v>
      </c>
      <c r="P322" s="248" t="b">
        <f t="shared" si="153"/>
        <v>0</v>
      </c>
      <c r="Q322" s="249">
        <f>COUNTIF(P$2:P322, TRUE)/(COUNTIF(P$2:P322,FALSE) + COUNTIF(P$2:P322, TRUE))</f>
        <v>0.49844236760124611</v>
      </c>
      <c r="R322" s="247">
        <v>230633.3</v>
      </c>
      <c r="S322" s="247">
        <f t="shared" si="147"/>
        <v>95177.68</v>
      </c>
      <c r="T322" s="247">
        <v>-28828</v>
      </c>
      <c r="U322" s="247">
        <f t="shared" si="148"/>
        <v>54638.979999999981</v>
      </c>
      <c r="V322" s="249">
        <f>STDEV(D$2:D322)*SQRT(252)</f>
        <v>0.16690064073830019</v>
      </c>
      <c r="W322" s="249">
        <f>STDEV(L$2:L322)*SQRT(252)</f>
        <v>0.36256564475592484</v>
      </c>
      <c r="X322" s="173">
        <f t="shared" si="125"/>
        <v>0.51549592391862131</v>
      </c>
      <c r="Y322" s="173">
        <f t="shared" si="126"/>
        <v>0.17652463506121255</v>
      </c>
      <c r="Z322" s="794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1">
        <v>42725</v>
      </c>
      <c r="C323" s="242">
        <v>2265.1799999999998</v>
      </c>
      <c r="D323" s="170">
        <f t="shared" si="146"/>
        <v>-2.4573270623052994E-3</v>
      </c>
      <c r="E323" s="243">
        <f t="shared" si="150"/>
        <v>7.7405300507981098E-2</v>
      </c>
      <c r="F323" s="244">
        <v>5471.43</v>
      </c>
      <c r="G323" s="170">
        <f>(F323-F322)/F322</f>
        <v>-2.2812065777523659E-3</v>
      </c>
      <c r="H323" s="245">
        <f t="shared" si="151"/>
        <v>7.4578235167036641E-2</v>
      </c>
      <c r="I323" s="543">
        <v>324443.28000000003</v>
      </c>
      <c r="J323" s="247">
        <v>300000</v>
      </c>
      <c r="K323" s="247">
        <f t="shared" si="152"/>
        <v>-1367.6999999999534</v>
      </c>
      <c r="L323" s="170">
        <f t="shared" ref="L323:L386" si="155">K323/I322</f>
        <v>-4.1978327433899055E-3</v>
      </c>
      <c r="M323" s="248">
        <f t="shared" si="145"/>
        <v>24443.280000000028</v>
      </c>
      <c r="N323" s="249">
        <f t="shared" si="149"/>
        <v>8.1477600000000094E-2</v>
      </c>
      <c r="O323" s="182">
        <f t="shared" si="116"/>
        <v>6.0487181707317143E-2</v>
      </c>
      <c r="P323" s="248" t="b">
        <f t="shared" si="153"/>
        <v>0</v>
      </c>
      <c r="Q323" s="249">
        <f>COUNTIF(P$2:P323, TRUE)/(COUNTIF(P$2:P323,FALSE) + COUNTIF(P$2:P323, TRUE))</f>
        <v>0.49689440993788819</v>
      </c>
      <c r="R323" s="247">
        <v>231596.6</v>
      </c>
      <c r="S323" s="247">
        <f t="shared" si="147"/>
        <v>92846.680000000022</v>
      </c>
      <c r="T323" s="247">
        <v>-28725</v>
      </c>
      <c r="U323" s="247">
        <f t="shared" si="148"/>
        <v>53168.280000000028</v>
      </c>
      <c r="V323" s="249">
        <f>STDEV(D$2:D323)*SQRT(252)</f>
        <v>0.16665750598477963</v>
      </c>
      <c r="W323" s="249">
        <f>STDEV(L$2:L323)*SQRT(252)</f>
        <v>0.36202544499478717</v>
      </c>
      <c r="X323" s="173">
        <f t="shared" si="125"/>
        <v>0.48889247153045251</v>
      </c>
      <c r="Y323" s="173">
        <f t="shared" si="126"/>
        <v>0.16707991812063958</v>
      </c>
      <c r="Z323" s="794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1">
        <v>42726</v>
      </c>
      <c r="C324" s="242">
        <v>2260.96</v>
      </c>
      <c r="D324" s="170">
        <f t="shared" si="146"/>
        <v>-1.8629866059208541E-3</v>
      </c>
      <c r="E324" s="243">
        <f t="shared" si="150"/>
        <v>7.5398108863986596E-2</v>
      </c>
      <c r="F324" s="244">
        <v>5447.42</v>
      </c>
      <c r="G324" s="170">
        <f t="shared" ref="G324:G334" si="156">(F324-F323)/F323</f>
        <v>-4.3882495069845024E-3</v>
      </c>
      <c r="H324" s="245">
        <f t="shared" si="151"/>
        <v>6.9862717756348613E-2</v>
      </c>
      <c r="I324" s="543">
        <v>328249.78000000003</v>
      </c>
      <c r="J324" s="247">
        <v>300000</v>
      </c>
      <c r="K324" s="247">
        <f t="shared" si="152"/>
        <v>3806.5</v>
      </c>
      <c r="L324" s="170">
        <f t="shared" si="155"/>
        <v>1.1732405121782764E-2</v>
      </c>
      <c r="M324" s="248">
        <f t="shared" si="145"/>
        <v>28249.780000000028</v>
      </c>
      <c r="N324" s="249">
        <f t="shared" si="149"/>
        <v>9.4165933333333424E-2</v>
      </c>
      <c r="O324" s="182">
        <f t="shared" si="116"/>
        <v>6.9764923225152195E-2</v>
      </c>
      <c r="P324" s="248" t="b">
        <f t="shared" si="153"/>
        <v>1</v>
      </c>
      <c r="Q324" s="249">
        <f>COUNTIF(P$2:P324, TRUE)/(COUNTIF(P$2:P324,FALSE) + COUNTIF(P$2:P324, TRUE))</f>
        <v>0.49845201238390091</v>
      </c>
      <c r="R324" s="247">
        <v>235403.1</v>
      </c>
      <c r="S324" s="247">
        <f t="shared" si="147"/>
        <v>92846.680000000022</v>
      </c>
      <c r="T324" s="247">
        <v>-28852</v>
      </c>
      <c r="U324" s="247">
        <f t="shared" si="148"/>
        <v>57101.780000000028</v>
      </c>
      <c r="V324" s="249">
        <f>STDEV(D$2:D324)*SQRT(252)</f>
        <v>0.16640858320872839</v>
      </c>
      <c r="W324" s="249">
        <f>STDEV(L$2:L324)*SQRT(252)</f>
        <v>0.36159155840983148</v>
      </c>
      <c r="X324" s="173">
        <f t="shared" si="125"/>
        <v>0.56587185298741416</v>
      </c>
      <c r="Y324" s="173">
        <f t="shared" si="126"/>
        <v>0.19293847326513064</v>
      </c>
      <c r="Z324" s="794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1">
        <v>42727</v>
      </c>
      <c r="C325" s="242">
        <v>2263.79</v>
      </c>
      <c r="D325" s="170">
        <f t="shared" ref="D325:D334" si="157">(C325-C324)/C324</f>
        <v>1.251680702002657E-3</v>
      </c>
      <c r="E325" s="243">
        <f t="shared" si="150"/>
        <v>7.6744163923821801E-2</v>
      </c>
      <c r="F325" s="244">
        <v>5462.68</v>
      </c>
      <c r="G325" s="170">
        <f t="shared" si="156"/>
        <v>2.8013261323709604E-3</v>
      </c>
      <c r="H325" s="245">
        <f t="shared" si="151"/>
        <v>7.2859752145648896E-2</v>
      </c>
      <c r="I325" s="543">
        <v>329298.48</v>
      </c>
      <c r="J325" s="247">
        <v>300000</v>
      </c>
      <c r="K325" s="247">
        <f t="shared" si="152"/>
        <v>1048.6999999999534</v>
      </c>
      <c r="L325" s="170">
        <f t="shared" si="155"/>
        <v>3.1948231618006062E-3</v>
      </c>
      <c r="M325" s="248">
        <f t="shared" si="145"/>
        <v>29298.479999999981</v>
      </c>
      <c r="N325" s="249">
        <f t="shared" si="149"/>
        <v>9.7661599999999932E-2</v>
      </c>
      <c r="O325" s="182">
        <f t="shared" si="116"/>
        <v>7.2208298380566749E-2</v>
      </c>
      <c r="P325" s="248" t="b">
        <f t="shared" si="153"/>
        <v>1</v>
      </c>
      <c r="Q325" s="249">
        <f>COUNTIF(P$2:P325, TRUE)/(COUNTIF(P$2:P325,FALSE) + COUNTIF(P$2:P325, TRUE))</f>
        <v>0.5</v>
      </c>
      <c r="R325" s="247">
        <v>236451.8</v>
      </c>
      <c r="S325" s="247">
        <f t="shared" si="147"/>
        <v>92846.68</v>
      </c>
      <c r="T325" s="247">
        <v>-28456</v>
      </c>
      <c r="U325" s="247">
        <f t="shared" si="148"/>
        <v>57754.479999999981</v>
      </c>
      <c r="V325" s="249">
        <f>STDEV(D$2:D325)*SQRT(252)</f>
        <v>0.16615219867312236</v>
      </c>
      <c r="W325" s="249">
        <f>STDEV(L$2:L325)*SQRT(252)</f>
        <v>0.36103590347828884</v>
      </c>
      <c r="X325" s="173">
        <f t="shared" si="125"/>
        <v>0.58778397625741541</v>
      </c>
      <c r="Y325" s="173">
        <f t="shared" si="126"/>
        <v>0.20000309577218833</v>
      </c>
      <c r="Z325" s="794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4">
        <v>2268.88</v>
      </c>
      <c r="D326" s="170">
        <f t="shared" si="157"/>
        <v>2.2484417724259521E-3</v>
      </c>
      <c r="E326" s="208">
        <f t="shared" si="150"/>
        <v>7.9165160480203972E-2</v>
      </c>
      <c r="F326" s="218">
        <v>5487.44</v>
      </c>
      <c r="G326" s="170">
        <f t="shared" si="156"/>
        <v>4.5325737550065736E-3</v>
      </c>
      <c r="H326" s="202">
        <f t="shared" si="151"/>
        <v>7.7722568101027123E-2</v>
      </c>
      <c r="I326" s="220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1">
        <f t="shared" si="145"/>
        <v>30109.080000000016</v>
      </c>
      <c r="N326" s="183">
        <f t="shared" si="149"/>
        <v>0.10036360000000005</v>
      </c>
      <c r="O326" s="182">
        <f t="shared" si="116"/>
        <v>7.3610050000000038E-2</v>
      </c>
      <c r="P326" s="181" t="b">
        <f t="shared" si="153"/>
        <v>1</v>
      </c>
      <c r="Q326" s="183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3">
        <f>STDEV(D$2:D326)*SQRT(252)</f>
        <v>0.16590384909473915</v>
      </c>
      <c r="W326" s="183">
        <f>STDEV(L$2:L326)*SQRT(252)</f>
        <v>0.36047958608732461</v>
      </c>
      <c r="X326" s="173">
        <f t="shared" si="125"/>
        <v>0.60495040077513551</v>
      </c>
      <c r="Y326" s="173">
        <f t="shared" si="126"/>
        <v>0.20420032878690758</v>
      </c>
      <c r="Z326" s="794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4">
        <v>2249.92</v>
      </c>
      <c r="D327" s="170">
        <f t="shared" si="157"/>
        <v>-8.3565459610028016E-3</v>
      </c>
      <c r="E327" s="208">
        <f t="shared" si="150"/>
        <v>7.014706721713819E-2</v>
      </c>
      <c r="F327" s="218">
        <v>5438.55</v>
      </c>
      <c r="G327" s="170">
        <f t="shared" si="156"/>
        <v>-8.9094368229993264E-3</v>
      </c>
      <c r="H327" s="202">
        <f t="shared" si="151"/>
        <v>6.8120666967810425E-2</v>
      </c>
      <c r="I327" s="220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1">
        <f t="shared" si="145"/>
        <v>26202.979999999981</v>
      </c>
      <c r="N327" s="183">
        <f t="shared" si="149"/>
        <v>8.73432666666666E-2</v>
      </c>
      <c r="O327" s="182">
        <f t="shared" ref="O327:O390" si="159">N327/(A327/365.25)</f>
        <v>6.3932120541082119E-2</v>
      </c>
      <c r="P327" s="181" t="b">
        <f t="shared" si="153"/>
        <v>0</v>
      </c>
      <c r="Q327" s="183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3">
        <f>STDEV(D$2:D327)*SQRT(252)</f>
        <v>0.16582249339031452</v>
      </c>
      <c r="W327" s="183">
        <f>STDEV(L$2:L327)*SQRT(252)</f>
        <v>0.36009473393131058</v>
      </c>
      <c r="X327" s="173">
        <f t="shared" si="125"/>
        <v>0.52672749565450816</v>
      </c>
      <c r="Y327" s="173">
        <f t="shared" si="126"/>
        <v>0.17754250344932124</v>
      </c>
      <c r="Z327" s="794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4">
        <v>2249.2600000000002</v>
      </c>
      <c r="D328" s="170">
        <f t="shared" si="157"/>
        <v>-2.9334376333374273E-4</v>
      </c>
      <c r="E328" s="208">
        <f t="shared" si="150"/>
        <v>6.983314624912014E-2</v>
      </c>
      <c r="F328" s="218">
        <v>5432.09</v>
      </c>
      <c r="G328" s="170">
        <f t="shared" si="156"/>
        <v>-1.1878166055290539E-3</v>
      </c>
      <c r="H328" s="202">
        <f t="shared" si="151"/>
        <v>6.6851935502877297E-2</v>
      </c>
      <c r="I328" s="220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1">
        <f t="shared" si="145"/>
        <v>24645.530000000028</v>
      </c>
      <c r="N328" s="183">
        <f t="shared" si="149"/>
        <v>8.2151766666666765E-2</v>
      </c>
      <c r="O328" s="182">
        <f t="shared" si="159"/>
        <v>6.0011865550000078E-2</v>
      </c>
      <c r="P328" s="181" t="b">
        <f t="shared" si="153"/>
        <v>0</v>
      </c>
      <c r="Q328" s="183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3">
        <f>STDEV(D$2:D328)*SQRT(252)</f>
        <v>0.16556790757023543</v>
      </c>
      <c r="W328" s="183">
        <f>STDEV(L$2:L328)*SQRT(252)</f>
        <v>0.35957326133174794</v>
      </c>
      <c r="X328" s="173">
        <f t="shared" si="125"/>
        <v>0.4961817049709179</v>
      </c>
      <c r="Y328" s="173">
        <f t="shared" si="126"/>
        <v>0.16689746431015121</v>
      </c>
      <c r="Z328" s="794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4">
        <v>2238.83</v>
      </c>
      <c r="D329" s="170">
        <f t="shared" si="157"/>
        <v>-4.6370806398550145E-3</v>
      </c>
      <c r="E329" s="208">
        <f t="shared" si="150"/>
        <v>6.4872243678773173E-2</v>
      </c>
      <c r="F329" s="218">
        <v>5383.11</v>
      </c>
      <c r="G329" s="170">
        <f t="shared" si="156"/>
        <v>-9.0167872770886472E-3</v>
      </c>
      <c r="H329" s="202">
        <f t="shared" si="151"/>
        <v>5.7232358544297555E-2</v>
      </c>
      <c r="I329" s="465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5">
        <f t="shared" si="145"/>
        <v>22309.380000000005</v>
      </c>
      <c r="N329" s="183">
        <f t="shared" si="149"/>
        <v>7.4364600000000017E-2</v>
      </c>
      <c r="O329" s="182">
        <f t="shared" si="159"/>
        <v>5.4214910479041929E-2</v>
      </c>
      <c r="P329" s="181" t="b">
        <f t="shared" si="153"/>
        <v>0</v>
      </c>
      <c r="Q329" s="183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3">
        <f>STDEV(D$2:D329)*SQRT(252)</f>
        <v>0.16536968849667288</v>
      </c>
      <c r="W329" s="183">
        <f>STDEV(L$2:L329)*SQRT(252)</f>
        <v>0.35908901250550984</v>
      </c>
      <c r="X329" s="173">
        <f t="shared" si="125"/>
        <v>0.44968700537581396</v>
      </c>
      <c r="Y329" s="173">
        <f t="shared" si="126"/>
        <v>0.15097902912919137</v>
      </c>
      <c r="Z329" s="794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1">
        <v>42738</v>
      </c>
      <c r="C330" s="242">
        <v>2257.83</v>
      </c>
      <c r="D330" s="170">
        <f t="shared" si="157"/>
        <v>8.4865755774221358E-3</v>
      </c>
      <c r="E330" s="243">
        <f t="shared" si="150"/>
        <v>7.3909362455052169E-2</v>
      </c>
      <c r="F330" s="244">
        <v>5429.08</v>
      </c>
      <c r="G330" s="170">
        <f t="shared" si="156"/>
        <v>8.5396731629114511E-3</v>
      </c>
      <c r="H330" s="245">
        <f t="shared" si="151"/>
        <v>6.6260777343519872E-2</v>
      </c>
      <c r="I330" s="543">
        <v>327489.65000000002</v>
      </c>
      <c r="J330" s="247">
        <v>300000</v>
      </c>
      <c r="K330" s="247">
        <f t="shared" si="152"/>
        <v>5180.2700000000186</v>
      </c>
      <c r="L330" s="170">
        <f t="shared" si="155"/>
        <v>1.6072352594888855E-2</v>
      </c>
      <c r="M330" s="248">
        <f t="shared" si="145"/>
        <v>27489.650000000023</v>
      </c>
      <c r="N330" s="249">
        <f t="shared" si="149"/>
        <v>9.1632166666666751E-2</v>
      </c>
      <c r="O330" s="182">
        <f t="shared" si="159"/>
        <v>6.6274552227722827E-2</v>
      </c>
      <c r="P330" s="248" t="b">
        <f t="shared" si="153"/>
        <v>1</v>
      </c>
      <c r="Q330" s="249">
        <f>COUNTIF(P$2:P330, TRUE)/(COUNTIF(P$2:P330,FALSE) + COUNTIF(P$2:P330, TRUE))</f>
        <v>0.49848024316109424</v>
      </c>
      <c r="R330" s="247">
        <v>246849.1</v>
      </c>
      <c r="S330" s="247">
        <f t="shared" si="158"/>
        <v>80640.550000000017</v>
      </c>
      <c r="T330" s="247">
        <v>-28453</v>
      </c>
      <c r="U330" s="247">
        <f t="shared" si="148"/>
        <v>55942.650000000023</v>
      </c>
      <c r="V330" s="249">
        <f>STDEV(D$2:D330)*SQRT(252)</f>
        <v>0.16527453966612005</v>
      </c>
      <c r="W330" s="249">
        <f>STDEV(L$2:L330)*SQRT(252)</f>
        <v>0.35879195158503097</v>
      </c>
      <c r="X330" s="173">
        <f t="shared" si="125"/>
        <v>0.55442397148270872</v>
      </c>
      <c r="Y330" s="173">
        <f t="shared" si="126"/>
        <v>0.18471582747311505</v>
      </c>
      <c r="Z330" s="794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1">
        <v>42739</v>
      </c>
      <c r="C331" s="242">
        <v>2270.75</v>
      </c>
      <c r="D331" s="170">
        <f t="shared" si="157"/>
        <v>5.7223085883348493E-3</v>
      </c>
      <c r="E331" s="243">
        <f t="shared" si="150"/>
        <v>8.0054603222921905E-2</v>
      </c>
      <c r="F331" s="244">
        <v>5477</v>
      </c>
      <c r="G331" s="170">
        <f t="shared" si="156"/>
        <v>8.8265415134792767E-3</v>
      </c>
      <c r="H331" s="245">
        <f t="shared" si="151"/>
        <v>7.5672172358937126E-2</v>
      </c>
      <c r="I331" s="543">
        <v>330177.02</v>
      </c>
      <c r="J331" s="247">
        <v>300000</v>
      </c>
      <c r="K331" s="247">
        <f t="shared" si="152"/>
        <v>2687.3699999999953</v>
      </c>
      <c r="L331" s="170">
        <f t="shared" si="155"/>
        <v>8.2059692573490349E-3</v>
      </c>
      <c r="M331" s="248">
        <f t="shared" si="145"/>
        <v>30177.020000000019</v>
      </c>
      <c r="N331" s="249">
        <f t="shared" si="149"/>
        <v>0.10059006666666673</v>
      </c>
      <c r="O331" s="182">
        <f t="shared" si="159"/>
        <v>7.2609726976284636E-2</v>
      </c>
      <c r="P331" s="248" t="b">
        <f t="shared" si="153"/>
        <v>1</v>
      </c>
      <c r="Q331" s="249">
        <f>COUNTIF(P$2:P331, TRUE)/(COUNTIF(P$2:P331,FALSE) + COUNTIF(P$2:P331, TRUE))</f>
        <v>0.5</v>
      </c>
      <c r="R331" s="247">
        <v>236646.05</v>
      </c>
      <c r="S331" s="247">
        <f t="shared" si="158"/>
        <v>93530.97000000003</v>
      </c>
      <c r="T331" s="247">
        <v>-27557</v>
      </c>
      <c r="U331" s="247">
        <f t="shared" si="148"/>
        <v>57734.020000000019</v>
      </c>
      <c r="V331" s="249">
        <f>STDEV(D$2:D331)*SQRT(252)</f>
        <v>0.1650913475554088</v>
      </c>
      <c r="W331" s="249">
        <f>STDEV(L$2:L331)*SQRT(252)</f>
        <v>0.3583037455998867</v>
      </c>
      <c r="X331" s="173">
        <f t="shared" si="125"/>
        <v>0.60929944637411226</v>
      </c>
      <c r="Y331" s="173">
        <f t="shared" si="126"/>
        <v>0.20264852898681948</v>
      </c>
      <c r="Z331" s="794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1">
        <v>42740</v>
      </c>
      <c r="C332" s="330">
        <v>2269</v>
      </c>
      <c r="D332" s="170">
        <f t="shared" si="157"/>
        <v>-7.7067048332048887E-4</v>
      </c>
      <c r="E332" s="243">
        <f t="shared" si="150"/>
        <v>7.9222237019843586E-2</v>
      </c>
      <c r="F332" s="244">
        <v>5487.93</v>
      </c>
      <c r="G332" s="170">
        <f t="shared" si="156"/>
        <v>1.995618039072538E-3</v>
      </c>
      <c r="H332" s="245">
        <f t="shared" si="151"/>
        <v>7.7818803150224977E-2</v>
      </c>
      <c r="I332" s="543">
        <v>330571.57</v>
      </c>
      <c r="J332" s="247">
        <v>300000</v>
      </c>
      <c r="K332" s="247">
        <f t="shared" si="152"/>
        <v>394.54999999998836</v>
      </c>
      <c r="L332" s="170">
        <f t="shared" si="155"/>
        <v>1.1949650523830771E-3</v>
      </c>
      <c r="M332" s="248">
        <f t="shared" si="145"/>
        <v>30571.570000000007</v>
      </c>
      <c r="N332" s="249">
        <f t="shared" si="149"/>
        <v>0.10190523333333336</v>
      </c>
      <c r="O332" s="182">
        <f t="shared" si="159"/>
        <v>7.3413977268244598E-2</v>
      </c>
      <c r="P332" s="248" t="b">
        <f t="shared" si="153"/>
        <v>1</v>
      </c>
      <c r="Q332" s="249">
        <f>COUNTIF(P$2:P332, TRUE)/(COUNTIF(P$2:P332,FALSE) + COUNTIF(P$2:P332, TRUE))</f>
        <v>0.50151057401812693</v>
      </c>
      <c r="R332" s="247">
        <v>239220.1</v>
      </c>
      <c r="S332" s="247">
        <f t="shared" ref="S332:S361" si="160">I332-R332</f>
        <v>91351.47</v>
      </c>
      <c r="T332" s="247">
        <v>-27577</v>
      </c>
      <c r="U332" s="247">
        <f t="shared" si="148"/>
        <v>58148.570000000007</v>
      </c>
      <c r="V332" s="249">
        <f>STDEV(D$2:D332)*SQRT(252)</f>
        <v>0.16484285342326518</v>
      </c>
      <c r="W332" s="249">
        <f>STDEV(L$2:L332)*SQRT(252)</f>
        <v>0.35775897178882049</v>
      </c>
      <c r="X332" s="173">
        <f t="shared" si="125"/>
        <v>0.61819624701395093</v>
      </c>
      <c r="Y332" s="173">
        <f t="shared" si="126"/>
        <v>0.20520513266563087</v>
      </c>
      <c r="Z332" s="794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1">
        <v>42741</v>
      </c>
      <c r="C333" s="330">
        <v>2276.98</v>
      </c>
      <c r="D333" s="170">
        <f t="shared" si="157"/>
        <v>3.516967827236676E-3</v>
      </c>
      <c r="E333" s="243">
        <f t="shared" si="150"/>
        <v>8.3017826905880762E-2</v>
      </c>
      <c r="F333" s="244">
        <v>5521.05</v>
      </c>
      <c r="G333" s="170">
        <f t="shared" si="156"/>
        <v>6.0350624005772466E-3</v>
      </c>
      <c r="H333" s="245">
        <f t="shared" si="151"/>
        <v>8.4323506883752064E-2</v>
      </c>
      <c r="I333" s="543">
        <v>329655.77</v>
      </c>
      <c r="J333" s="247">
        <v>300000</v>
      </c>
      <c r="K333" s="247">
        <f t="shared" si="152"/>
        <v>-915.79999999998836</v>
      </c>
      <c r="L333" s="170">
        <f t="shared" si="155"/>
        <v>-2.7703531794944988E-3</v>
      </c>
      <c r="M333" s="248">
        <f t="shared" si="145"/>
        <v>29655.770000000019</v>
      </c>
      <c r="N333" s="249">
        <f t="shared" si="149"/>
        <v>9.8852566666666725E-2</v>
      </c>
      <c r="O333" s="182">
        <f t="shared" si="159"/>
        <v>7.1074606250000047E-2</v>
      </c>
      <c r="P333" s="248" t="b">
        <f t="shared" si="153"/>
        <v>0</v>
      </c>
      <c r="Q333" s="249">
        <f>COUNTIF(P$2:P333, TRUE)/(COUNTIF(P$2:P333,FALSE) + COUNTIF(P$2:P333, TRUE))</f>
        <v>0.5</v>
      </c>
      <c r="R333" s="247">
        <v>244584.65</v>
      </c>
      <c r="S333" s="247">
        <f t="shared" si="160"/>
        <v>85071.120000000024</v>
      </c>
      <c r="T333" s="247">
        <v>-26799</v>
      </c>
      <c r="U333" s="247">
        <f t="shared" si="148"/>
        <v>56454.770000000019</v>
      </c>
      <c r="V333" s="249">
        <f>STDEV(D$2:D333)*SQRT(252)</f>
        <v>0.16461706321052907</v>
      </c>
      <c r="W333" s="249">
        <f>STDEV(L$2:L333)*SQRT(252)</f>
        <v>0.35723001747832872</v>
      </c>
      <c r="X333" s="173">
        <f t="shared" si="125"/>
        <v>0.60050012276214637</v>
      </c>
      <c r="Y333" s="173">
        <f t="shared" si="126"/>
        <v>0.19896034143970495</v>
      </c>
      <c r="Z333" s="794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4">
        <v>2268.9</v>
      </c>
      <c r="D334" s="170">
        <f t="shared" si="157"/>
        <v>-3.5485599346502506E-3</v>
      </c>
      <c r="E334" s="208">
        <f t="shared" si="150"/>
        <v>7.9174673236810572E-2</v>
      </c>
      <c r="F334" s="218">
        <v>5531.81</v>
      </c>
      <c r="G334" s="170">
        <f t="shared" si="156"/>
        <v>1.9489046467610722E-3</v>
      </c>
      <c r="H334" s="202">
        <f t="shared" si="151"/>
        <v>8.6436750004910065E-2</v>
      </c>
      <c r="I334" s="220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1">
        <f t="shared" si="145"/>
        <v>26473.820000000007</v>
      </c>
      <c r="N334" s="183">
        <f t="shared" si="149"/>
        <v>8.8246066666666692E-2</v>
      </c>
      <c r="O334" s="182">
        <f t="shared" si="159"/>
        <v>6.3076077984344434E-2</v>
      </c>
      <c r="P334" s="181" t="b">
        <f t="shared" si="153"/>
        <v>0</v>
      </c>
      <c r="Q334" s="183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3">
        <f>STDEV(D$2:D334)*SQRT(252)</f>
        <v>0.1644023055783676</v>
      </c>
      <c r="W334" s="183">
        <f>STDEV(L$2:L334)*SQRT(252)</f>
        <v>0.35680577395997881</v>
      </c>
      <c r="X334" s="173">
        <f t="shared" si="125"/>
        <v>0.53676903347685345</v>
      </c>
      <c r="Y334" s="173">
        <f t="shared" si="126"/>
        <v>0.17677986901473006</v>
      </c>
      <c r="Z334" s="794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4">
        <v>2268.9</v>
      </c>
      <c r="D335" s="170">
        <f>(C335-C334)/C334</f>
        <v>0</v>
      </c>
      <c r="E335" s="208">
        <f t="shared" si="150"/>
        <v>7.9174673236810572E-2</v>
      </c>
      <c r="F335" s="218">
        <v>5551.81</v>
      </c>
      <c r="G335" s="170">
        <f t="shared" ref="G335:G358" si="161">(F335-F334)/F334</f>
        <v>3.6154531699389529E-3</v>
      </c>
      <c r="H335" s="202">
        <f t="shared" si="151"/>
        <v>9.0364711196653499E-2</v>
      </c>
      <c r="I335" s="220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1">
        <f t="shared" si="145"/>
        <v>26978.320000000007</v>
      </c>
      <c r="N335" s="183">
        <f t="shared" si="149"/>
        <v>8.9927733333333357E-2</v>
      </c>
      <c r="O335" s="182">
        <f t="shared" si="159"/>
        <v>6.4152548046875021E-2</v>
      </c>
      <c r="P335" s="181" t="b">
        <f t="shared" si="153"/>
        <v>1</v>
      </c>
      <c r="Q335" s="183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3">
        <f>STDEV(D$2:D335)*SQRT(252)</f>
        <v>0.16415470946518282</v>
      </c>
      <c r="W335" s="183">
        <f>STDEV(L$2:L335)*SQRT(252)</f>
        <v>0.35626868426595099</v>
      </c>
      <c r="X335" s="173">
        <f t="shared" si="125"/>
        <v>0.54782304830801709</v>
      </c>
      <c r="Y335" s="173">
        <f t="shared" si="126"/>
        <v>0.18006788381935301</v>
      </c>
      <c r="Z335" s="794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4">
        <v>2275.3200000000002</v>
      </c>
      <c r="D336" s="170">
        <f>(C336-C335)/C335</f>
        <v>2.8295649874388791E-3</v>
      </c>
      <c r="E336" s="208">
        <f t="shared" si="150"/>
        <v>8.2228268107532254E-2</v>
      </c>
      <c r="F336" s="218">
        <v>5563.64</v>
      </c>
      <c r="G336" s="170">
        <f t="shared" si="161"/>
        <v>2.1308366100424776E-3</v>
      </c>
      <c r="H336" s="202">
        <f t="shared" si="151"/>
        <v>9.2688100241569718E-2</v>
      </c>
      <c r="I336" s="220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1">
        <f t="shared" si="145"/>
        <v>29085.820000000007</v>
      </c>
      <c r="N336" s="183">
        <f t="shared" si="149"/>
        <v>9.695273333333336E-2</v>
      </c>
      <c r="O336" s="182">
        <f t="shared" si="159"/>
        <v>6.9029212183235891E-2</v>
      </c>
      <c r="P336" s="181" t="b">
        <f t="shared" si="153"/>
        <v>1</v>
      </c>
      <c r="Q336" s="183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3">
        <f>STDEV(D$2:D336)*SQRT(252)</f>
        <v>0.16392298199837227</v>
      </c>
      <c r="W336" s="183">
        <f>STDEV(L$2:L336)*SQRT(252)</f>
        <v>0.35576772600589157</v>
      </c>
      <c r="X336" s="173">
        <f t="shared" si="125"/>
        <v>0.59145296255223134</v>
      </c>
      <c r="Y336" s="173">
        <f t="shared" si="126"/>
        <v>0.19402887653191103</v>
      </c>
      <c r="Z336" s="794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4">
        <v>2270.44</v>
      </c>
      <c r="D337" s="170">
        <f>(C337-C336)/C336</f>
        <v>-2.1447532654747942E-3</v>
      </c>
      <c r="E337" s="208">
        <f t="shared" si="150"/>
        <v>7.9907155495519494E-2</v>
      </c>
      <c r="F337" s="218">
        <v>5547.48</v>
      </c>
      <c r="G337" s="170">
        <f t="shared" si="161"/>
        <v>-2.9045732649849313E-3</v>
      </c>
      <c r="H337" s="202">
        <f t="shared" si="151"/>
        <v>8.9514307598640874E-2</v>
      </c>
      <c r="I337" s="220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1">
        <f t="shared" si="145"/>
        <v>26943.469999999972</v>
      </c>
      <c r="N337" s="183">
        <f t="shared" si="149"/>
        <v>8.9811566666666579E-2</v>
      </c>
      <c r="O337" s="182">
        <f t="shared" si="159"/>
        <v>6.3820378842412387E-2</v>
      </c>
      <c r="P337" s="181" t="b">
        <f t="shared" si="153"/>
        <v>0</v>
      </c>
      <c r="Q337" s="183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3">
        <f>STDEV(D$2:D337)*SQRT(252)</f>
        <v>0.1636910220978732</v>
      </c>
      <c r="W337" s="183">
        <f>STDEV(L$2:L337)*SQRT(252)</f>
        <v>0.35529082433819081</v>
      </c>
      <c r="X337" s="173">
        <f t="shared" si="125"/>
        <v>0.54866519565726068</v>
      </c>
      <c r="Y337" s="173">
        <f t="shared" si="126"/>
        <v>0.17962855911433181</v>
      </c>
      <c r="Z337" s="794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4">
        <v>2274.64</v>
      </c>
      <c r="D338" s="170">
        <f>(C338-C337)/C337</f>
        <v>1.8498617008156208E-3</v>
      </c>
      <c r="E338" s="208">
        <f t="shared" si="150"/>
        <v>8.1904834382907396E-2</v>
      </c>
      <c r="F338" s="218">
        <v>5574.12</v>
      </c>
      <c r="G338" s="170">
        <f t="shared" si="161"/>
        <v>4.8021804495014548E-3</v>
      </c>
      <c r="H338" s="202">
        <f t="shared" si="151"/>
        <v>9.4746351906043191E-2</v>
      </c>
      <c r="I338" s="220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1">
        <f t="shared" si="145"/>
        <v>27247.349999999977</v>
      </c>
      <c r="N338" s="183">
        <f t="shared" si="149"/>
        <v>9.0824499999999919E-2</v>
      </c>
      <c r="O338" s="182">
        <f t="shared" si="159"/>
        <v>6.4414851699029066E-2</v>
      </c>
      <c r="P338" s="181" t="b">
        <f t="shared" si="153"/>
        <v>0</v>
      </c>
      <c r="Q338" s="183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3">
        <f>STDEV(D$2:D338)*SQRT(252)</f>
        <v>0.1634521615646928</v>
      </c>
      <c r="W338" s="183">
        <f>STDEV(L$2:L338)*SQRT(252)</f>
        <v>0.35476017854562014</v>
      </c>
      <c r="X338" s="173">
        <f t="shared" si="125"/>
        <v>0.55566411071322819</v>
      </c>
      <c r="Y338" s="173">
        <f t="shared" si="126"/>
        <v>0.18157294869763879</v>
      </c>
      <c r="Z338" s="794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1">
        <v>42752</v>
      </c>
      <c r="C339" s="330">
        <v>2267.89</v>
      </c>
      <c r="D339" s="170">
        <f>(C339-C338)/C338</f>
        <v>-2.9675025498540428E-3</v>
      </c>
      <c r="E339" s="243">
        <f t="shared" si="150"/>
        <v>7.8694279028176703E-2</v>
      </c>
      <c r="F339" s="244">
        <v>5538.72</v>
      </c>
      <c r="G339" s="170">
        <f t="shared" si="161"/>
        <v>-6.3507782394350383E-3</v>
      </c>
      <c r="H339" s="245">
        <f t="shared" si="151"/>
        <v>8.7793860596657392E-2</v>
      </c>
      <c r="I339" s="543">
        <v>326901.49</v>
      </c>
      <c r="J339" s="247">
        <v>300000</v>
      </c>
      <c r="K339" s="247">
        <f t="shared" si="152"/>
        <v>-345.85999999998603</v>
      </c>
      <c r="L339" s="170">
        <f t="shared" si="155"/>
        <v>-1.0568763964016394E-3</v>
      </c>
      <c r="M339" s="248">
        <f t="shared" si="145"/>
        <v>26901.489999999991</v>
      </c>
      <c r="N339" s="249">
        <f t="shared" si="149"/>
        <v>8.9671633333333306E-2</v>
      </c>
      <c r="O339" s="182">
        <f t="shared" si="159"/>
        <v>6.3107059874759133E-2</v>
      </c>
      <c r="P339" s="248" t="b">
        <f t="shared" si="153"/>
        <v>1</v>
      </c>
      <c r="Q339" s="249">
        <f>COUNTIF(P$2:P339, TRUE)/(COUNTIF(P$2:P339,FALSE) + COUNTIF(P$2:P339, TRUE))</f>
        <v>0.5</v>
      </c>
      <c r="R339" s="247">
        <v>246815.4</v>
      </c>
      <c r="S339" s="247">
        <f t="shared" si="160"/>
        <v>80086.09</v>
      </c>
      <c r="T339" s="247">
        <v>-26747</v>
      </c>
      <c r="U339" s="247">
        <f t="shared" si="148"/>
        <v>53648.489999999991</v>
      </c>
      <c r="V339" s="249">
        <f>STDEV(D$2:D339)*SQRT(252)</f>
        <v>0.16323301111868488</v>
      </c>
      <c r="W339" s="249">
        <f>STDEV(L$2:L339)*SQRT(252)</f>
        <v>0.35423530326809799</v>
      </c>
      <c r="X339" s="173">
        <f t="shared" si="125"/>
        <v>0.54934741887554883</v>
      </c>
      <c r="Y339" s="173">
        <f t="shared" si="126"/>
        <v>0.17815011460615895</v>
      </c>
      <c r="Z339" s="794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1">
        <v>42753</v>
      </c>
      <c r="C340" s="330">
        <v>2271.89</v>
      </c>
      <c r="D340" s="170">
        <f t="shared" ref="D340:D348" si="162">(C340-C339)/C339</f>
        <v>1.7637539739581726E-3</v>
      </c>
      <c r="E340" s="243">
        <f t="shared" si="150"/>
        <v>8.0596830349498591E-2</v>
      </c>
      <c r="F340" s="244">
        <v>5555.65</v>
      </c>
      <c r="G340" s="170">
        <f t="shared" si="161"/>
        <v>3.0566629112862504E-3</v>
      </c>
      <c r="H340" s="245">
        <f t="shared" si="151"/>
        <v>9.1118879745468076E-2</v>
      </c>
      <c r="I340" s="543">
        <v>326777.7</v>
      </c>
      <c r="J340" s="247">
        <v>300000</v>
      </c>
      <c r="K340" s="247">
        <f t="shared" si="152"/>
        <v>-123.78999999997905</v>
      </c>
      <c r="L340" s="170">
        <f t="shared" si="155"/>
        <v>-3.7867676895562345E-4</v>
      </c>
      <c r="M340" s="248">
        <f t="shared" si="145"/>
        <v>26777.700000000012</v>
      </c>
      <c r="N340" s="249">
        <f t="shared" si="149"/>
        <v>8.9259000000000033E-2</v>
      </c>
      <c r="O340" s="182">
        <f t="shared" si="159"/>
        <v>6.2695864903846182E-2</v>
      </c>
      <c r="P340" s="248" t="b">
        <f t="shared" si="153"/>
        <v>0</v>
      </c>
      <c r="Q340" s="249">
        <f>COUNTIF(P$2:P340, TRUE)/(COUNTIF(P$2:P340,FALSE) + COUNTIF(P$2:P340, TRUE))</f>
        <v>0.49852507374631266</v>
      </c>
      <c r="R340" s="247">
        <v>244625.7</v>
      </c>
      <c r="S340" s="247">
        <f t="shared" si="160"/>
        <v>82152</v>
      </c>
      <c r="T340" s="247">
        <v>-26746</v>
      </c>
      <c r="U340" s="247">
        <f t="shared" si="148"/>
        <v>53523.700000000012</v>
      </c>
      <c r="V340" s="249">
        <f>STDEV(D$2:D340)*SQRT(252)</f>
        <v>0.16299569851885642</v>
      </c>
      <c r="W340" s="249">
        <f>STDEV(L$2:L340)*SQRT(252)</f>
        <v>0.35371066425752529</v>
      </c>
      <c r="X340" s="173">
        <f t="shared" si="125"/>
        <v>0.54761567827309232</v>
      </c>
      <c r="Y340" s="173">
        <f t="shared" si="126"/>
        <v>0.17725183671080766</v>
      </c>
      <c r="Z340" s="794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1">
        <v>42754</v>
      </c>
      <c r="C341" s="330">
        <v>2263.69</v>
      </c>
      <c r="D341" s="170">
        <f t="shared" si="162"/>
        <v>-3.6093296770529464E-3</v>
      </c>
      <c r="E341" s="243">
        <f t="shared" si="150"/>
        <v>7.6696600140788801E-2</v>
      </c>
      <c r="F341" s="244">
        <v>5540.08</v>
      </c>
      <c r="G341" s="170">
        <f t="shared" si="161"/>
        <v>-2.8025523566098855E-3</v>
      </c>
      <c r="H341" s="245">
        <f t="shared" si="151"/>
        <v>8.8060961957695888E-2</v>
      </c>
      <c r="I341" s="543">
        <v>324862.34999999998</v>
      </c>
      <c r="J341" s="247">
        <v>300000</v>
      </c>
      <c r="K341" s="247">
        <f t="shared" si="152"/>
        <v>-1915.3500000000349</v>
      </c>
      <c r="L341" s="170">
        <f t="shared" si="155"/>
        <v>-5.8613240744397029E-3</v>
      </c>
      <c r="M341" s="248">
        <f t="shared" si="145"/>
        <v>24862.349999999977</v>
      </c>
      <c r="N341" s="249">
        <f t="shared" si="149"/>
        <v>8.287449999999992E-2</v>
      </c>
      <c r="O341" s="182">
        <f t="shared" si="159"/>
        <v>5.8099637476007625E-2</v>
      </c>
      <c r="P341" s="248" t="b">
        <f t="shared" si="153"/>
        <v>0</v>
      </c>
      <c r="Q341" s="249">
        <f>COUNTIF(P$2:P341, TRUE)/(COUNTIF(P$2:P341,FALSE) + COUNTIF(P$2:P341, TRUE))</f>
        <v>0.49705882352941178</v>
      </c>
      <c r="R341" s="247">
        <v>251939.75</v>
      </c>
      <c r="S341" s="247">
        <f t="shared" si="160"/>
        <v>72922.599999999977</v>
      </c>
      <c r="T341" s="247">
        <v>-27278</v>
      </c>
      <c r="U341" s="247">
        <f t="shared" si="148"/>
        <v>52140.349999999977</v>
      </c>
      <c r="V341" s="249">
        <f>STDEV(D$2:D341)*SQRT(252)</f>
        <v>0.16278897536112508</v>
      </c>
      <c r="W341" s="249">
        <f>STDEV(L$2:L341)*SQRT(252)</f>
        <v>0.35323287120524727</v>
      </c>
      <c r="X341" s="173">
        <f t="shared" si="125"/>
        <v>0.50909160043641888</v>
      </c>
      <c r="Y341" s="173">
        <f t="shared" si="126"/>
        <v>0.16447970223656963</v>
      </c>
      <c r="Z341" s="794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1">
        <v>42755</v>
      </c>
      <c r="C342" s="330">
        <v>2271.31</v>
      </c>
      <c r="D342" s="170">
        <f t="shared" si="162"/>
        <v>3.3661852992237853E-3</v>
      </c>
      <c r="E342" s="243">
        <f t="shared" si="150"/>
        <v>8.0320960407906955E-2</v>
      </c>
      <c r="F342" s="244">
        <v>5555.33</v>
      </c>
      <c r="G342" s="170">
        <f t="shared" si="161"/>
        <v>2.7526678315114585E-3</v>
      </c>
      <c r="H342" s="245">
        <f t="shared" si="151"/>
        <v>9.1056032366400239E-2</v>
      </c>
      <c r="I342" s="543">
        <v>326822.08</v>
      </c>
      <c r="J342" s="247">
        <v>300000</v>
      </c>
      <c r="K342" s="247">
        <f t="shared" si="152"/>
        <v>1959.7300000000396</v>
      </c>
      <c r="L342" s="170">
        <f t="shared" si="155"/>
        <v>6.0324934545355584E-3</v>
      </c>
      <c r="M342" s="248">
        <f t="shared" si="145"/>
        <v>26822.080000000016</v>
      </c>
      <c r="N342" s="249">
        <f t="shared" si="149"/>
        <v>8.9406933333333383E-2</v>
      </c>
      <c r="O342" s="182">
        <f t="shared" si="159"/>
        <v>6.2559161685823789E-2</v>
      </c>
      <c r="P342" s="248" t="b">
        <f t="shared" si="153"/>
        <v>1</v>
      </c>
      <c r="Q342" s="249">
        <f>COUNTIF(P$2:P342, TRUE)/(COUNTIF(P$2:P342,FALSE) + COUNTIF(P$2:P342, TRUE))</f>
        <v>0.49853372434017595</v>
      </c>
      <c r="R342" s="247">
        <v>263368.55</v>
      </c>
      <c r="S342" s="247">
        <f t="shared" si="160"/>
        <v>63453.530000000028</v>
      </c>
      <c r="T342" s="247">
        <v>-27778</v>
      </c>
      <c r="U342" s="247">
        <f t="shared" si="148"/>
        <v>54600.080000000016</v>
      </c>
      <c r="V342" s="249">
        <f>STDEV(D$2:D342)*SQRT(252)</f>
        <v>0.16257054597852011</v>
      </c>
      <c r="W342" s="249">
        <f>STDEV(L$2:L342)*SQRT(252)</f>
        <v>0.35274115689547414</v>
      </c>
      <c r="X342" s="173">
        <f t="shared" si="125"/>
        <v>0.54995776015383757</v>
      </c>
      <c r="Y342" s="173">
        <f t="shared" si="126"/>
        <v>0.17735146711094335</v>
      </c>
      <c r="Z342" s="794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4">
        <v>2265.1999999999998</v>
      </c>
      <c r="D343" s="170">
        <f t="shared" si="162"/>
        <v>-2.6900775323492289E-3</v>
      </c>
      <c r="E343" s="208">
        <f t="shared" si="150"/>
        <v>7.7414813264587698E-2</v>
      </c>
      <c r="F343" s="218">
        <v>5552.94</v>
      </c>
      <c r="G343" s="170">
        <f t="shared" si="161"/>
        <v>-4.3021746682921221E-4</v>
      </c>
      <c r="H343" s="202">
        <f t="shared" si="151"/>
        <v>9.0586641003986834E-2</v>
      </c>
      <c r="I343" s="220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1">
        <f t="shared" si="145"/>
        <v>24687.640000000014</v>
      </c>
      <c r="N343" s="183">
        <f t="shared" si="149"/>
        <v>8.2292133333333378E-2</v>
      </c>
      <c r="O343" s="182">
        <f t="shared" si="159"/>
        <v>5.7251812761904795E-2</v>
      </c>
      <c r="P343" s="181" t="b">
        <f t="shared" si="153"/>
        <v>0</v>
      </c>
      <c r="Q343" s="183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3">
        <f>STDEV(D$2:D343)*SQRT(252)</f>
        <v>0.16235136583576509</v>
      </c>
      <c r="W343" s="183">
        <f>STDEV(L$2:L343)*SQRT(252)</f>
        <v>0.3522774110686045</v>
      </c>
      <c r="X343" s="173">
        <f t="shared" si="125"/>
        <v>0.5068767540679654</v>
      </c>
      <c r="Y343" s="173">
        <f t="shared" si="126"/>
        <v>0.16251911409316919</v>
      </c>
      <c r="Z343" s="794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4">
        <v>2280.0700000000002</v>
      </c>
      <c r="D344" s="170">
        <f t="shared" si="162"/>
        <v>6.5645417623169467E-3</v>
      </c>
      <c r="E344" s="208">
        <f t="shared" si="150"/>
        <v>8.4487547801602003E-2</v>
      </c>
      <c r="F344" s="218">
        <v>5600.95</v>
      </c>
      <c r="G344" s="170">
        <f t="shared" si="161"/>
        <v>8.6458704758200552E-3</v>
      </c>
      <c r="H344" s="202">
        <f t="shared" si="151"/>
        <v>0.10001571184476697</v>
      </c>
      <c r="I344" s="220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1">
        <f t="shared" ref="M344:M361" si="163">I344-J344</f>
        <v>28611.700000000012</v>
      </c>
      <c r="N344" s="183">
        <f t="shared" si="149"/>
        <v>9.5372333333333378E-2</v>
      </c>
      <c r="O344" s="182">
        <f t="shared" si="159"/>
        <v>6.62257504752852E-2</v>
      </c>
      <c r="P344" s="181" t="b">
        <f t="shared" si="153"/>
        <v>1</v>
      </c>
      <c r="Q344" s="183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3">
        <f>STDEV(D$2:D344)*SQRT(252)</f>
        <v>0.16220313783315865</v>
      </c>
      <c r="W344" s="183">
        <f>STDEV(L$2:L344)*SQRT(252)</f>
        <v>0.35189592517189633</v>
      </c>
      <c r="X344" s="173">
        <f t="shared" si="125"/>
        <v>0.58798081595334417</v>
      </c>
      <c r="Y344" s="173">
        <f t="shared" si="126"/>
        <v>0.18819698023765075</v>
      </c>
      <c r="Z344" s="794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4">
        <v>2298.37</v>
      </c>
      <c r="D345" s="170">
        <f t="shared" si="162"/>
        <v>8.0260693750629254E-3</v>
      </c>
      <c r="E345" s="208">
        <f t="shared" si="150"/>
        <v>9.3191720096649527E-2</v>
      </c>
      <c r="F345" s="218">
        <v>5656.33</v>
      </c>
      <c r="G345" s="170">
        <f t="shared" si="161"/>
        <v>9.887608352154565E-3</v>
      </c>
      <c r="H345" s="202">
        <f t="shared" si="151"/>
        <v>0.11089223638470455</v>
      </c>
      <c r="I345" s="220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1">
        <f t="shared" si="163"/>
        <v>31080.080000000016</v>
      </c>
      <c r="N345" s="183">
        <f t="shared" si="149"/>
        <v>0.10360026666666672</v>
      </c>
      <c r="O345" s="182">
        <f t="shared" si="159"/>
        <v>7.1802651612903265E-2</v>
      </c>
      <c r="P345" s="181" t="b">
        <f t="shared" si="153"/>
        <v>0</v>
      </c>
      <c r="Q345" s="183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3">
        <f>STDEV(D$2:D345)*SQRT(252)</f>
        <v>0.16210153500122582</v>
      </c>
      <c r="W345" s="183">
        <f>STDEV(L$2:L345)*SQRT(252)</f>
        <v>0.35142892173835949</v>
      </c>
      <c r="X345" s="173">
        <f t="shared" si="125"/>
        <v>0.63910725253701817</v>
      </c>
      <c r="Y345" s="173">
        <f t="shared" si="126"/>
        <v>0.20431628466356189</v>
      </c>
      <c r="Z345" s="794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4">
        <v>2296.6799999999998</v>
      </c>
      <c r="D346" s="170">
        <f t="shared" si="162"/>
        <v>-7.3530371524169506E-4</v>
      </c>
      <c r="E346" s="208">
        <f t="shared" si="150"/>
        <v>9.2387892163390994E-2</v>
      </c>
      <c r="F346" s="218">
        <v>5655.17</v>
      </c>
      <c r="G346" s="170">
        <f t="shared" si="161"/>
        <v>-2.0507997234953663E-4</v>
      </c>
      <c r="H346" s="202">
        <f t="shared" si="151"/>
        <v>0.11066441463558345</v>
      </c>
      <c r="I346" s="220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1">
        <f t="shared" si="163"/>
        <v>30371.859999999986</v>
      </c>
      <c r="N346" s="183">
        <f t="shared" si="149"/>
        <v>0.10123953333333328</v>
      </c>
      <c r="O346" s="182">
        <f t="shared" si="159"/>
        <v>7.0033597632575717E-2</v>
      </c>
      <c r="P346" s="181" t="b">
        <f t="shared" si="153"/>
        <v>0</v>
      </c>
      <c r="Q346" s="183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3">
        <f>STDEV(D$2:D346)*SQRT(252)</f>
        <v>0.16186754333702152</v>
      </c>
      <c r="W346" s="183">
        <f>STDEV(L$2:L346)*SQRT(252)</f>
        <v>0.35092507165589804</v>
      </c>
      <c r="X346" s="173">
        <f t="shared" si="125"/>
        <v>0.62544677732301313</v>
      </c>
      <c r="Y346" s="173">
        <f t="shared" si="126"/>
        <v>0.19956852128606997</v>
      </c>
      <c r="Z346" s="794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4">
        <v>2294.69</v>
      </c>
      <c r="D347" s="170">
        <f t="shared" si="162"/>
        <v>-8.6646811919805194E-4</v>
      </c>
      <c r="E347" s="208">
        <f t="shared" si="150"/>
        <v>9.1441372881033461E-2</v>
      </c>
      <c r="F347" s="218">
        <v>5660.78</v>
      </c>
      <c r="G347" s="170">
        <f t="shared" si="161"/>
        <v>9.9201261854191345E-4</v>
      </c>
      <c r="H347" s="202">
        <f t="shared" si="151"/>
        <v>0.11176620774986742</v>
      </c>
      <c r="I347" s="220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1">
        <f t="shared" si="163"/>
        <v>28778.719999999972</v>
      </c>
      <c r="N347" s="183">
        <f t="shared" si="149"/>
        <v>9.5929066666666576E-2</v>
      </c>
      <c r="O347" s="182">
        <f t="shared" si="159"/>
        <v>6.6234577693761745E-2</v>
      </c>
      <c r="P347" s="181" t="b">
        <f t="shared" si="153"/>
        <v>0</v>
      </c>
      <c r="Q347" s="183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3">
        <f>STDEV(D$2:D347)*SQRT(252)</f>
        <v>0.16163521958957874</v>
      </c>
      <c r="W347" s="183">
        <f>STDEV(L$2:L347)*SQRT(252)</f>
        <v>0.35044708647568024</v>
      </c>
      <c r="X347" s="173">
        <f t="shared" ref="X347:X410" si="164">N347/V347</f>
        <v>0.59349111480930916</v>
      </c>
      <c r="Y347" s="173">
        <f t="shared" ref="Y347:Y410" si="165">O347/W347</f>
        <v>0.18900022357115012</v>
      </c>
      <c r="Z347" s="794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1">
        <v>42765</v>
      </c>
      <c r="C348" s="330">
        <v>2280.9</v>
      </c>
      <c r="D348" s="170">
        <f t="shared" si="162"/>
        <v>-6.0095263412486928E-3</v>
      </c>
      <c r="E348" s="243">
        <f t="shared" si="150"/>
        <v>8.488232720077625E-2</v>
      </c>
      <c r="F348" s="244">
        <v>5613.71</v>
      </c>
      <c r="G348" s="170">
        <f t="shared" si="161"/>
        <v>-8.3151085186139919E-3</v>
      </c>
      <c r="H348" s="245">
        <f t="shared" si="151"/>
        <v>0.10252175108509932</v>
      </c>
      <c r="I348" s="543">
        <v>323091.52</v>
      </c>
      <c r="J348" s="247">
        <v>300000</v>
      </c>
      <c r="K348" s="247">
        <f t="shared" si="152"/>
        <v>-5687.1999999999534</v>
      </c>
      <c r="L348" s="170">
        <f t="shared" si="155"/>
        <v>-1.7297956510080561E-2</v>
      </c>
      <c r="M348" s="248">
        <f t="shared" si="163"/>
        <v>23091.520000000019</v>
      </c>
      <c r="N348" s="249">
        <f t="shared" si="149"/>
        <v>7.6971733333333389E-2</v>
      </c>
      <c r="O348" s="182">
        <f t="shared" si="159"/>
        <v>5.2845724812030113E-2</v>
      </c>
      <c r="P348" s="248" t="b">
        <f t="shared" si="153"/>
        <v>0</v>
      </c>
      <c r="Q348" s="249">
        <f>COUNTIF(P$2:P348, TRUE)/(COUNTIF(P$2:P348,FALSE) + COUNTIF(P$2:P348, TRUE))</f>
        <v>0.49279538904899134</v>
      </c>
      <c r="R348" s="247">
        <v>273132.59999999998</v>
      </c>
      <c r="S348" s="247">
        <f t="shared" si="160"/>
        <v>49958.920000000042</v>
      </c>
      <c r="T348" s="247">
        <v>-28819</v>
      </c>
      <c r="U348" s="247">
        <f t="shared" si="148"/>
        <v>51910.520000000019</v>
      </c>
      <c r="V348" s="249">
        <f>STDEV(D$2:D348)*SQRT(252)</f>
        <v>0.16149074119515683</v>
      </c>
      <c r="W348" s="249">
        <f>STDEV(L$2:L348)*SQRT(252)</f>
        <v>0.35027731512032595</v>
      </c>
      <c r="X348" s="173">
        <f t="shared" si="164"/>
        <v>0.47663248532815455</v>
      </c>
      <c r="Y348" s="173">
        <f t="shared" si="165"/>
        <v>0.15086824790202799</v>
      </c>
      <c r="Z348" s="794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1">
        <v>42766</v>
      </c>
      <c r="C349" s="330">
        <v>2278.87</v>
      </c>
      <c r="D349" s="170">
        <f t="shared" ref="D349:D363" si="167">(C349-C348)/C348</f>
        <v>-8.8999956157665837E-4</v>
      </c>
      <c r="E349" s="243">
        <f t="shared" si="150"/>
        <v>8.3916782405205295E-2</v>
      </c>
      <c r="F349" s="244">
        <v>5614.78</v>
      </c>
      <c r="G349" s="170">
        <f t="shared" si="161"/>
        <v>1.9060478720840743E-4</v>
      </c>
      <c r="H349" s="245">
        <f t="shared" si="151"/>
        <v>0.10273189700885754</v>
      </c>
      <c r="I349" s="573">
        <v>326440.17</v>
      </c>
      <c r="J349" s="247">
        <v>300000</v>
      </c>
      <c r="K349" s="247">
        <f t="shared" si="152"/>
        <v>3348.6499999999651</v>
      </c>
      <c r="L349" s="170">
        <f t="shared" si="155"/>
        <v>1.0364400774121107E-2</v>
      </c>
      <c r="M349" s="464">
        <f t="shared" si="163"/>
        <v>26440.169999999984</v>
      </c>
      <c r="N349" s="249">
        <f t="shared" si="149"/>
        <v>8.8133899999999946E-2</v>
      </c>
      <c r="O349" s="182">
        <f t="shared" si="159"/>
        <v>6.039569788930578E-2</v>
      </c>
      <c r="P349" s="248" t="b">
        <f t="shared" si="153"/>
        <v>1</v>
      </c>
      <c r="Q349" s="249">
        <f>COUNTIF(P$2:P349, TRUE)/(COUNTIF(P$2:P349,FALSE) + COUNTIF(P$2:P349, TRUE))</f>
        <v>0.4942528735632184</v>
      </c>
      <c r="R349" s="247">
        <v>269996.05</v>
      </c>
      <c r="S349" s="247">
        <f t="shared" si="160"/>
        <v>56444.119999999995</v>
      </c>
      <c r="T349" s="247">
        <v>-28046</v>
      </c>
      <c r="U349" s="247">
        <f t="shared" ref="U349:U361" si="168">M349-T349</f>
        <v>54486.169999999984</v>
      </c>
      <c r="V349" s="249">
        <f>STDEV(D$2:D349)*SQRT(252)</f>
        <v>0.16126032344317026</v>
      </c>
      <c r="W349" s="249">
        <f>STDEV(L$2:L349)*SQRT(252)</f>
        <v>0.34986792755966306</v>
      </c>
      <c r="X349" s="173">
        <f t="shared" si="164"/>
        <v>0.5465318319980873</v>
      </c>
      <c r="Y349" s="173">
        <f t="shared" si="165"/>
        <v>0.17262427656792431</v>
      </c>
      <c r="Z349" s="794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1">
        <v>42767</v>
      </c>
      <c r="C350" s="330">
        <v>2279.5500000000002</v>
      </c>
      <c r="D350" s="170">
        <f t="shared" si="167"/>
        <v>2.9839350204280678E-4</v>
      </c>
      <c r="E350" s="243">
        <f t="shared" si="150"/>
        <v>8.4240216129830167E-2</v>
      </c>
      <c r="F350" s="244">
        <v>5642.65</v>
      </c>
      <c r="G350" s="170">
        <f t="shared" si="161"/>
        <v>4.9636851310291569E-3</v>
      </c>
      <c r="H350" s="245">
        <f t="shared" si="151"/>
        <v>0.10820551092955198</v>
      </c>
      <c r="I350" s="543">
        <v>325798.71999999997</v>
      </c>
      <c r="J350" s="247">
        <v>300000</v>
      </c>
      <c r="K350" s="247">
        <f t="shared" si="152"/>
        <v>-641.45000000001164</v>
      </c>
      <c r="L350" s="170">
        <f t="shared" si="155"/>
        <v>-1.9649848852854464E-3</v>
      </c>
      <c r="M350" s="576">
        <f t="shared" si="163"/>
        <v>25798.719999999972</v>
      </c>
      <c r="N350" s="249">
        <f t="shared" ref="N350:N361" si="169">M350/J350</f>
        <v>8.5995733333333241E-2</v>
      </c>
      <c r="O350" s="182">
        <f t="shared" si="159"/>
        <v>5.8820115355805183E-2</v>
      </c>
      <c r="P350" s="248" t="b">
        <f t="shared" si="153"/>
        <v>0</v>
      </c>
      <c r="Q350" s="249">
        <f>COUNTIF(P$2:P350, TRUE)/(COUNTIF(P$2:P350,FALSE) + COUNTIF(P$2:P350, TRUE))</f>
        <v>0.49283667621776506</v>
      </c>
      <c r="R350" s="247">
        <v>267944.34999999998</v>
      </c>
      <c r="S350" s="247">
        <f t="shared" si="160"/>
        <v>57854.369999999995</v>
      </c>
      <c r="T350" s="247">
        <v>-28725</v>
      </c>
      <c r="U350" s="247">
        <f t="shared" si="168"/>
        <v>54523.719999999972</v>
      </c>
      <c r="V350" s="249">
        <f>STDEV(D$2:D350)*SQRT(252)</f>
        <v>0.1610277927077004</v>
      </c>
      <c r="W350" s="249">
        <f>STDEV(L$2:L350)*SQRT(252)</f>
        <v>0.34937088827322704</v>
      </c>
      <c r="X350" s="173">
        <f t="shared" si="164"/>
        <v>0.53404280023532169</v>
      </c>
      <c r="Y350" s="173">
        <f t="shared" si="165"/>
        <v>0.16836009332810997</v>
      </c>
      <c r="Z350" s="794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1">
        <v>42768</v>
      </c>
      <c r="C351" s="330">
        <v>2280.85</v>
      </c>
      <c r="D351" s="170">
        <f t="shared" si="167"/>
        <v>5.7028799543757628E-4</v>
      </c>
      <c r="E351" s="243">
        <f t="shared" si="150"/>
        <v>8.4858545309259639E-2</v>
      </c>
      <c r="F351" s="244">
        <v>5636.19</v>
      </c>
      <c r="G351" s="170">
        <f t="shared" si="161"/>
        <v>-1.1448521528005524E-3</v>
      </c>
      <c r="H351" s="245">
        <f t="shared" si="151"/>
        <v>0.10693677946461885</v>
      </c>
      <c r="I351" s="543">
        <v>326587.24</v>
      </c>
      <c r="J351" s="247">
        <v>300000</v>
      </c>
      <c r="K351" s="247">
        <f t="shared" si="152"/>
        <v>788.52000000001863</v>
      </c>
      <c r="L351" s="170">
        <f t="shared" si="155"/>
        <v>2.4202673356114434E-3</v>
      </c>
      <c r="M351" s="576">
        <f t="shared" si="163"/>
        <v>26587.239999999991</v>
      </c>
      <c r="N351" s="249">
        <f t="shared" si="169"/>
        <v>8.8624133333333299E-2</v>
      </c>
      <c r="O351" s="182">
        <f t="shared" si="159"/>
        <v>6.0504606915887826E-2</v>
      </c>
      <c r="P351" s="248" t="b">
        <f t="shared" si="153"/>
        <v>1</v>
      </c>
      <c r="Q351" s="249">
        <f>COUNTIF(P$2:P351, TRUE)/(COUNTIF(P$2:P351,FALSE) + COUNTIF(P$2:P351, TRUE))</f>
        <v>0.49428571428571427</v>
      </c>
      <c r="R351" s="247">
        <v>272398.15000000002</v>
      </c>
      <c r="S351" s="247">
        <f t="shared" si="160"/>
        <v>54189.089999999967</v>
      </c>
      <c r="T351" s="247">
        <v>-29233</v>
      </c>
      <c r="U351" s="247">
        <f t="shared" si="168"/>
        <v>55820.239999999991</v>
      </c>
      <c r="V351" s="249">
        <f>STDEV(D$2:D351)*SQRT(252)</f>
        <v>0.16079644900185747</v>
      </c>
      <c r="W351" s="249">
        <f>STDEV(L$2:L351)*SQRT(252)</f>
        <v>0.34887158546682562</v>
      </c>
      <c r="X351" s="173">
        <f t="shared" si="164"/>
        <v>0.5511572791779098</v>
      </c>
      <c r="Y351" s="173">
        <f t="shared" si="165"/>
        <v>0.17342944921962195</v>
      </c>
      <c r="Z351" s="794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1">
        <v>42769</v>
      </c>
      <c r="C352" s="330">
        <v>2297.42</v>
      </c>
      <c r="D352" s="170">
        <f t="shared" si="167"/>
        <v>7.2648354780016945E-3</v>
      </c>
      <c r="E352" s="243">
        <f t="shared" ref="E352:E361" si="170">(C352-$C$2)/$C$2</f>
        <v>9.2739864157835666E-2</v>
      </c>
      <c r="F352" s="244">
        <v>5666.76</v>
      </c>
      <c r="G352" s="170">
        <f t="shared" si="161"/>
        <v>5.4238767678166672E-3</v>
      </c>
      <c r="H352" s="245">
        <f t="shared" ref="H352:H361" si="171">(F352-F$2)/F$2</f>
        <v>0.1129406681461988</v>
      </c>
      <c r="I352" s="543">
        <v>330217.57</v>
      </c>
      <c r="J352" s="247">
        <v>300000</v>
      </c>
      <c r="K352" s="247">
        <f t="shared" ref="K352:K361" si="172">I352-I351-J352+J351</f>
        <v>3630.3300000000163</v>
      </c>
      <c r="L352" s="170">
        <f t="shared" si="155"/>
        <v>1.1115957867796723E-2</v>
      </c>
      <c r="M352" s="576">
        <f t="shared" si="163"/>
        <v>30217.570000000007</v>
      </c>
      <c r="N352" s="249">
        <f t="shared" si="169"/>
        <v>0.10072523333333336</v>
      </c>
      <c r="O352" s="182">
        <f t="shared" si="159"/>
        <v>6.8637857229477628E-2</v>
      </c>
      <c r="P352" s="248" t="b">
        <f t="shared" ref="P352:P361" si="173">L352&gt;D352</f>
        <v>1</v>
      </c>
      <c r="Q352" s="249">
        <f>COUNTIF(P$2:P352, TRUE)/(COUNTIF(P$2:P352,FALSE) + COUNTIF(P$2:P352, TRUE))</f>
        <v>0.49572649572649574</v>
      </c>
      <c r="R352" s="247">
        <v>260496.3</v>
      </c>
      <c r="S352" s="247">
        <f t="shared" si="160"/>
        <v>69721.270000000019</v>
      </c>
      <c r="T352" s="247">
        <v>-28712</v>
      </c>
      <c r="U352" s="247">
        <f t="shared" si="168"/>
        <v>58929.570000000007</v>
      </c>
      <c r="V352" s="249">
        <f>STDEV(D$2:D352)*SQRT(252)</f>
        <v>0.16067512606366424</v>
      </c>
      <c r="W352" s="249">
        <f>STDEV(L$2:L352)*SQRT(252)</f>
        <v>0.34848319217701207</v>
      </c>
      <c r="X352" s="173">
        <f t="shared" si="164"/>
        <v>0.62688753263167218</v>
      </c>
      <c r="Y352" s="173">
        <f t="shared" si="165"/>
        <v>0.19696174383817347</v>
      </c>
      <c r="Z352" s="794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4">
        <v>2292.56</v>
      </c>
      <c r="D353" s="170">
        <f t="shared" si="167"/>
        <v>-2.115416423640487E-3</v>
      </c>
      <c r="E353" s="208">
        <f t="shared" si="170"/>
        <v>9.0428264302429506E-2</v>
      </c>
      <c r="F353" s="218">
        <v>5663.55</v>
      </c>
      <c r="G353" s="170">
        <f t="shared" si="161"/>
        <v>-5.6646125828516407E-4</v>
      </c>
      <c r="H353" s="202">
        <f t="shared" si="171"/>
        <v>0.11231023037492398</v>
      </c>
      <c r="I353" s="220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1">
        <f t="shared" si="163"/>
        <v>24431.869999999995</v>
      </c>
      <c r="N353" s="183">
        <f t="shared" si="169"/>
        <v>8.1439566666666657E-2</v>
      </c>
      <c r="O353" s="182">
        <f t="shared" si="159"/>
        <v>5.5187016187384037E-2</v>
      </c>
      <c r="P353" s="181" t="b">
        <f t="shared" si="173"/>
        <v>0</v>
      </c>
      <c r="Q353" s="183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3">
        <f>STDEV(D$2:D353)*SQRT(252)</f>
        <v>0.16045852618505879</v>
      </c>
      <c r="W353" s="183">
        <f>STDEV(L$2:L353)*SQRT(252)</f>
        <v>0.34832898633424447</v>
      </c>
      <c r="X353" s="173">
        <f t="shared" si="164"/>
        <v>0.50754278132120823</v>
      </c>
      <c r="Y353" s="173">
        <f t="shared" si="165"/>
        <v>0.15843360257830646</v>
      </c>
      <c r="Z353" s="794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4">
        <v>2293.08</v>
      </c>
      <c r="D354" s="170">
        <f t="shared" si="167"/>
        <v>2.2682067208709122E-4</v>
      </c>
      <c r="E354" s="208">
        <f t="shared" si="170"/>
        <v>9.0675595974201342E-2</v>
      </c>
      <c r="F354" s="218">
        <v>5674.21</v>
      </c>
      <c r="G354" s="170">
        <f t="shared" si="161"/>
        <v>1.8822116870160683E-3</v>
      </c>
      <c r="H354" s="202">
        <f t="shared" si="171"/>
        <v>0.11440383369012319</v>
      </c>
      <c r="I354" s="220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1">
        <f t="shared" si="163"/>
        <v>21983.640000000014</v>
      </c>
      <c r="N354" s="183">
        <f t="shared" si="169"/>
        <v>7.3278800000000047E-2</v>
      </c>
      <c r="O354" s="182">
        <f t="shared" si="159"/>
        <v>4.9564966111111143E-2</v>
      </c>
      <c r="P354" s="181" t="b">
        <f t="shared" si="173"/>
        <v>0</v>
      </c>
      <c r="Q354" s="183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3">
        <f>STDEV(D$2:D354)*SQRT(252)</f>
        <v>0.16022980090956176</v>
      </c>
      <c r="W354" s="183">
        <f>STDEV(L$2:L354)*SQRT(252)</f>
        <v>0.34790227833602405</v>
      </c>
      <c r="X354" s="173">
        <f t="shared" si="164"/>
        <v>0.45733564907417362</v>
      </c>
      <c r="Y354" s="173">
        <f t="shared" si="165"/>
        <v>0.14246806990794825</v>
      </c>
      <c r="Z354" s="794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4">
        <v>2294.67</v>
      </c>
      <c r="D355" s="170">
        <f t="shared" si="167"/>
        <v>6.9339054895605282E-4</v>
      </c>
      <c r="E355" s="208">
        <f t="shared" si="170"/>
        <v>9.1431860124426861E-2</v>
      </c>
      <c r="F355" s="218">
        <v>5682.45</v>
      </c>
      <c r="G355" s="170">
        <f t="shared" si="161"/>
        <v>1.4521845331772673E-3</v>
      </c>
      <c r="H355" s="202">
        <f t="shared" si="171"/>
        <v>0.11602215370112144</v>
      </c>
      <c r="I355" s="220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1">
        <f t="shared" si="163"/>
        <v>20220.330000000016</v>
      </c>
      <c r="N355" s="183">
        <f t="shared" si="169"/>
        <v>6.7401100000000061E-2</v>
      </c>
      <c r="O355" s="182">
        <f t="shared" si="159"/>
        <v>4.5505086460258824E-2</v>
      </c>
      <c r="P355" s="181" t="b">
        <f t="shared" si="173"/>
        <v>0</v>
      </c>
      <c r="Q355" s="183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3">
        <f>STDEV(D$2:D355)*SQRT(252)</f>
        <v>0.16000238989195567</v>
      </c>
      <c r="W355" s="183">
        <f>STDEV(L$2:L355)*SQRT(252)</f>
        <v>0.34744654612529025</v>
      </c>
      <c r="X355" s="173">
        <f t="shared" si="164"/>
        <v>0.42125058285387984</v>
      </c>
      <c r="Y355" s="173">
        <f t="shared" si="165"/>
        <v>0.13097003544208369</v>
      </c>
      <c r="Z355" s="794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4">
        <v>2307.87</v>
      </c>
      <c r="D356" s="170">
        <f t="shared" si="167"/>
        <v>5.7524611382027994E-3</v>
      </c>
      <c r="E356" s="208">
        <f t="shared" si="170"/>
        <v>9.7710279484789025E-2</v>
      </c>
      <c r="F356" s="218">
        <v>5715.18</v>
      </c>
      <c r="G356" s="170">
        <f t="shared" si="161"/>
        <v>5.7598395058470336E-3</v>
      </c>
      <c r="H356" s="202">
        <f t="shared" si="171"/>
        <v>0.12245026219140964</v>
      </c>
      <c r="I356" s="220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1">
        <f t="shared" si="163"/>
        <v>20817.130000000005</v>
      </c>
      <c r="N356" s="183">
        <f t="shared" si="169"/>
        <v>6.9390433333333348E-2</v>
      </c>
      <c r="O356" s="182">
        <f t="shared" si="159"/>
        <v>4.676172652214023E-2</v>
      </c>
      <c r="P356" s="181" t="b">
        <f t="shared" si="173"/>
        <v>0</v>
      </c>
      <c r="Q356" s="183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3">
        <f>STDEV(D$2:D356)*SQRT(252)</f>
        <v>0.15984184975435473</v>
      </c>
      <c r="W356" s="183">
        <f>STDEV(L$2:L356)*SQRT(252)</f>
        <v>0.34695557071098138</v>
      </c>
      <c r="X356" s="173">
        <f t="shared" si="164"/>
        <v>0.43411930880412547</v>
      </c>
      <c r="Y356" s="173">
        <f t="shared" si="165"/>
        <v>0.13477727544860021</v>
      </c>
      <c r="Z356" s="794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4">
        <v>2316.1</v>
      </c>
      <c r="D357" s="170">
        <f t="shared" si="167"/>
        <v>3.566058746809837E-3</v>
      </c>
      <c r="E357" s="208">
        <f t="shared" si="170"/>
        <v>0.10162477882840883</v>
      </c>
      <c r="F357" s="218">
        <v>5734.12</v>
      </c>
      <c r="G357" s="170">
        <f t="shared" si="161"/>
        <v>3.3139813619167896E-3</v>
      </c>
      <c r="H357" s="202">
        <f t="shared" si="171"/>
        <v>0.12617004143999058</v>
      </c>
      <c r="I357" s="220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1">
        <f t="shared" si="163"/>
        <v>24003.010000000009</v>
      </c>
      <c r="N357" s="183">
        <f t="shared" si="169"/>
        <v>8.0010033333333369E-2</v>
      </c>
      <c r="O357" s="182">
        <f t="shared" si="159"/>
        <v>5.3818903637200759E-2</v>
      </c>
      <c r="P357" s="181" t="b">
        <f t="shared" si="173"/>
        <v>1</v>
      </c>
      <c r="Q357" s="183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3">
        <f>STDEV(D$2:D357)*SQRT(252)</f>
        <v>0.15963944268127239</v>
      </c>
      <c r="W357" s="183">
        <f>STDEV(L$2:L357)*SQRT(252)</f>
        <v>0.34655330158164083</v>
      </c>
      <c r="X357" s="173">
        <f t="shared" si="164"/>
        <v>0.50119213641378801</v>
      </c>
      <c r="Y357" s="173">
        <f t="shared" si="165"/>
        <v>0.15529762201536013</v>
      </c>
      <c r="Z357" s="794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1">
        <v>42779</v>
      </c>
      <c r="C358" s="330">
        <v>2328.25</v>
      </c>
      <c r="D358" s="170">
        <f t="shared" si="167"/>
        <v>5.2458874832693285E-3</v>
      </c>
      <c r="E358" s="243">
        <f t="shared" si="170"/>
        <v>0.10740377846692412</v>
      </c>
      <c r="F358" s="244">
        <v>5763.95</v>
      </c>
      <c r="G358" s="170">
        <f t="shared" si="161"/>
        <v>5.2021931874463613E-3</v>
      </c>
      <c r="H358" s="245">
        <f t="shared" si="171"/>
        <v>0.1320285955574759</v>
      </c>
      <c r="I358" s="543">
        <v>323021.71000000002</v>
      </c>
      <c r="J358" s="247">
        <v>300000</v>
      </c>
      <c r="K358" s="247">
        <f t="shared" si="172"/>
        <v>-981.29999999998836</v>
      </c>
      <c r="L358" s="170">
        <f t="shared" si="155"/>
        <v>-3.0286755669337402E-3</v>
      </c>
      <c r="M358" s="576">
        <f t="shared" si="163"/>
        <v>23021.710000000021</v>
      </c>
      <c r="N358" s="249">
        <f t="shared" si="169"/>
        <v>7.6739033333333401E-2</v>
      </c>
      <c r="O358" s="182">
        <f t="shared" si="159"/>
        <v>5.1335040155677705E-2</v>
      </c>
      <c r="P358" s="248" t="b">
        <f t="shared" si="173"/>
        <v>0</v>
      </c>
      <c r="Q358" s="249">
        <f>COUNTIF(P$2:P358, TRUE)/(COUNTIF(P$2:P358,FALSE) + COUNTIF(P$2:P358, TRUE))</f>
        <v>0.49019607843137253</v>
      </c>
      <c r="R358" s="247">
        <v>303829.84999999998</v>
      </c>
      <c r="S358" s="247">
        <f t="shared" si="160"/>
        <v>19191.860000000044</v>
      </c>
      <c r="T358" s="247">
        <v>-28482</v>
      </c>
      <c r="U358" s="247">
        <f t="shared" si="168"/>
        <v>51503.710000000021</v>
      </c>
      <c r="V358" s="249">
        <f>STDEV(D$2:D358)*SQRT(252)</f>
        <v>0.15946823741298166</v>
      </c>
      <c r="W358" s="249">
        <f>STDEV(L$2:L358)*SQRT(252)</f>
        <v>0.34607892866590223</v>
      </c>
      <c r="X358" s="173">
        <f t="shared" si="164"/>
        <v>0.48121829511791159</v>
      </c>
      <c r="Y358" s="173">
        <f t="shared" si="165"/>
        <v>0.14833333064676568</v>
      </c>
      <c r="Z358" s="794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1">
        <v>42780</v>
      </c>
      <c r="C359" s="330">
        <v>2337.58</v>
      </c>
      <c r="D359" s="170">
        <f t="shared" si="167"/>
        <v>4.0073016213894247E-3</v>
      </c>
      <c r="E359" s="243">
        <f t="shared" si="170"/>
        <v>0.1118414794239074</v>
      </c>
      <c r="F359" s="244">
        <v>5782.57</v>
      </c>
      <c r="G359" s="170">
        <f>(F359-F358)/F358</f>
        <v>3.2304235810511699E-3</v>
      </c>
      <c r="H359" s="245">
        <f t="shared" si="171"/>
        <v>0.135685527426989</v>
      </c>
      <c r="I359" s="543">
        <v>323822.24</v>
      </c>
      <c r="J359" s="247">
        <v>300000</v>
      </c>
      <c r="K359" s="247">
        <f t="shared" si="172"/>
        <v>800.52999999996973</v>
      </c>
      <c r="L359" s="170">
        <f t="shared" si="155"/>
        <v>2.4782544801709139E-3</v>
      </c>
      <c r="M359" s="576">
        <f t="shared" si="163"/>
        <v>23822.239999999991</v>
      </c>
      <c r="N359" s="249">
        <f t="shared" si="169"/>
        <v>7.9407466666666635E-2</v>
      </c>
      <c r="O359" s="182">
        <f t="shared" si="159"/>
        <v>5.3022993053016436E-2</v>
      </c>
      <c r="P359" s="248" t="b">
        <f t="shared" si="173"/>
        <v>0</v>
      </c>
      <c r="Q359" s="249">
        <f>COUNTIF(P$2:P359, TRUE)/(COUNTIF(P$2:P359,FALSE) + COUNTIF(P$2:P359, TRUE))</f>
        <v>0.48882681564245811</v>
      </c>
      <c r="R359" s="247">
        <v>305870.8</v>
      </c>
      <c r="S359" s="247">
        <f t="shared" si="160"/>
        <v>17951.440000000002</v>
      </c>
      <c r="T359" s="247">
        <v>-29398</v>
      </c>
      <c r="U359" s="247">
        <f t="shared" si="168"/>
        <v>53220.239999999991</v>
      </c>
      <c r="V359" s="249">
        <f>STDEV(D$2:D359)*SQRT(252)</f>
        <v>0.15927396470902513</v>
      </c>
      <c r="W359" s="249">
        <f>STDEV(L$2:L359)*SQRT(252)</f>
        <v>0.34559585796203202</v>
      </c>
      <c r="X359" s="173">
        <f t="shared" si="164"/>
        <v>0.49855898804135862</v>
      </c>
      <c r="Y359" s="173">
        <f t="shared" si="165"/>
        <v>0.15342485111277482</v>
      </c>
      <c r="Z359" s="794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1">
        <v>42781</v>
      </c>
      <c r="C360" s="330">
        <v>2349.25</v>
      </c>
      <c r="D360" s="170">
        <f t="shared" si="167"/>
        <v>4.9923425080639263E-3</v>
      </c>
      <c r="E360" s="243">
        <f t="shared" si="170"/>
        <v>0.11739217290386406</v>
      </c>
      <c r="F360" s="244">
        <v>5819.44</v>
      </c>
      <c r="G360" s="170">
        <f t="shared" ref="G360:G367" si="174">(F360-F359)/F359</f>
        <v>6.376057704446274E-3</v>
      </c>
      <c r="H360" s="245">
        <f t="shared" si="171"/>
        <v>0.14292672388396799</v>
      </c>
      <c r="I360" s="543">
        <v>324896.15000000002</v>
      </c>
      <c r="J360" s="247">
        <v>300000</v>
      </c>
      <c r="K360" s="247">
        <f t="shared" si="172"/>
        <v>1073.9100000000326</v>
      </c>
      <c r="L360" s="170">
        <f t="shared" si="155"/>
        <v>3.3163565294342741E-3</v>
      </c>
      <c r="M360" s="576">
        <f t="shared" si="163"/>
        <v>24896.150000000023</v>
      </c>
      <c r="N360" s="249">
        <f t="shared" si="169"/>
        <v>8.2987166666666751E-2</v>
      </c>
      <c r="O360" s="182">
        <f t="shared" si="159"/>
        <v>5.5312158074817569E-2</v>
      </c>
      <c r="P360" s="248" t="b">
        <f t="shared" si="173"/>
        <v>0</v>
      </c>
      <c r="Q360" s="249">
        <f>COUNTIF(P$2:P360, TRUE)/(COUNTIF(P$2:P360,FALSE) + COUNTIF(P$2:P360, TRUE))</f>
        <v>0.48746518105849584</v>
      </c>
      <c r="R360" s="247">
        <v>284558.05</v>
      </c>
      <c r="S360" s="247">
        <f t="shared" si="160"/>
        <v>40338.100000000035</v>
      </c>
      <c r="T360" s="247">
        <v>-27681</v>
      </c>
      <c r="U360" s="247">
        <f t="shared" si="168"/>
        <v>52577.150000000023</v>
      </c>
      <c r="V360" s="249">
        <f>STDEV(D$2:D360)*SQRT(252)</f>
        <v>0.15909847799191273</v>
      </c>
      <c r="W360" s="249">
        <f>STDEV(L$2:L360)*SQRT(252)</f>
        <v>0.34511860211054446</v>
      </c>
      <c r="X360" s="173">
        <f t="shared" si="164"/>
        <v>0.52160880301372303</v>
      </c>
      <c r="Y360" s="173">
        <f t="shared" si="165"/>
        <v>0.16026999917292378</v>
      </c>
      <c r="Z360" s="794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1">
        <v>42782</v>
      </c>
      <c r="C361" s="330">
        <v>2347.2199999999998</v>
      </c>
      <c r="D361" s="170">
        <f t="shared" si="167"/>
        <v>-8.6410556560612964E-4</v>
      </c>
      <c r="E361" s="243">
        <f t="shared" si="170"/>
        <v>0.1164266281082931</v>
      </c>
      <c r="F361" s="244">
        <v>5814.9</v>
      </c>
      <c r="G361" s="170">
        <f t="shared" si="174"/>
        <v>-7.8014379390456195E-4</v>
      </c>
      <c r="H361" s="245">
        <f t="shared" si="171"/>
        <v>0.14203507669344223</v>
      </c>
      <c r="I361" s="543">
        <v>324092.39</v>
      </c>
      <c r="J361" s="247">
        <v>300000</v>
      </c>
      <c r="K361" s="247">
        <f t="shared" si="172"/>
        <v>-803.76000000000931</v>
      </c>
      <c r="L361" s="170">
        <f t="shared" si="155"/>
        <v>-2.4738981979318909E-3</v>
      </c>
      <c r="M361" s="576">
        <f t="shared" si="163"/>
        <v>24092.390000000014</v>
      </c>
      <c r="N361" s="249">
        <f t="shared" si="169"/>
        <v>8.0307966666666716E-2</v>
      </c>
      <c r="O361" s="182">
        <f t="shared" si="159"/>
        <v>5.3428934107468157E-2</v>
      </c>
      <c r="P361" s="248" t="b">
        <f t="shared" si="173"/>
        <v>0</v>
      </c>
      <c r="Q361" s="249">
        <f>COUNTIF(P$2:P361, TRUE)/(COUNTIF(P$2:P361,FALSE) + COUNTIF(P$2:P361, TRUE))</f>
        <v>0.4861111111111111</v>
      </c>
      <c r="R361" s="247">
        <v>276682.59999999998</v>
      </c>
      <c r="S361" s="247">
        <f t="shared" si="160"/>
        <v>47409.790000000037</v>
      </c>
      <c r="T361" s="247">
        <v>-27918</v>
      </c>
      <c r="U361" s="247">
        <f t="shared" si="168"/>
        <v>52010.390000000014</v>
      </c>
      <c r="V361" s="249">
        <f>STDEV(D$2:D361)*SQRT(252)</f>
        <v>0.15887942855924012</v>
      </c>
      <c r="W361" s="249">
        <f>STDEV(L$2:L361)*SQRT(252)</f>
        <v>0.34464640532598995</v>
      </c>
      <c r="X361" s="173">
        <f t="shared" si="164"/>
        <v>0.50546485089303372</v>
      </c>
      <c r="Y361" s="173">
        <f t="shared" si="165"/>
        <v>0.15502536304399125</v>
      </c>
      <c r="Z361" s="794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1">
        <v>42783</v>
      </c>
      <c r="C362" s="330">
        <v>2351.16</v>
      </c>
      <c r="D362" s="170">
        <f t="shared" si="167"/>
        <v>1.6785814708463864E-3</v>
      </c>
      <c r="E362" s="243">
        <f t="shared" ref="E362" si="175">(C362-$C$2)/$C$2</f>
        <v>0.11830064115979519</v>
      </c>
      <c r="F362" s="244">
        <v>5838.57</v>
      </c>
      <c r="G362" s="170">
        <f t="shared" si="174"/>
        <v>4.0705773100139422E-3</v>
      </c>
      <c r="H362" s="245">
        <f t="shared" ref="H362" si="176">(F362-F$2)/F$2</f>
        <v>0.1466838187638706</v>
      </c>
      <c r="I362" s="543">
        <v>324795.14</v>
      </c>
      <c r="J362" s="247">
        <v>300000</v>
      </c>
      <c r="K362" s="247">
        <f t="shared" ref="K362" si="177">I362-I361-J362+J361</f>
        <v>702.75</v>
      </c>
      <c r="L362" s="170">
        <f t="shared" si="155"/>
        <v>2.1683631633559798E-3</v>
      </c>
      <c r="M362" s="576">
        <f t="shared" ref="M362" si="178">I362-J362</f>
        <v>24795.140000000014</v>
      </c>
      <c r="N362" s="249">
        <f t="shared" ref="N362" si="179">M362/J362</f>
        <v>8.2650466666666714E-2</v>
      </c>
      <c r="O362" s="182">
        <f t="shared" si="159"/>
        <v>5.4887423545454575E-2</v>
      </c>
      <c r="P362" s="248" t="b">
        <f t="shared" ref="P362" si="180">L362&gt;D362</f>
        <v>1</v>
      </c>
      <c r="Q362" s="249">
        <f>COUNTIF(P$2:P362, TRUE)/(COUNTIF(P$2:P362,FALSE) + COUNTIF(P$2:P362, TRUE))</f>
        <v>0.48753462603878117</v>
      </c>
      <c r="R362" s="247">
        <v>278866.34999999998</v>
      </c>
      <c r="S362" s="247">
        <f t="shared" ref="S362" si="181">I362-R362</f>
        <v>45928.790000000037</v>
      </c>
      <c r="T362" s="247">
        <v>-28366</v>
      </c>
      <c r="U362" s="247">
        <f t="shared" ref="U362" si="182">M362-T362</f>
        <v>53161.140000000014</v>
      </c>
      <c r="V362" s="249">
        <f>STDEV(D$2:D362)*SQRT(252)</f>
        <v>0.15866184861852722</v>
      </c>
      <c r="W362" s="249">
        <f>STDEV(L$2:L362)*SQRT(252)</f>
        <v>0.34416833184520351</v>
      </c>
      <c r="X362" s="173">
        <f t="shared" si="164"/>
        <v>0.52092212076379063</v>
      </c>
      <c r="Y362" s="173">
        <f t="shared" si="165"/>
        <v>0.15947842513918822</v>
      </c>
      <c r="Z362" s="794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4">
        <v>2365.38</v>
      </c>
      <c r="D363" s="170">
        <f t="shared" si="167"/>
        <v>6.048078395345385E-3</v>
      </c>
      <c r="E363" s="208">
        <f t="shared" ref="E363" si="183">(C363-$C$2)/$C$2</f>
        <v>0.12506421110709465</v>
      </c>
      <c r="F363" s="218">
        <v>5865.94</v>
      </c>
      <c r="G363" s="170">
        <f t="shared" si="174"/>
        <v>4.6877917024202662E-3</v>
      </c>
      <c r="H363" s="202">
        <f t="shared" ref="H363" si="184">(F363-F$2)/F$2</f>
        <v>0.15205923365477145</v>
      </c>
      <c r="I363" s="220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1">
        <f t="shared" ref="M363" si="186">I363-J363</f>
        <v>27591.989999999991</v>
      </c>
      <c r="N363" s="183">
        <f t="shared" ref="N363" si="187">M363/J363</f>
        <v>9.1973299999999966E-2</v>
      </c>
      <c r="O363" s="182">
        <f t="shared" si="159"/>
        <v>6.0637631453068573E-2</v>
      </c>
      <c r="P363" s="181" t="b">
        <f t="shared" ref="P363" si="188">L363&gt;D363</f>
        <v>1</v>
      </c>
      <c r="Q363" s="183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3">
        <f>STDEV(D$2:D363)*SQRT(252)</f>
        <v>0.15851258059839493</v>
      </c>
      <c r="W363" s="183">
        <f>STDEV(L$2:L363)*SQRT(252)</f>
        <v>0.34375388760818432</v>
      </c>
      <c r="X363" s="173">
        <f t="shared" si="164"/>
        <v>0.5802271318326595</v>
      </c>
      <c r="Y363" s="173">
        <f t="shared" si="165"/>
        <v>0.17639838744801115</v>
      </c>
      <c r="Z363" s="794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4">
        <v>2362.8200000000002</v>
      </c>
      <c r="D364" s="170">
        <f t="shared" ref="D364:D367" si="191">(C364-C363)/C363</f>
        <v>-1.0822785345271986E-3</v>
      </c>
      <c r="E364" s="208">
        <f t="shared" ref="E364" si="192">(C364-$C$2)/$C$2</f>
        <v>0.12384657826144865</v>
      </c>
      <c r="F364" s="218">
        <v>5860.62</v>
      </c>
      <c r="G364" s="170">
        <f t="shared" si="174"/>
        <v>-9.069305175299627E-4</v>
      </c>
      <c r="H364" s="202">
        <f t="shared" ref="H364" si="193">(F364-F$2)/F$2</f>
        <v>0.15101439597776775</v>
      </c>
      <c r="I364" s="220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1">
        <f t="shared" ref="M364" si="195">I364-J364</f>
        <v>23529.219999999972</v>
      </c>
      <c r="N364" s="183">
        <f t="shared" ref="N364" si="196">M364/J364</f>
        <v>7.8430733333333238E-2</v>
      </c>
      <c r="O364" s="182">
        <f t="shared" si="159"/>
        <v>5.1615901531531463E-2</v>
      </c>
      <c r="P364" s="181" t="b">
        <f t="shared" ref="P364" si="197">L364&gt;D364</f>
        <v>0</v>
      </c>
      <c r="Q364" s="183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3">
        <f>STDEV(D$2:D364)*SQRT(252)</f>
        <v>0.15829755838348511</v>
      </c>
      <c r="W364" s="183">
        <f>STDEV(L$2:L364)*SQRT(252)</f>
        <v>0.34345146520795911</v>
      </c>
      <c r="X364" s="173">
        <f t="shared" si="164"/>
        <v>0.49546394861839999</v>
      </c>
      <c r="Y364" s="173">
        <f t="shared" si="165"/>
        <v>0.15028586790357162</v>
      </c>
      <c r="Z364" s="794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4">
        <v>2363.81</v>
      </c>
      <c r="D365" s="170">
        <f t="shared" si="191"/>
        <v>4.1899086684545658E-4</v>
      </c>
      <c r="E365" s="208">
        <f t="shared" ref="E365" si="200">(C365-$C$2)/$C$2</f>
        <v>0.12431745971347571</v>
      </c>
      <c r="F365" s="218">
        <v>5835.5</v>
      </c>
      <c r="G365" s="170">
        <f t="shared" si="174"/>
        <v>-4.2862359272568245E-3</v>
      </c>
      <c r="H365" s="202">
        <f t="shared" ref="H365" si="201">(F365-F$2)/F$2</f>
        <v>0.14608087672093803</v>
      </c>
      <c r="I365" s="220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1">
        <f t="shared" ref="M365" si="203">I365-J365</f>
        <v>24343.320000000007</v>
      </c>
      <c r="N365" s="183">
        <f t="shared" ref="N365" si="204">M365/J365</f>
        <v>8.1144400000000019E-2</v>
      </c>
      <c r="O365" s="182">
        <f t="shared" si="159"/>
        <v>5.3305741187050372E-2</v>
      </c>
      <c r="P365" s="181" t="b">
        <f t="shared" ref="P365" si="205">L365&gt;D365</f>
        <v>1</v>
      </c>
      <c r="Q365" s="183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3">
        <f>STDEV(D$2:D365)*SQRT(252)</f>
        <v>0.15807876897869375</v>
      </c>
      <c r="W365" s="183">
        <f>STDEV(L$2:L365)*SQRT(252)</f>
        <v>0.34298022830974206</v>
      </c>
      <c r="X365" s="173">
        <f t="shared" si="164"/>
        <v>0.51331624432713585</v>
      </c>
      <c r="Y365" s="173">
        <f t="shared" si="165"/>
        <v>0.15541928305823646</v>
      </c>
      <c r="Z365" s="794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4">
        <v>2367.34</v>
      </c>
      <c r="D366" s="170">
        <f t="shared" si="191"/>
        <v>1.4933518345383937E-3</v>
      </c>
      <c r="E366" s="208">
        <f t="shared" ref="E366" si="208">(C366-$C$2)/$C$2</f>
        <v>0.12599646125454239</v>
      </c>
      <c r="F366" s="218">
        <v>5845.3</v>
      </c>
      <c r="G366" s="170">
        <f t="shared" si="174"/>
        <v>1.6793762316854052E-3</v>
      </c>
      <c r="H366" s="202">
        <f t="shared" ref="H366" si="209">(F366-F$2)/F$2</f>
        <v>0.14800557770489237</v>
      </c>
      <c r="I366" s="220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1">
        <f t="shared" ref="M366" si="211">I366-J366</f>
        <v>22787.919999999984</v>
      </c>
      <c r="N366" s="183">
        <f t="shared" ref="N366" si="212">M366/J366</f>
        <v>7.5959733333333279E-2</v>
      </c>
      <c r="O366" s="182">
        <f t="shared" si="159"/>
        <v>4.9810220107719891E-2</v>
      </c>
      <c r="P366" s="181" t="b">
        <f t="shared" ref="P366" si="213">L366&gt;D366</f>
        <v>0</v>
      </c>
      <c r="Q366" s="183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3">
        <f>STDEV(D$2:D366)*SQRT(252)</f>
        <v>0.1578636357935907</v>
      </c>
      <c r="W366" s="183">
        <f>STDEV(L$2:L366)*SQRT(252)</f>
        <v>0.34253765890970073</v>
      </c>
      <c r="X366" s="173">
        <f t="shared" si="164"/>
        <v>0.48117308936588715</v>
      </c>
      <c r="Y366" s="173">
        <f t="shared" si="165"/>
        <v>0.1454153107318655</v>
      </c>
      <c r="Z366" s="794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1">
        <v>42793</v>
      </c>
      <c r="C367" s="330">
        <v>2369.75</v>
      </c>
      <c r="D367" s="170">
        <f t="shared" si="191"/>
        <v>1.0180202252316332E-3</v>
      </c>
      <c r="E367" s="243">
        <f t="shared" ref="E367" si="216">(C367-$C$2)/$C$2</f>
        <v>0.12714274842563875</v>
      </c>
      <c r="F367" s="244">
        <v>5861.89</v>
      </c>
      <c r="G367" s="170">
        <f t="shared" si="174"/>
        <v>2.8381776812139918E-3</v>
      </c>
      <c r="H367" s="245">
        <f t="shared" ref="H367" si="217">(F367-F$2)/F$2</f>
        <v>0.15126382151344356</v>
      </c>
      <c r="I367" s="543">
        <v>323797.27</v>
      </c>
      <c r="J367" s="247">
        <v>300000</v>
      </c>
      <c r="K367" s="247">
        <f t="shared" ref="K367" si="218">I367-I366-J367+J366</f>
        <v>1009.3500000000349</v>
      </c>
      <c r="L367" s="170">
        <f t="shared" si="155"/>
        <v>3.126975755474477E-3</v>
      </c>
      <c r="M367" s="576">
        <f t="shared" ref="M367" si="219">I367-J367</f>
        <v>23797.270000000019</v>
      </c>
      <c r="N367" s="249">
        <f t="shared" ref="N367" si="220">M367/J367</f>
        <v>7.9324233333333397E-2</v>
      </c>
      <c r="O367" s="182">
        <f t="shared" si="159"/>
        <v>5.1737814687500043E-2</v>
      </c>
      <c r="P367" s="248" t="b">
        <f t="shared" ref="P367" si="221">L367&gt;D367</f>
        <v>1</v>
      </c>
      <c r="Q367" s="249">
        <f>COUNTIF(P$2:P367, TRUE)/(COUNTIF(P$2:P367,FALSE) + COUNTIF(P$2:P367, TRUE))</f>
        <v>0.48907103825136611</v>
      </c>
      <c r="R367" s="247">
        <v>291059.09999999998</v>
      </c>
      <c r="S367" s="247">
        <f t="shared" ref="S367" si="222">I367-R367</f>
        <v>32738.170000000042</v>
      </c>
      <c r="T367" s="247">
        <v>-27481</v>
      </c>
      <c r="U367" s="247">
        <f t="shared" ref="U367" si="223">M367-T367</f>
        <v>51278.270000000019</v>
      </c>
      <c r="V367" s="249">
        <f>STDEV(D$2:D367)*SQRT(252)</f>
        <v>0.15764754565745331</v>
      </c>
      <c r="W367" s="249">
        <f>STDEV(L$2:L367)*SQRT(252)</f>
        <v>0.34207298681396164</v>
      </c>
      <c r="X367" s="173">
        <f t="shared" si="164"/>
        <v>0.50317455309893733</v>
      </c>
      <c r="Y367" s="173">
        <f t="shared" si="165"/>
        <v>0.15124788183183244</v>
      </c>
      <c r="Z367" s="794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1">
        <v>42794</v>
      </c>
      <c r="C368" s="330">
        <v>2363.64</v>
      </c>
      <c r="D368" s="170">
        <f t="shared" ref="D368" si="224">(C368-C367)/C367</f>
        <v>-2.5783310475789123E-3</v>
      </c>
      <c r="E368" s="243">
        <f t="shared" ref="E368" si="225">(C368-$C$2)/$C$2</f>
        <v>0.1242366012823195</v>
      </c>
      <c r="F368" s="244">
        <v>5825.43</v>
      </c>
      <c r="G368" s="170">
        <f t="shared" ref="G368" si="226">(F368-F367)/F367</f>
        <v>-6.2198369467867934E-3</v>
      </c>
      <c r="H368" s="245">
        <f t="shared" ref="H368" si="227">(F368-F$2)/F$2</f>
        <v>0.14410314826089529</v>
      </c>
      <c r="I368" s="642">
        <v>320573.07</v>
      </c>
      <c r="J368" s="247">
        <v>300000</v>
      </c>
      <c r="K368" s="247">
        <f t="shared" ref="K368" si="228">I368-I367-J368+J367</f>
        <v>-3224.2000000000116</v>
      </c>
      <c r="L368" s="170">
        <f t="shared" si="155"/>
        <v>-9.9574650521297211E-3</v>
      </c>
      <c r="M368" s="408">
        <f t="shared" ref="M368" si="229">I368-J368</f>
        <v>20573.070000000007</v>
      </c>
      <c r="N368" s="249">
        <f t="shared" ref="N368" si="230">M368/J368</f>
        <v>6.8576900000000024E-2</v>
      </c>
      <c r="O368" s="182">
        <f t="shared" si="159"/>
        <v>4.4648329278074883E-2</v>
      </c>
      <c r="P368" s="248" t="b">
        <f t="shared" ref="P368" si="231">L368&gt;D368</f>
        <v>0</v>
      </c>
      <c r="Q368" s="249">
        <f>COUNTIF(P$2:P368, TRUE)/(COUNTIF(P$2:P368,FALSE) + COUNTIF(P$2:P368, TRUE))</f>
        <v>0.4877384196185286</v>
      </c>
      <c r="R368" s="247">
        <v>291060.09999999998</v>
      </c>
      <c r="S368" s="247">
        <f t="shared" ref="S368" si="232">I368-R368</f>
        <v>29512.97000000003</v>
      </c>
      <c r="T368" s="247">
        <v>-28947</v>
      </c>
      <c r="U368" s="247">
        <f t="shared" ref="U368" si="233">M368-T368</f>
        <v>49520.070000000007</v>
      </c>
      <c r="V368" s="249">
        <f>STDEV(D$2:D368)*SQRT(252)</f>
        <v>0.15745054015923535</v>
      </c>
      <c r="W368" s="249">
        <f>STDEV(L$2:L368)*SQRT(252)</f>
        <v>0.34171768375155076</v>
      </c>
      <c r="X368" s="173">
        <f t="shared" si="164"/>
        <v>0.43554566361376568</v>
      </c>
      <c r="Y368" s="173">
        <f t="shared" si="165"/>
        <v>0.13065852720263929</v>
      </c>
      <c r="Z368" s="794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1">
        <v>42795</v>
      </c>
      <c r="C369" s="330">
        <v>2395.96</v>
      </c>
      <c r="D369" s="170">
        <f t="shared" ref="D369:D377" si="234">(C369-C368)/C368</f>
        <v>1.3673825117192197E-2</v>
      </c>
      <c r="E369" s="243">
        <f t="shared" ref="E369" si="235">(C369-$C$2)/$C$2</f>
        <v>0.13960921595860046</v>
      </c>
      <c r="F369" s="244">
        <v>5904.02</v>
      </c>
      <c r="G369" s="170">
        <f t="shared" ref="G369:G382" si="236">(F369-F368)/F368</f>
        <v>1.3490849602518637E-2</v>
      </c>
      <c r="H369" s="245">
        <f t="shared" ref="H369" si="237">(F369-F$2)/F$2</f>
        <v>0.1595380717638511</v>
      </c>
      <c r="I369" s="543">
        <v>325744.14</v>
      </c>
      <c r="J369" s="247">
        <v>300000</v>
      </c>
      <c r="K369" s="247">
        <f t="shared" ref="K369" si="238">I369-I368-J369+J368</f>
        <v>5171.070000000007</v>
      </c>
      <c r="L369" s="170">
        <f t="shared" si="155"/>
        <v>1.613070617566225E-2</v>
      </c>
      <c r="M369" s="576">
        <f t="shared" ref="M369" si="239">I369-J369</f>
        <v>25744.140000000014</v>
      </c>
      <c r="N369" s="249">
        <f t="shared" ref="N369" si="240">M369/J369</f>
        <v>8.5813800000000051E-2</v>
      </c>
      <c r="O369" s="182">
        <f t="shared" si="159"/>
        <v>5.5771335320284728E-2</v>
      </c>
      <c r="P369" s="248" t="b">
        <f t="shared" ref="P369" si="241">L369&gt;D369</f>
        <v>1</v>
      </c>
      <c r="Q369" s="249">
        <f>COUNTIF(P$2:P369, TRUE)/(COUNTIF(P$2:P369,FALSE) + COUNTIF(P$2:P369, TRUE))</f>
        <v>0.4891304347826087</v>
      </c>
      <c r="R369" s="247">
        <v>291563.05</v>
      </c>
      <c r="S369" s="247">
        <f t="shared" ref="S369" si="242">I369-R369</f>
        <v>34181.090000000026</v>
      </c>
      <c r="T369" s="247">
        <v>-28845</v>
      </c>
      <c r="U369" s="247">
        <f t="shared" ref="U369" si="243">M369-T369</f>
        <v>54589.140000000014</v>
      </c>
      <c r="V369" s="249">
        <f>STDEV(D$2:D369)*SQRT(252)</f>
        <v>0.15762134629623176</v>
      </c>
      <c r="W369" s="249">
        <f>STDEV(L$2:L369)*SQRT(252)</f>
        <v>0.34149211977878058</v>
      </c>
      <c r="X369" s="173">
        <f t="shared" si="164"/>
        <v>0.54443006620894219</v>
      </c>
      <c r="Y369" s="173">
        <f t="shared" si="165"/>
        <v>0.16331660993059965</v>
      </c>
      <c r="Z369" s="794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1">
        <v>42796</v>
      </c>
      <c r="C370" s="330">
        <v>2381.92</v>
      </c>
      <c r="D370" s="170">
        <f t="shared" si="234"/>
        <v>-5.8598641045760208E-3</v>
      </c>
      <c r="E370" s="243">
        <f t="shared" ref="E370" si="244">(C370-$C$2)/$C$2</f>
        <v>0.13293126082076065</v>
      </c>
      <c r="F370" s="244">
        <v>5861.22</v>
      </c>
      <c r="G370" s="170">
        <f t="shared" si="236"/>
        <v>-7.2492979359826317E-3</v>
      </c>
      <c r="H370" s="245">
        <f t="shared" ref="H370" si="245">(F370-F$2)/F$2</f>
        <v>0.15113223481352014</v>
      </c>
      <c r="I370" s="543">
        <v>374005.77</v>
      </c>
      <c r="J370" s="247">
        <v>350000</v>
      </c>
      <c r="K370" s="247">
        <f t="shared" ref="K370" si="246">I370-I369-J370+J369</f>
        <v>-1738.3699999999953</v>
      </c>
      <c r="L370" s="170">
        <f t="shared" si="155"/>
        <v>-5.3366117345963471E-3</v>
      </c>
      <c r="M370" s="576">
        <f t="shared" ref="M370" si="247">I370-J370</f>
        <v>24005.770000000019</v>
      </c>
      <c r="N370" s="249">
        <f t="shared" ref="N370" si="248">M370/J370</f>
        <v>6.8587914285714341E-2</v>
      </c>
      <c r="O370" s="182">
        <f t="shared" si="159"/>
        <v>4.4496866239533146E-2</v>
      </c>
      <c r="P370" s="248" t="b">
        <f t="shared" ref="P370" si="249">L370&gt;D370</f>
        <v>1</v>
      </c>
      <c r="Q370" s="249">
        <f>COUNTIF(P$2:P370, TRUE)/(COUNTIF(P$2:P370,FALSE) + COUNTIF(P$2:P370, TRUE))</f>
        <v>0.49051490514905149</v>
      </c>
      <c r="R370" s="247">
        <v>304393.15000000002</v>
      </c>
      <c r="S370" s="247">
        <f t="shared" ref="S370" si="250">I370-R370</f>
        <v>69612.62</v>
      </c>
      <c r="T370" s="247">
        <v>-27836</v>
      </c>
      <c r="U370" s="247">
        <f t="shared" ref="U370" si="251">M370-T370</f>
        <v>51841.770000000019</v>
      </c>
      <c r="V370" s="249">
        <f>STDEV(D$2:D370)*SQRT(252)</f>
        <v>0.15749181284138711</v>
      </c>
      <c r="W370" s="249">
        <f>STDEV(L$2:L370)*SQRT(252)</f>
        <v>0.34106282769709534</v>
      </c>
      <c r="X370" s="173">
        <f t="shared" si="164"/>
        <v>0.43550145908086335</v>
      </c>
      <c r="Y370" s="173">
        <f t="shared" si="165"/>
        <v>0.1304653061724208</v>
      </c>
      <c r="Z370" s="794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1">
        <v>42797</v>
      </c>
      <c r="C371" s="330">
        <v>2383.12</v>
      </c>
      <c r="D371" s="170">
        <f t="shared" si="234"/>
        <v>5.0379525760723201E-4</v>
      </c>
      <c r="E371" s="243">
        <f t="shared" ref="E371" si="252">(C371-$C$2)/$C$2</f>
        <v>0.13350202621715712</v>
      </c>
      <c r="F371" s="244">
        <v>5870.75</v>
      </c>
      <c r="G371" s="170">
        <f t="shared" si="236"/>
        <v>1.6259413569188232E-3</v>
      </c>
      <c r="H371" s="245">
        <f t="shared" ref="H371" si="253">(F371-F$2)/F$2</f>
        <v>0.15300390832138583</v>
      </c>
      <c r="I371" s="543">
        <v>372756.96</v>
      </c>
      <c r="J371" s="247">
        <v>350000</v>
      </c>
      <c r="K371" s="247">
        <f t="shared" ref="K371" si="254">I371-I370-J371+J370</f>
        <v>-1248.8099999999977</v>
      </c>
      <c r="L371" s="170">
        <f t="shared" si="155"/>
        <v>-3.3390126574785132E-3</v>
      </c>
      <c r="M371" s="576">
        <f t="shared" ref="M371" si="255">I371-J371</f>
        <v>22756.960000000021</v>
      </c>
      <c r="N371" s="249">
        <f t="shared" ref="N371" si="256">M371/J371</f>
        <v>6.5019885714285769E-2</v>
      </c>
      <c r="O371" s="182">
        <f t="shared" si="159"/>
        <v>4.2107293009118578E-2</v>
      </c>
      <c r="P371" s="248" t="b">
        <f t="shared" ref="P371" si="257">L371&gt;D371</f>
        <v>0</v>
      </c>
      <c r="Q371" s="249">
        <f>COUNTIF(P$2:P371, TRUE)/(COUNTIF(P$2:P371,FALSE) + COUNTIF(P$2:P371, TRUE))</f>
        <v>0.48918918918918919</v>
      </c>
      <c r="R371" s="247">
        <v>303942.95</v>
      </c>
      <c r="S371" s="247">
        <f t="shared" ref="S371" si="258">I371-R371</f>
        <v>68814.010000000009</v>
      </c>
      <c r="T371" s="247">
        <v>-28592</v>
      </c>
      <c r="U371" s="247">
        <f t="shared" ref="U371" si="259">M371-T371</f>
        <v>51348.960000000021</v>
      </c>
      <c r="V371" s="249">
        <f>STDEV(D$2:D371)*SQRT(252)</f>
        <v>0.15727771285381495</v>
      </c>
      <c r="W371" s="249">
        <f>STDEV(L$2:L371)*SQRT(252)</f>
        <v>0.34061512766334867</v>
      </c>
      <c r="X371" s="173">
        <f t="shared" si="164"/>
        <v>0.41340813351424976</v>
      </c>
      <c r="Y371" s="173">
        <f t="shared" si="165"/>
        <v>0.12362132386185695</v>
      </c>
      <c r="Z371" s="794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4">
        <v>2375.31</v>
      </c>
      <c r="D372" s="170">
        <f t="shared" si="234"/>
        <v>-3.2772164221692344E-3</v>
      </c>
      <c r="E372" s="208">
        <f t="shared" ref="E372" si="260">(C372-$C$2)/$C$2</f>
        <v>0.12978729476227616</v>
      </c>
      <c r="F372" s="218">
        <v>5849.17</v>
      </c>
      <c r="G372" s="170">
        <f t="shared" si="236"/>
        <v>-3.6758506153387431E-3</v>
      </c>
      <c r="H372" s="202">
        <f t="shared" ref="H372" si="261">(F372-F$2)/F$2</f>
        <v>0.14876563819549468</v>
      </c>
      <c r="I372" s="220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1">
        <f t="shared" ref="M372" si="263">I372-J372</f>
        <v>23390.960000000021</v>
      </c>
      <c r="N372" s="183">
        <f t="shared" ref="N372" si="264">M372/J372</f>
        <v>6.6831314285714344E-2</v>
      </c>
      <c r="O372" s="182">
        <f t="shared" si="159"/>
        <v>4.3051388964474718E-2</v>
      </c>
      <c r="P372" s="181" t="b">
        <f t="shared" ref="P372" si="265">L372&gt;D372</f>
        <v>1</v>
      </c>
      <c r="Q372" s="183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3">
        <f>STDEV(D$2:D372)*SQRT(252)</f>
        <v>0.15709358659899947</v>
      </c>
      <c r="W372" s="183">
        <f>STDEV(L$2:L372)*SQRT(252)</f>
        <v>0.34015438804580067</v>
      </c>
      <c r="X372" s="173">
        <f t="shared" si="164"/>
        <v>0.42542356904938089</v>
      </c>
      <c r="Y372" s="173">
        <f t="shared" si="165"/>
        <v>0.12656426163368498</v>
      </c>
      <c r="Z372" s="794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4">
        <v>2368.39</v>
      </c>
      <c r="D373" s="170">
        <f t="shared" si="234"/>
        <v>-2.9133039476952789E-3</v>
      </c>
      <c r="E373" s="208">
        <f t="shared" ref="E373" si="268">(C373-$C$2)/$C$2</f>
        <v>0.12649588097638925</v>
      </c>
      <c r="F373" s="218">
        <v>5833.92</v>
      </c>
      <c r="G373" s="170">
        <f t="shared" si="236"/>
        <v>-2.6072075183316609E-3</v>
      </c>
      <c r="H373" s="202">
        <f t="shared" ref="H373" si="269">(F373-F$2)/F$2</f>
        <v>0.14577056778679032</v>
      </c>
      <c r="I373" s="220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1">
        <f t="shared" ref="M373" si="271">I373-J373</f>
        <v>18594.909999999974</v>
      </c>
      <c r="N373" s="183">
        <f t="shared" ref="N373" si="272">M373/J373</f>
        <v>5.3128314285714212E-2</v>
      </c>
      <c r="O373" s="182">
        <f t="shared" si="159"/>
        <v>3.416393801559351E-2</v>
      </c>
      <c r="P373" s="181" t="b">
        <f t="shared" ref="P373" si="273">L373&gt;D373</f>
        <v>0</v>
      </c>
      <c r="Q373" s="183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3">
        <f>STDEV(D$2:D373)*SQRT(252)</f>
        <v>0.15690461195475305</v>
      </c>
      <c r="W373" s="183">
        <f>STDEV(L$2:L373)*SQRT(252)</f>
        <v>0.3398764241842348</v>
      </c>
      <c r="X373" s="173">
        <f t="shared" si="164"/>
        <v>0.33860263011921504</v>
      </c>
      <c r="Y373" s="173">
        <f t="shared" si="165"/>
        <v>0.10051870498988912</v>
      </c>
      <c r="Z373" s="794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4">
        <v>2369.39</v>
      </c>
      <c r="D374" s="170">
        <f t="shared" si="234"/>
        <v>4.2222775809727285E-4</v>
      </c>
      <c r="E374" s="208">
        <f t="shared" ref="E374" si="276">(C374-$C$2)/$C$2</f>
        <v>0.12697151880671972</v>
      </c>
      <c r="F374" s="218">
        <v>5834.92</v>
      </c>
      <c r="G374" s="170">
        <f t="shared" si="236"/>
        <v>1.7141133234600405E-4</v>
      </c>
      <c r="H374" s="202">
        <f t="shared" ref="H374" si="277">(F374-F$2)/F$2</f>
        <v>0.1459669658463775</v>
      </c>
      <c r="I374" s="220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1">
        <f t="shared" ref="M374" si="279">I374-J374</f>
        <v>9694.5599999999977</v>
      </c>
      <c r="N374" s="183">
        <f t="shared" ref="N374" si="280">M374/J374</f>
        <v>2.7698742857142852E-2</v>
      </c>
      <c r="O374" s="182">
        <f t="shared" si="159"/>
        <v>1.7780256289229218E-2</v>
      </c>
      <c r="P374" s="181" t="b">
        <f t="shared" ref="P374" si="281">L374&gt;D374</f>
        <v>0</v>
      </c>
      <c r="Q374" s="183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3">
        <f>STDEV(D$2:D374)*SQRT(252)</f>
        <v>0.1566930134881471</v>
      </c>
      <c r="W374" s="183">
        <f>STDEV(L$2:L374)*SQRT(252)</f>
        <v>0.34002930219024635</v>
      </c>
      <c r="X374" s="173">
        <f t="shared" si="164"/>
        <v>0.17677075857142857</v>
      </c>
      <c r="Y374" s="173">
        <f t="shared" si="165"/>
        <v>5.2290364902966999E-2</v>
      </c>
      <c r="Z374" s="794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4">
        <v>2364.87</v>
      </c>
      <c r="D375" s="170">
        <f t="shared" si="234"/>
        <v>-1.9076639979066267E-3</v>
      </c>
      <c r="E375" s="208">
        <f t="shared" ref="E375" si="284">(C375-$C$2)/$C$2</f>
        <v>0.12482163581362599</v>
      </c>
      <c r="F375" s="218">
        <v>5838.8</v>
      </c>
      <c r="G375" s="170">
        <f t="shared" si="236"/>
        <v>6.6496198748228067E-4</v>
      </c>
      <c r="H375" s="202">
        <f t="shared" ref="H375" si="285">(F375-F$2)/F$2</f>
        <v>0.14672899031757575</v>
      </c>
      <c r="I375" s="220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1">
        <f t="shared" ref="M375" si="287">I375-J375</f>
        <v>18952.539999999979</v>
      </c>
      <c r="N375" s="183">
        <f t="shared" ref="N375" si="288">M375/J375</f>
        <v>5.4150114285714229E-2</v>
      </c>
      <c r="O375" s="182">
        <f t="shared" si="159"/>
        <v>3.4698823233082668E-2</v>
      </c>
      <c r="P375" s="181" t="b">
        <f t="shared" ref="P375" si="289">L375&gt;D375</f>
        <v>1</v>
      </c>
      <c r="Q375" s="183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3">
        <f>STDEV(D$2:D375)*SQRT(252)</f>
        <v>0.15649345994634845</v>
      </c>
      <c r="W375" s="183">
        <f>STDEV(L$2:L375)*SQRT(252)</f>
        <v>0.34020267972894408</v>
      </c>
      <c r="X375" s="173">
        <f t="shared" si="164"/>
        <v>0.34602158009848349</v>
      </c>
      <c r="Y375" s="173">
        <f t="shared" si="165"/>
        <v>0.10199456177337844</v>
      </c>
      <c r="Z375" s="794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4">
        <v>2372.6</v>
      </c>
      <c r="D376" s="170">
        <f t="shared" si="234"/>
        <v>3.2686786165835834E-3</v>
      </c>
      <c r="E376" s="208">
        <f t="shared" ref="E376" si="292">(C376-$C$2)/$C$2</f>
        <v>0.12849831624208055</v>
      </c>
      <c r="F376" s="218">
        <v>5861.72</v>
      </c>
      <c r="G376" s="170">
        <f t="shared" si="236"/>
        <v>3.9254641364664094E-3</v>
      </c>
      <c r="H376" s="202">
        <f t="shared" ref="H376" si="293">(F376-F$2)/F$2</f>
        <v>0.15123043384331372</v>
      </c>
      <c r="I376" s="220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1">
        <f t="shared" ref="M376" si="295">I376-J376</f>
        <v>20075.840000000026</v>
      </c>
      <c r="N376" s="183">
        <f t="shared" ref="N376" si="296">M376/J376</f>
        <v>6.6919466666666746E-2</v>
      </c>
      <c r="O376" s="182">
        <f t="shared" si="159"/>
        <v>4.2806191243432629E-2</v>
      </c>
      <c r="P376" s="181" t="b">
        <f t="shared" ref="P376" si="297">L376&gt;D376</f>
        <v>0</v>
      </c>
      <c r="Q376" s="183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3">
        <f>STDEV(D$2:D376)*SQRT(252)</f>
        <v>0.15630173237062933</v>
      </c>
      <c r="W376" s="183">
        <f>STDEV(L$2:L376)*SQRT(252)</f>
        <v>0.33975219328051109</v>
      </c>
      <c r="X376" s="173">
        <f t="shared" si="164"/>
        <v>0.42814283406651216</v>
      </c>
      <c r="Y376" s="173">
        <f t="shared" si="165"/>
        <v>0.12599239118992342</v>
      </c>
      <c r="Z376" s="794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1">
        <v>42807</v>
      </c>
      <c r="C377" s="330">
        <v>2373.4699999999998</v>
      </c>
      <c r="D377" s="170">
        <f t="shared" si="234"/>
        <v>3.6668633566546864E-4</v>
      </c>
      <c r="E377" s="243">
        <f t="shared" ref="E377" si="300">(C377-$C$2)/$C$2</f>
        <v>0.12891212115446801</v>
      </c>
      <c r="F377" s="244">
        <v>5875.78</v>
      </c>
      <c r="G377" s="170">
        <f t="shared" si="236"/>
        <v>2.3986133762785478E-3</v>
      </c>
      <c r="H377" s="245">
        <f t="shared" ref="H377" si="301">(F377-F$2)/F$2</f>
        <v>0.15399179056110926</v>
      </c>
      <c r="I377" s="543">
        <v>317453.64</v>
      </c>
      <c r="J377" s="247">
        <v>300000</v>
      </c>
      <c r="K377" s="247">
        <f t="shared" ref="K377" si="302">I377-I376-J377+J376</f>
        <v>-2622.2000000000116</v>
      </c>
      <c r="L377" s="170">
        <f t="shared" si="155"/>
        <v>-8.1924333932858265E-3</v>
      </c>
      <c r="M377" s="576">
        <f t="shared" ref="M377" si="303">I377-J377</f>
        <v>17453.640000000014</v>
      </c>
      <c r="N377" s="249">
        <f t="shared" ref="N377" si="304">M377/J377</f>
        <v>5.8178800000000044E-2</v>
      </c>
      <c r="O377" s="182">
        <f t="shared" si="159"/>
        <v>3.7020569163763097E-2</v>
      </c>
      <c r="P377" s="248" t="b">
        <f t="shared" ref="P377" si="305">L377&gt;D377</f>
        <v>0</v>
      </c>
      <c r="Q377" s="249">
        <f>COUNTIF(P$2:P377, TRUE)/(COUNTIF(P$2:P377,FALSE) + COUNTIF(P$2:P377, TRUE))</f>
        <v>0.48670212765957449</v>
      </c>
      <c r="R377" s="247">
        <v>266657.09999999998</v>
      </c>
      <c r="S377" s="247">
        <f t="shared" ref="S377" si="306">I377-R377</f>
        <v>50796.540000000037</v>
      </c>
      <c r="T377" s="247">
        <v>-33037</v>
      </c>
      <c r="U377" s="247">
        <f t="shared" ref="U377" si="307">M377-T377</f>
        <v>50490.640000000014</v>
      </c>
      <c r="V377" s="249">
        <f>STDEV(D$2:D377)*SQRT(252)</f>
        <v>0.15609263301968265</v>
      </c>
      <c r="W377" s="249">
        <f>STDEV(L$2:L377)*SQRT(252)</f>
        <v>0.33937458902110801</v>
      </c>
      <c r="X377" s="173">
        <f t="shared" si="164"/>
        <v>0.37271970415582606</v>
      </c>
      <c r="Y377" s="173">
        <f t="shared" si="165"/>
        <v>0.10908468212232748</v>
      </c>
      <c r="Z377" s="794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1">
        <v>42808</v>
      </c>
      <c r="C378" s="330">
        <v>2365.4499999999998</v>
      </c>
      <c r="D378" s="170">
        <f t="shared" ref="D378:D382" si="308">(C378-C377)/C377</f>
        <v>-3.3790189048102494E-3</v>
      </c>
      <c r="E378" s="243">
        <f t="shared" ref="E378" si="309">(C378-$C$2)/$C$2</f>
        <v>0.12509750575521764</v>
      </c>
      <c r="F378" s="244">
        <v>5856.81</v>
      </c>
      <c r="G378" s="170">
        <f t="shared" si="236"/>
        <v>-3.2285075343187366E-3</v>
      </c>
      <c r="H378" s="245">
        <f t="shared" ref="H378" si="310">(F378-F$2)/F$2</f>
        <v>0.15026611937074075</v>
      </c>
      <c r="I378" s="543">
        <v>413367.17</v>
      </c>
      <c r="J378" s="247">
        <v>400000</v>
      </c>
      <c r="K378" s="247">
        <f t="shared" ref="K378" si="311">I378-I377-J378+J377</f>
        <v>-4086.4700000000303</v>
      </c>
      <c r="L378" s="170">
        <f t="shared" si="155"/>
        <v>-1.2872651263346769E-2</v>
      </c>
      <c r="M378" s="576">
        <f t="shared" ref="M378" si="312">I378-J378</f>
        <v>13367.169999999984</v>
      </c>
      <c r="N378" s="249">
        <f t="shared" ref="N378" si="313">M378/J378</f>
        <v>3.3417924999999959E-2</v>
      </c>
      <c r="O378" s="182">
        <f t="shared" si="159"/>
        <v>2.1227647141304321E-2</v>
      </c>
      <c r="P378" s="248" t="b">
        <f t="shared" ref="P378" si="314">L378&gt;D378</f>
        <v>0</v>
      </c>
      <c r="Q378" s="249">
        <f>COUNTIF(P$2:P378, TRUE)/(COUNTIF(P$2:P378,FALSE) + COUNTIF(P$2:P378, TRUE))</f>
        <v>0.48541114058355439</v>
      </c>
      <c r="R378" s="247">
        <v>277189.8</v>
      </c>
      <c r="S378" s="247">
        <f t="shared" ref="S378" si="315">I378-R378</f>
        <v>136177.37</v>
      </c>
      <c r="T378" s="247">
        <v>-33401</v>
      </c>
      <c r="U378" s="247">
        <f t="shared" ref="U378" si="316">M378-T378</f>
        <v>46768.169999999984</v>
      </c>
      <c r="V378" s="249">
        <f>STDEV(D$2:D378)*SQRT(252)</f>
        <v>0.15591460635897464</v>
      </c>
      <c r="W378" s="249">
        <f>STDEV(L$2:L378)*SQRT(252)</f>
        <v>0.33910114383939616</v>
      </c>
      <c r="X378" s="173">
        <f t="shared" si="164"/>
        <v>0.21433479377204215</v>
      </c>
      <c r="Y378" s="173">
        <f t="shared" si="165"/>
        <v>6.2599750920799252E-2</v>
      </c>
      <c r="Z378" s="794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1">
        <v>42809</v>
      </c>
      <c r="C379" s="330">
        <v>2385.2600000000002</v>
      </c>
      <c r="D379" s="170">
        <f t="shared" si="308"/>
        <v>8.3747278530513867E-3</v>
      </c>
      <c r="E379" s="243">
        <f t="shared" ref="E379" si="317">(C379-$C$2)/$C$2</f>
        <v>0.13451989117406449</v>
      </c>
      <c r="F379" s="244">
        <v>5900.04</v>
      </c>
      <c r="G379" s="170">
        <f t="shared" si="236"/>
        <v>7.3811511727373026E-3</v>
      </c>
      <c r="H379" s="245">
        <f t="shared" ref="H379" si="318">(F379-F$2)/F$2</f>
        <v>0.15875640748669406</v>
      </c>
      <c r="I379" s="543">
        <v>417096.77</v>
      </c>
      <c r="J379" s="247">
        <v>400000</v>
      </c>
      <c r="K379" s="247">
        <f t="shared" ref="K379" si="319">I379-I378-J379+J378</f>
        <v>3729.6000000000349</v>
      </c>
      <c r="L379" s="170">
        <f t="shared" si="155"/>
        <v>9.0224871994552328E-3</v>
      </c>
      <c r="M379" s="576">
        <f t="shared" ref="M379" si="320">I379-J379</f>
        <v>17096.770000000019</v>
      </c>
      <c r="N379" s="249">
        <f t="shared" ref="N379:N384" si="321">M379/J379</f>
        <v>4.2741925000000049E-2</v>
      </c>
      <c r="O379" s="182">
        <f t="shared" si="159"/>
        <v>2.7103277962239613E-2</v>
      </c>
      <c r="P379" s="248" t="b">
        <f t="shared" ref="P379" si="322">L379&gt;D379</f>
        <v>1</v>
      </c>
      <c r="Q379" s="249">
        <f>COUNTIF(P$2:P379, TRUE)/(COUNTIF(P$2:P379,FALSE) + COUNTIF(P$2:P379, TRUE))</f>
        <v>0.48677248677248675</v>
      </c>
      <c r="R379" s="247">
        <v>272622.8</v>
      </c>
      <c r="S379" s="247">
        <f t="shared" ref="S379" si="323">I379-R379</f>
        <v>144473.97000000003</v>
      </c>
      <c r="T379" s="247">
        <v>-33400</v>
      </c>
      <c r="U379" s="247">
        <f t="shared" ref="U379" si="324">M379-T379</f>
        <v>50496.770000000019</v>
      </c>
      <c r="V379" s="249">
        <f>STDEV(D$2:D379)*SQRT(252)</f>
        <v>0.15584490061103998</v>
      </c>
      <c r="W379" s="249">
        <f>STDEV(L$2:L379)*SQRT(252)</f>
        <v>0.33872055138052226</v>
      </c>
      <c r="X379" s="173">
        <f t="shared" si="164"/>
        <v>0.27425937475282547</v>
      </c>
      <c r="Y379" s="173">
        <f t="shared" si="165"/>
        <v>8.0016632742757623E-2</v>
      </c>
      <c r="Z379" s="794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1">
        <v>42810</v>
      </c>
      <c r="C380" s="330">
        <v>2381.38</v>
      </c>
      <c r="D380" s="170">
        <f t="shared" si="308"/>
        <v>-1.6266570520614562E-3</v>
      </c>
      <c r="E380" s="243">
        <f t="shared" ref="E380" si="325">(C380-$C$2)/$C$2</f>
        <v>0.1326744163923822</v>
      </c>
      <c r="F380" s="244">
        <v>5900.76</v>
      </c>
      <c r="G380" s="170">
        <f t="shared" si="236"/>
        <v>1.2203307096227393E-4</v>
      </c>
      <c r="H380" s="245">
        <f t="shared" ref="H380" si="326">(F380-F$2)/F$2</f>
        <v>0.15889781408959688</v>
      </c>
      <c r="I380" s="543">
        <v>418538.3</v>
      </c>
      <c r="J380" s="247">
        <v>400000</v>
      </c>
      <c r="K380" s="247">
        <f t="shared" ref="K380" si="327">I380-I379-J380+J379</f>
        <v>1441.5299999999697</v>
      </c>
      <c r="L380" s="170">
        <f t="shared" si="155"/>
        <v>3.4561044431007455E-3</v>
      </c>
      <c r="M380" s="576">
        <f t="shared" ref="M380" si="328">I380-J380</f>
        <v>18538.299999999988</v>
      </c>
      <c r="N380" s="249">
        <f t="shared" si="321"/>
        <v>4.634574999999997E-2</v>
      </c>
      <c r="O380" s="182">
        <f t="shared" si="159"/>
        <v>2.9337582647313672E-2</v>
      </c>
      <c r="P380" s="248" t="b">
        <f t="shared" ref="P380" si="329">L380&gt;D380</f>
        <v>1</v>
      </c>
      <c r="Q380" s="249">
        <f>COUNTIF(P$2:P380, TRUE)/(COUNTIF(P$2:P380,FALSE) + COUNTIF(P$2:P380, TRUE))</f>
        <v>0.48812664907651715</v>
      </c>
      <c r="R380" s="247">
        <v>275894.34999999998</v>
      </c>
      <c r="S380" s="247">
        <f t="shared" ref="S380" si="330">I380-R380</f>
        <v>142643.95000000001</v>
      </c>
      <c r="T380" s="247">
        <v>-31087</v>
      </c>
      <c r="U380" s="247">
        <f t="shared" ref="U380" si="331">M380-T380</f>
        <v>49625.299999999988</v>
      </c>
      <c r="V380" s="249">
        <f>STDEV(D$2:D380)*SQRT(252)</f>
        <v>0.15564672021947359</v>
      </c>
      <c r="W380" s="249">
        <f>STDEV(L$2:L380)*SQRT(252)</f>
        <v>0.33827914909370027</v>
      </c>
      <c r="X380" s="173">
        <f t="shared" si="164"/>
        <v>0.29776245805018553</v>
      </c>
      <c r="Y380" s="173">
        <f t="shared" si="165"/>
        <v>8.6725956139813473E-2</v>
      </c>
      <c r="Z380" s="794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1">
        <v>42811</v>
      </c>
      <c r="C381" s="330">
        <v>2378.25</v>
      </c>
      <c r="D381" s="170">
        <f t="shared" si="308"/>
        <v>-1.3143639402363792E-3</v>
      </c>
      <c r="E381" s="243">
        <f t="shared" ref="E381" si="332">(C381-$C$2)/$C$2</f>
        <v>0.13118566998344777</v>
      </c>
      <c r="F381" s="244">
        <v>5900.99</v>
      </c>
      <c r="G381" s="170">
        <f t="shared" si="236"/>
        <v>3.8978029948610593E-5</v>
      </c>
      <c r="H381" s="245">
        <f t="shared" ref="H381" si="333">(F381-F$2)/F$2</f>
        <v>0.15894298564330184</v>
      </c>
      <c r="I381" s="543">
        <v>417260.19</v>
      </c>
      <c r="J381" s="247">
        <v>400000</v>
      </c>
      <c r="K381" s="247">
        <f t="shared" ref="K381" si="334">I381-I380-J381+J380</f>
        <v>-1278.109999999986</v>
      </c>
      <c r="L381" s="170">
        <f t="shared" si="155"/>
        <v>-3.0537468136129621E-3</v>
      </c>
      <c r="M381" s="576">
        <f t="shared" ref="M381" si="335">I381-J381</f>
        <v>17260.190000000002</v>
      </c>
      <c r="N381" s="249">
        <f t="shared" si="321"/>
        <v>4.3150475000000008E-2</v>
      </c>
      <c r="O381" s="182">
        <f t="shared" si="159"/>
        <v>2.7267666079152254E-2</v>
      </c>
      <c r="P381" s="248" t="b">
        <f t="shared" ref="P381" si="336">L381&gt;D381</f>
        <v>0</v>
      </c>
      <c r="Q381" s="249">
        <f>COUNTIF(P$2:P381, TRUE)/(COUNTIF(P$2:P381,FALSE) + COUNTIF(P$2:P381, TRUE))</f>
        <v>0.48684210526315791</v>
      </c>
      <c r="R381" s="247">
        <v>272622.8</v>
      </c>
      <c r="S381" s="247">
        <f t="shared" ref="S381" si="337">I381-R381</f>
        <v>144637.39000000001</v>
      </c>
      <c r="T381" s="247">
        <v>-31412</v>
      </c>
      <c r="U381" s="247">
        <f t="shared" ref="U381" si="338">M381-T381</f>
        <v>48672.19</v>
      </c>
      <c r="V381" s="249">
        <f>STDEV(D$2:D381)*SQRT(252)</f>
        <v>0.15544682366475293</v>
      </c>
      <c r="W381" s="249">
        <f>STDEV(L$2:L381)*SQRT(252)</f>
        <v>0.33784447155709396</v>
      </c>
      <c r="X381" s="173">
        <f t="shared" si="164"/>
        <v>0.27758994351059385</v>
      </c>
      <c r="Y381" s="173">
        <f t="shared" si="165"/>
        <v>8.0710706774268351E-2</v>
      </c>
      <c r="Z381" s="794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4">
        <v>2373.4699999999998</v>
      </c>
      <c r="D382" s="170">
        <f t="shared" si="308"/>
        <v>-2.0098812151793126E-3</v>
      </c>
      <c r="E382" s="208">
        <f t="shared" ref="E382" si="339">(C382-$C$2)/$C$2</f>
        <v>0.12891212115446801</v>
      </c>
      <c r="F382" s="218">
        <v>5901.52</v>
      </c>
      <c r="G382" s="170">
        <f t="shared" si="236"/>
        <v>8.9815437748692146E-5</v>
      </c>
      <c r="H382" s="202">
        <f t="shared" ref="H382" si="340">(F382-F$2)/F$2</f>
        <v>0.15904707661488318</v>
      </c>
      <c r="I382" s="220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1">
        <f t="shared" ref="M382" si="342">I382-J382</f>
        <v>16415.390000000014</v>
      </c>
      <c r="N382" s="183">
        <f t="shared" si="321"/>
        <v>4.1038475000000033E-2</v>
      </c>
      <c r="O382" s="182">
        <f t="shared" si="159"/>
        <v>2.579914456755596E-2</v>
      </c>
      <c r="P382" s="181" t="b">
        <f t="shared" ref="P382" si="343">L382&gt;D382</f>
        <v>0</v>
      </c>
      <c r="Q382" s="183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3">
        <f>STDEV(D$2:D382)*SQRT(252)</f>
        <v>0.15525374064420308</v>
      </c>
      <c r="W382" s="183">
        <f>STDEV(L$2:L382)*SQRT(252)</f>
        <v>0.33740515012051464</v>
      </c>
      <c r="X382" s="173">
        <f t="shared" si="164"/>
        <v>0.26433163432788659</v>
      </c>
      <c r="Y382" s="173">
        <f t="shared" si="165"/>
        <v>7.646339884954631E-2</v>
      </c>
      <c r="Z382" s="794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4">
        <v>2344.02</v>
      </c>
      <c r="D383" s="170">
        <f t="shared" ref="D383" si="346">(C383-C382)/C382</f>
        <v>-1.240799335993285E-2</v>
      </c>
      <c r="E383" s="208">
        <f t="shared" ref="E383" si="347">(C383-$C$2)/$C$2</f>
        <v>0.11490458705123567</v>
      </c>
      <c r="F383" s="218">
        <v>5793.82</v>
      </c>
      <c r="G383" s="170">
        <f t="shared" ref="G383:G387" si="348">(F383-F382)/F382</f>
        <v>-1.8249535712833425E-2</v>
      </c>
      <c r="H383" s="202">
        <f t="shared" ref="H383" si="349">(F383-F$2)/F$2</f>
        <v>0.13789500559734469</v>
      </c>
      <c r="I383" s="220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1">
        <f t="shared" ref="M383" si="351">I383-J383</f>
        <v>11936.489999999991</v>
      </c>
      <c r="N383" s="183">
        <f t="shared" si="321"/>
        <v>2.9841224999999978E-2</v>
      </c>
      <c r="O383" s="182">
        <f t="shared" si="159"/>
        <v>1.8727675998711325E-2</v>
      </c>
      <c r="P383" s="181" t="b">
        <f t="shared" ref="P383" si="352">L383&gt;D383</f>
        <v>1</v>
      </c>
      <c r="Q383" s="183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3">
        <f>STDEV(D$2:D383)*SQRT(252)</f>
        <v>0.15539701480265106</v>
      </c>
      <c r="W383" s="183">
        <f>STDEV(L$2:L383)*SQRT(252)</f>
        <v>0.33708689228182726</v>
      </c>
      <c r="X383" s="173">
        <f t="shared" si="164"/>
        <v>0.19203216379605054</v>
      </c>
      <c r="Y383" s="173">
        <f t="shared" si="165"/>
        <v>5.5557413911703608E-2</v>
      </c>
      <c r="Z383" s="794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4">
        <v>2348.4499999999998</v>
      </c>
      <c r="D384" s="170">
        <f t="shared" ref="D384:D387" si="355">(C384-C383)/C383</f>
        <v>1.8899156150544091E-3</v>
      </c>
      <c r="E384" s="208">
        <f t="shared" ref="E384" si="356">(C384-$C$2)/$C$2</f>
        <v>0.11701166263959958</v>
      </c>
      <c r="F384" s="218">
        <v>5821.64</v>
      </c>
      <c r="G384" s="170">
        <f t="shared" si="348"/>
        <v>4.8016679841625422E-3</v>
      </c>
      <c r="H384" s="202">
        <f t="shared" ref="H384" si="357">(F384-F$2)/F$2</f>
        <v>0.1433587996150599</v>
      </c>
      <c r="I384" s="220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1">
        <f t="shared" ref="M384" si="359">I384-J384</f>
        <v>10749.090000000026</v>
      </c>
      <c r="N384" s="183">
        <f t="shared" si="321"/>
        <v>2.6872725000000063E-2</v>
      </c>
      <c r="O384" s="182">
        <f t="shared" si="159"/>
        <v>1.6835785259434001E-2</v>
      </c>
      <c r="P384" s="181" t="b">
        <f t="shared" ref="P384" si="360">L384&gt;D384</f>
        <v>0</v>
      </c>
      <c r="Q384" s="183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3">
        <f>STDEV(D$2:D384)*SQRT(252)</f>
        <v>0.15519809817215222</v>
      </c>
      <c r="W384" s="183">
        <f>STDEV(L$2:L384)*SQRT(252)</f>
        <v>0.33665574417634986</v>
      </c>
      <c r="X384" s="173">
        <f t="shared" si="164"/>
        <v>0.17315112309038552</v>
      </c>
      <c r="Y384" s="173">
        <f t="shared" si="165"/>
        <v>5.0008905389759037E-2</v>
      </c>
      <c r="Z384" s="794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4">
        <v>2345.96</v>
      </c>
      <c r="D385" s="170">
        <f t="shared" si="355"/>
        <v>-1.0602737976110974E-3</v>
      </c>
      <c r="E385" s="208">
        <f t="shared" ref="E385" si="364">(C385-$C$2)/$C$2</f>
        <v>0.11582732444207681</v>
      </c>
      <c r="F385" s="218">
        <v>5817.69</v>
      </c>
      <c r="G385" s="170">
        <f t="shared" si="348"/>
        <v>-6.7850296480042173E-4</v>
      </c>
      <c r="H385" s="202">
        <f t="shared" ref="H385" si="365">(F385-F$2)/F$2</f>
        <v>0.14258302727969044</v>
      </c>
      <c r="I385" s="220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1">
        <f t="shared" ref="M385" si="367">I385-J385</f>
        <v>9192.0800000000163</v>
      </c>
      <c r="N385" s="183">
        <f t="shared" ref="N385" si="368">M385/J385</f>
        <v>2.2980200000000041E-2</v>
      </c>
      <c r="O385" s="182">
        <f t="shared" si="159"/>
        <v>1.4372462414383587E-2</v>
      </c>
      <c r="P385" s="181" t="b">
        <f t="shared" ref="P385" si="369">L385&gt;D385</f>
        <v>0</v>
      </c>
      <c r="Q385" s="183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3">
        <f>STDEV(D$2:D385)*SQRT(252)</f>
        <v>0.15499897175263969</v>
      </c>
      <c r="W385" s="183">
        <f>STDEV(L$2:L385)*SQRT(252)</f>
        <v>0.336233128166948</v>
      </c>
      <c r="X385" s="173">
        <f t="shared" si="164"/>
        <v>0.14826033837613944</v>
      </c>
      <c r="Y385" s="173">
        <f t="shared" si="165"/>
        <v>4.274552746404961E-2</v>
      </c>
      <c r="Z385" s="794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4">
        <v>2343.98</v>
      </c>
      <c r="D386" s="170">
        <f t="shared" si="355"/>
        <v>-8.4400416034374759E-4</v>
      </c>
      <c r="E386" s="208">
        <f t="shared" ref="E386" si="372">(C386-$C$2)/$C$2</f>
        <v>0.11488556153802247</v>
      </c>
      <c r="F386" s="218">
        <v>5828.73</v>
      </c>
      <c r="G386" s="170">
        <f t="shared" si="348"/>
        <v>1.8976604116066624E-3</v>
      </c>
      <c r="H386" s="202">
        <f t="shared" ref="H386" si="373">(F386-F$2)/F$2</f>
        <v>0.14475126185753281</v>
      </c>
      <c r="I386" s="220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1">
        <f t="shared" ref="M386" si="375">I386-J386</f>
        <v>10959.030000000028</v>
      </c>
      <c r="N386" s="183">
        <f t="shared" ref="N386" si="376">M386/J386</f>
        <v>2.739757500000007E-2</v>
      </c>
      <c r="O386" s="182">
        <f t="shared" si="159"/>
        <v>1.710592182692312E-2</v>
      </c>
      <c r="P386" s="181" t="b">
        <f t="shared" ref="P386" si="377">L386&gt;D386</f>
        <v>1</v>
      </c>
      <c r="Q386" s="183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3">
        <f>STDEV(D$2:D386)*SQRT(252)</f>
        <v>0.15479943060985338</v>
      </c>
      <c r="W386" s="183">
        <f>STDEV(L$2:L386)*SQRT(252)</f>
        <v>0.33580795162240923</v>
      </c>
      <c r="X386" s="173">
        <f t="shared" si="164"/>
        <v>0.17698756960580284</v>
      </c>
      <c r="Y386" s="173">
        <f t="shared" si="165"/>
        <v>5.0939597303393938E-2</v>
      </c>
      <c r="Z386" s="794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1">
        <v>42821</v>
      </c>
      <c r="C387" s="330">
        <v>2341.59</v>
      </c>
      <c r="D387" s="170">
        <f t="shared" si="355"/>
        <v>-1.0196332733213903E-3</v>
      </c>
      <c r="E387" s="243">
        <f t="shared" ref="E387" si="380">(C387-$C$2)/$C$2</f>
        <v>0.1137487871235327</v>
      </c>
      <c r="F387" s="244">
        <v>5840.37</v>
      </c>
      <c r="G387" s="170">
        <f t="shared" si="348"/>
        <v>1.9970044932601664E-3</v>
      </c>
      <c r="H387" s="245">
        <f t="shared" ref="H387" si="381">(F387-F$2)/F$2</f>
        <v>0.14703733527112753</v>
      </c>
      <c r="I387" s="543">
        <v>411631.08</v>
      </c>
      <c r="J387" s="247">
        <v>400000</v>
      </c>
      <c r="K387" s="247">
        <f t="shared" ref="K387" si="382">I387-I386-J387+J386</f>
        <v>672.04999999998836</v>
      </c>
      <c r="L387" s="170">
        <f t="shared" ref="L387" si="383">K387/I386</f>
        <v>1.6353211657132544E-3</v>
      </c>
      <c r="M387" s="576">
        <f t="shared" ref="M387" si="384">I387-J387</f>
        <v>11631.080000000016</v>
      </c>
      <c r="N387" s="249">
        <f t="shared" ref="N387" si="385">M387/J387</f>
        <v>2.907770000000004E-2</v>
      </c>
      <c r="O387" s="182">
        <f t="shared" si="159"/>
        <v>1.8062295790816349E-2</v>
      </c>
      <c r="P387" s="248" t="b">
        <f t="shared" ref="P387" si="386">L387&gt;D387</f>
        <v>1</v>
      </c>
      <c r="Q387" s="249">
        <f>COUNTIF(P$2:P387, TRUE)/(COUNTIF(P$2:P387,FALSE) + COUNTIF(P$2:P387, TRUE))</f>
        <v>0.48704663212435234</v>
      </c>
      <c r="R387" s="247">
        <v>286923.95</v>
      </c>
      <c r="S387" s="247">
        <f t="shared" ref="S387" si="387">I387-R387</f>
        <v>124707.13</v>
      </c>
      <c r="T387" s="247">
        <v>-32983</v>
      </c>
      <c r="U387" s="247">
        <f t="shared" ref="U387" si="388">M387-T387</f>
        <v>44614.080000000016</v>
      </c>
      <c r="V387" s="249">
        <f>STDEV(D$2:D387)*SQRT(252)</f>
        <v>0.15460159662915288</v>
      </c>
      <c r="W387" s="249">
        <f>STDEV(L$2:L387)*SQRT(252)</f>
        <v>0.33537159778544912</v>
      </c>
      <c r="X387" s="173">
        <f t="shared" si="164"/>
        <v>0.18808149872959928</v>
      </c>
      <c r="Y387" s="173">
        <f t="shared" si="165"/>
        <v>5.3857559525274816E-2</v>
      </c>
      <c r="Z387" s="794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1">
        <v>42822</v>
      </c>
      <c r="C388" s="330">
        <v>2358.5700000000002</v>
      </c>
      <c r="D388" s="170">
        <f t="shared" ref="D388" si="389">(C388-C387)/C387</f>
        <v>7.2514829667021203E-3</v>
      </c>
      <c r="E388" s="243">
        <f t="shared" ref="E388" si="390">(C388-$C$2)/$C$2</f>
        <v>0.12182511748254414</v>
      </c>
      <c r="F388" s="244">
        <v>5875.14</v>
      </c>
      <c r="G388" s="170">
        <f t="shared" ref="G388" si="391">(F388-F387)/F387</f>
        <v>5.9533899393361097E-3</v>
      </c>
      <c r="H388" s="245">
        <f t="shared" ref="H388" si="392">(F388-F$2)/F$2</f>
        <v>0.15386609580297358</v>
      </c>
      <c r="I388" s="543">
        <v>415160.28</v>
      </c>
      <c r="J388" s="247">
        <v>400000</v>
      </c>
      <c r="K388" s="247">
        <f t="shared" ref="K388" si="393">I388-I387-J388+J387</f>
        <v>3529.2000000000116</v>
      </c>
      <c r="L388" s="170">
        <f t="shared" ref="L388:L401" si="394">K388/I387</f>
        <v>8.5736966217420021E-3</v>
      </c>
      <c r="M388" s="576">
        <f t="shared" ref="M388" si="395">I388-J388</f>
        <v>15160.280000000028</v>
      </c>
      <c r="N388" s="249">
        <f t="shared" ref="N388" si="396">M388/J388</f>
        <v>3.7900700000000072E-2</v>
      </c>
      <c r="O388" s="182">
        <f t="shared" si="159"/>
        <v>2.3502938327674066E-2</v>
      </c>
      <c r="P388" s="248" t="b">
        <f t="shared" ref="P388" si="397">L388&gt;D388</f>
        <v>1</v>
      </c>
      <c r="Q388" s="249">
        <f>COUNTIF(P$2:P388, TRUE)/(COUNTIF(P$2:P388,FALSE) + COUNTIF(P$2:P388, TRUE))</f>
        <v>0.48837209302325579</v>
      </c>
      <c r="R388" s="247">
        <v>290453.15000000002</v>
      </c>
      <c r="S388" s="247">
        <f t="shared" ref="S388" si="398">I388-R388</f>
        <v>124707.13</v>
      </c>
      <c r="T388" s="247">
        <v>-33166</v>
      </c>
      <c r="U388" s="247">
        <f t="shared" ref="U388" si="399">M388-T388</f>
        <v>48326.280000000028</v>
      </c>
      <c r="V388" s="249">
        <f>STDEV(D$2:D388)*SQRT(252)</f>
        <v>0.15450201975673039</v>
      </c>
      <c r="W388" s="249">
        <f>STDEV(L$2:L388)*SQRT(252)</f>
        <v>0.33499869256198822</v>
      </c>
      <c r="X388" s="173">
        <f t="shared" si="164"/>
        <v>0.24530876722308381</v>
      </c>
      <c r="Y388" s="173">
        <f t="shared" si="165"/>
        <v>7.0158298672539088E-2</v>
      </c>
      <c r="Z388" s="794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1">
        <v>42823</v>
      </c>
      <c r="C389" s="330">
        <v>2361.13</v>
      </c>
      <c r="D389" s="170">
        <f t="shared" ref="D389" si="400">(C389-C388)/C388</f>
        <v>1.0854034436119959E-3</v>
      </c>
      <c r="E389" s="243">
        <f t="shared" ref="E389" si="401">(C389-$C$2)/$C$2</f>
        <v>0.12304275032819012</v>
      </c>
      <c r="F389" s="244">
        <v>5897.54</v>
      </c>
      <c r="G389" s="170">
        <f t="shared" ref="G389:G401" si="402">(F389-F388)/F388</f>
        <v>3.8126751022102682E-3</v>
      </c>
      <c r="H389" s="245">
        <f t="shared" ref="H389" si="403">(F389-F$2)/F$2</f>
        <v>0.15826541233772615</v>
      </c>
      <c r="I389" s="543">
        <v>420963.65</v>
      </c>
      <c r="J389" s="247">
        <v>400000</v>
      </c>
      <c r="K389" s="247">
        <f t="shared" ref="K389" si="404">I389-I388-J389+J388</f>
        <v>5803.3699999999953</v>
      </c>
      <c r="L389" s="170">
        <f t="shared" si="394"/>
        <v>1.3978625315504641E-2</v>
      </c>
      <c r="M389" s="576">
        <f t="shared" ref="M389" si="405">I389-J389</f>
        <v>20963.650000000023</v>
      </c>
      <c r="N389" s="249">
        <f t="shared" ref="N389" si="406">M389/J389</f>
        <v>5.2409125000000056E-2</v>
      </c>
      <c r="O389" s="182">
        <f t="shared" si="159"/>
        <v>3.2444801536016983E-2</v>
      </c>
      <c r="P389" s="248" t="b">
        <f t="shared" ref="P389" si="407">L389&gt;D389</f>
        <v>1</v>
      </c>
      <c r="Q389" s="249">
        <f>COUNTIF(P$2:P389, TRUE)/(COUNTIF(P$2:P389,FALSE) + COUNTIF(P$2:P389, TRUE))</f>
        <v>0.48969072164948452</v>
      </c>
      <c r="R389" s="247">
        <v>287876.7</v>
      </c>
      <c r="S389" s="247">
        <f t="shared" ref="S389" si="408">I389-R389</f>
        <v>133086.95000000001</v>
      </c>
      <c r="T389" s="247">
        <v>-32529</v>
      </c>
      <c r="U389" s="247">
        <f t="shared" ref="U389" si="409">M389-T389</f>
        <v>53492.650000000023</v>
      </c>
      <c r="V389" s="249">
        <f>STDEV(D$2:D389)*SQRT(252)</f>
        <v>0.15430291454708026</v>
      </c>
      <c r="W389" s="249">
        <f>STDEV(L$2:L389)*SQRT(252)</f>
        <v>0.3347396845919004</v>
      </c>
      <c r="X389" s="173">
        <f t="shared" si="164"/>
        <v>0.33965090778638019</v>
      </c>
      <c r="Y389" s="173">
        <f t="shared" si="165"/>
        <v>9.6925470834365604E-2</v>
      </c>
      <c r="Z389" s="794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1">
        <v>42824</v>
      </c>
      <c r="C390" s="330">
        <v>2368.06</v>
      </c>
      <c r="D390" s="170">
        <f t="shared" ref="D390:D392" si="410">(C390-C389)/C389</f>
        <v>2.9350353432465964E-3</v>
      </c>
      <c r="E390" s="243">
        <f t="shared" ref="E390" si="411">(C390-$C$2)/$C$2</f>
        <v>0.12633892049238021</v>
      </c>
      <c r="F390" s="244">
        <v>5914.34</v>
      </c>
      <c r="G390" s="170">
        <f t="shared" si="402"/>
        <v>2.848645367390502E-3</v>
      </c>
      <c r="H390" s="245">
        <f t="shared" ref="H390" si="412">(F390-F$2)/F$2</f>
        <v>0.16156489973879065</v>
      </c>
      <c r="I390" s="543">
        <v>421561.9</v>
      </c>
      <c r="J390" s="247">
        <v>400000</v>
      </c>
      <c r="K390" s="247">
        <f t="shared" ref="K390" si="413">I390-I389-J390+J389</f>
        <v>598.25</v>
      </c>
      <c r="L390" s="170">
        <f t="shared" si="394"/>
        <v>1.4211440821553119E-3</v>
      </c>
      <c r="M390" s="576">
        <f t="shared" ref="M390" si="414">I390-J390</f>
        <v>21561.900000000023</v>
      </c>
      <c r="N390" s="249">
        <f t="shared" ref="N390" si="415">M390/J390</f>
        <v>5.3904750000000057E-2</v>
      </c>
      <c r="O390" s="182">
        <f t="shared" si="159"/>
        <v>3.3314230012690391E-2</v>
      </c>
      <c r="P390" s="248" t="b">
        <f t="shared" ref="P390" si="416">L390&gt;D390</f>
        <v>0</v>
      </c>
      <c r="Q390" s="249">
        <f>COUNTIF(P$2:P390, TRUE)/(COUNTIF(P$2:P390,FALSE) + COUNTIF(P$2:P390, TRUE))</f>
        <v>0.4884318766066838</v>
      </c>
      <c r="R390" s="247">
        <v>288474.95</v>
      </c>
      <c r="S390" s="247">
        <f t="shared" ref="S390" si="417">I390-R390</f>
        <v>133086.95000000001</v>
      </c>
      <c r="T390" s="247">
        <v>-32386</v>
      </c>
      <c r="U390" s="247">
        <f t="shared" ref="U390" si="418">M390-T390</f>
        <v>53947.900000000023</v>
      </c>
      <c r="V390" s="249">
        <f>STDEV(D$2:D390)*SQRT(252)</f>
        <v>0.15411754273939668</v>
      </c>
      <c r="W390" s="249">
        <f>STDEV(L$2:L390)*SQRT(252)</f>
        <v>0.3343075900232127</v>
      </c>
      <c r="X390" s="173">
        <f t="shared" si="164"/>
        <v>0.34976388178696621</v>
      </c>
      <c r="Y390" s="173">
        <f t="shared" si="165"/>
        <v>9.9651431815763483E-2</v>
      </c>
      <c r="Z390" s="794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1">
        <v>42825</v>
      </c>
      <c r="C391" s="330">
        <v>2362.7199999999998</v>
      </c>
      <c r="D391" s="170">
        <f t="shared" si="410"/>
        <v>-2.2550104304790188E-3</v>
      </c>
      <c r="E391" s="243">
        <f t="shared" ref="E391" si="419">(C391-$C$2)/$C$2</f>
        <v>0.12379901447841543</v>
      </c>
      <c r="F391" s="244">
        <v>5911.73</v>
      </c>
      <c r="G391" s="170">
        <f t="shared" si="402"/>
        <v>-4.4130029724374692E-4</v>
      </c>
      <c r="H391" s="245">
        <f t="shared" ref="H391" si="420">(F391-F$2)/F$2</f>
        <v>0.16105230080326802</v>
      </c>
      <c r="I391" s="573">
        <v>422230.44</v>
      </c>
      <c r="J391" s="247">
        <v>400000</v>
      </c>
      <c r="K391" s="247">
        <f t="shared" ref="K391" si="421">I391-I390-J391+J390</f>
        <v>668.53999999997905</v>
      </c>
      <c r="L391" s="170">
        <f t="shared" si="394"/>
        <v>1.5858643772124071E-3</v>
      </c>
      <c r="M391" s="464">
        <f t="shared" ref="M391" si="422">I391-J391</f>
        <v>22230.440000000002</v>
      </c>
      <c r="N391" s="249">
        <f t="shared" ref="N391" si="423">M391/J391</f>
        <v>5.5576100000000003E-2</v>
      </c>
      <c r="O391" s="182">
        <f t="shared" ref="O391:O454" si="424">N391/(A391/365.25)</f>
        <v>3.4289139400337842E-2</v>
      </c>
      <c r="P391" s="248" t="b">
        <f t="shared" ref="P391" si="425">L391&gt;D391</f>
        <v>1</v>
      </c>
      <c r="Q391" s="249">
        <f>COUNTIF(P$2:P391, TRUE)/(COUNTIF(P$2:P391,FALSE) + COUNTIF(P$2:P391, TRUE))</f>
        <v>0.48974358974358972</v>
      </c>
      <c r="R391" s="247">
        <v>285478.7</v>
      </c>
      <c r="S391" s="247">
        <f t="shared" ref="S391" si="426">I391-R391</f>
        <v>136751.74</v>
      </c>
      <c r="T391" s="247">
        <v>-31395</v>
      </c>
      <c r="U391" s="247">
        <f t="shared" ref="U391" si="427">M391-T391</f>
        <v>53625.440000000002</v>
      </c>
      <c r="V391" s="249">
        <f>STDEV(D$2:D391)*SQRT(252)</f>
        <v>0.15393312876739909</v>
      </c>
      <c r="W391" s="249">
        <f>STDEV(L$2:L391)*SQRT(252)</f>
        <v>0.33387745459794199</v>
      </c>
      <c r="X391" s="173">
        <f t="shared" si="164"/>
        <v>0.36104054042829442</v>
      </c>
      <c r="Y391" s="173">
        <f t="shared" si="165"/>
        <v>0.10269977480698453</v>
      </c>
      <c r="Z391" s="794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4">
        <v>2358.84</v>
      </c>
      <c r="D392" s="170">
        <f t="shared" si="410"/>
        <v>-1.6421751202003007E-3</v>
      </c>
      <c r="E392" s="208">
        <f t="shared" ref="E392" si="428">(C392-$C$2)/$C$2</f>
        <v>0.12195353969673337</v>
      </c>
      <c r="F392" s="218">
        <v>5894.68</v>
      </c>
      <c r="G392" s="170">
        <f t="shared" si="402"/>
        <v>-2.8840965335019146E-3</v>
      </c>
      <c r="H392" s="202">
        <f t="shared" ref="H392" si="429">(F392-F$2)/F$2</f>
        <v>0.15770371388730689</v>
      </c>
      <c r="I392" s="220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1">
        <f t="shared" ref="M392" si="431">I392-J392</f>
        <v>20788.859999999986</v>
      </c>
      <c r="N392" s="183">
        <f t="shared" ref="N392" si="432">M392/J392</f>
        <v>5.1972149999999967E-2</v>
      </c>
      <c r="O392" s="182">
        <f t="shared" si="424"/>
        <v>3.1903912247899138E-2</v>
      </c>
      <c r="P392" s="181" t="b">
        <f t="shared" ref="P392" si="433">L392&gt;D392</f>
        <v>0</v>
      </c>
      <c r="Q392" s="183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3">
        <f>STDEV(D$2:D392)*SQRT(252)</f>
        <v>0.15374345797285574</v>
      </c>
      <c r="W392" s="183">
        <f>STDEV(L$2:L392)*SQRT(252)</f>
        <v>0.33346362819879094</v>
      </c>
      <c r="X392" s="173">
        <f t="shared" si="164"/>
        <v>0.33804462762360882</v>
      </c>
      <c r="Y392" s="173">
        <f t="shared" si="165"/>
        <v>9.5674339118267934E-2</v>
      </c>
      <c r="Z392" s="794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4">
        <v>2360.16</v>
      </c>
      <c r="D393" s="170">
        <f t="shared" ref="D393" si="436">(C393-C392)/C392</f>
        <v>5.5959709009500806E-4</v>
      </c>
      <c r="E393" s="208">
        <f t="shared" ref="E393" si="437">(C393-$C$2)/$C$2</f>
        <v>0.12258138163276945</v>
      </c>
      <c r="F393" s="218">
        <v>5898.6</v>
      </c>
      <c r="G393" s="170">
        <f t="shared" si="402"/>
        <v>6.6500641256184774E-4</v>
      </c>
      <c r="H393" s="202">
        <f t="shared" ref="H393" si="438">(F393-F$2)/F$2</f>
        <v>0.15847359428088861</v>
      </c>
      <c r="I393" s="220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1">
        <f t="shared" ref="M393" si="440">I393-J393</f>
        <v>22816.590000000026</v>
      </c>
      <c r="N393" s="183">
        <f t="shared" ref="N393" si="441">M393/J393</f>
        <v>5.7041475000000064E-2</v>
      </c>
      <c r="O393" s="182">
        <f t="shared" si="424"/>
        <v>3.4957044872063796E-2</v>
      </c>
      <c r="P393" s="181" t="b">
        <f t="shared" ref="P393" si="442">L393&gt;D393</f>
        <v>1</v>
      </c>
      <c r="Q393" s="183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3">
        <f>STDEV(D$2:D393)*SQRT(252)</f>
        <v>0.15354632404261861</v>
      </c>
      <c r="W393" s="183">
        <f>STDEV(L$2:L393)*SQRT(252)</f>
        <v>0.33305315734956037</v>
      </c>
      <c r="X393" s="173">
        <f t="shared" si="164"/>
        <v>0.37149358902377577</v>
      </c>
      <c r="Y393" s="173">
        <f t="shared" si="165"/>
        <v>0.10495935588856815</v>
      </c>
      <c r="Z393" s="794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4">
        <v>2352.9499999999998</v>
      </c>
      <c r="D394" s="170">
        <f t="shared" ref="D394:D398" si="445">(C394-C393)/C393</f>
        <v>-3.054877635414564E-3</v>
      </c>
      <c r="E394" s="208">
        <f t="shared" ref="E394" si="446">(C394-$C$2)/$C$2</f>
        <v>0.11915203287608672</v>
      </c>
      <c r="F394" s="218">
        <v>5864.47</v>
      </c>
      <c r="G394" s="170">
        <f t="shared" si="402"/>
        <v>-5.7861187400400273E-3</v>
      </c>
      <c r="H394" s="202">
        <f t="shared" ref="H394" si="447">(F394-F$2)/F$2</f>
        <v>0.15177052850717845</v>
      </c>
      <c r="I394" s="220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1">
        <f t="shared" ref="M394" si="449">I394-J394</f>
        <v>21093.289999999979</v>
      </c>
      <c r="N394" s="183">
        <f t="shared" ref="N394" si="450">M394/J394</f>
        <v>5.2733224999999946E-2</v>
      </c>
      <c r="O394" s="182">
        <f t="shared" si="424"/>
        <v>3.2262664038944691E-2</v>
      </c>
      <c r="P394" s="181" t="b">
        <f t="shared" ref="P394" si="451">L394&gt;D394</f>
        <v>0</v>
      </c>
      <c r="Q394" s="183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3">
        <f>STDEV(D$2:D394)*SQRT(252)</f>
        <v>0.15337403613806713</v>
      </c>
      <c r="W394" s="183">
        <f>STDEV(L$2:L394)*SQRT(252)</f>
        <v>0.33264809996553257</v>
      </c>
      <c r="X394" s="173">
        <f t="shared" si="164"/>
        <v>0.34382106859683575</v>
      </c>
      <c r="Y394" s="173">
        <f t="shared" si="165"/>
        <v>9.6987369061442397E-2</v>
      </c>
      <c r="Z394" s="794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4">
        <v>2357.4899999999998</v>
      </c>
      <c r="D395" s="170">
        <f t="shared" si="445"/>
        <v>1.9294927644021181E-3</v>
      </c>
      <c r="E395" s="208">
        <f t="shared" ref="E395" si="454">(C395-$C$2)/$C$2</f>
        <v>0.12131142862578705</v>
      </c>
      <c r="F395" s="218">
        <v>5878.95</v>
      </c>
      <c r="G395" s="170">
        <f t="shared" si="402"/>
        <v>2.4691063301542277E-3</v>
      </c>
      <c r="H395" s="202">
        <f t="shared" ref="H395" si="455">(F395-F$2)/F$2</f>
        <v>0.15461437241000059</v>
      </c>
      <c r="I395" s="220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1">
        <f t="shared" ref="M395" si="457">I395-J395</f>
        <v>24138.099999999977</v>
      </c>
      <c r="N395" s="183">
        <f t="shared" ref="N395" si="458">M395/J395</f>
        <v>6.0345249999999941E-2</v>
      </c>
      <c r="O395" s="182">
        <f t="shared" si="424"/>
        <v>3.6858031040969866E-2</v>
      </c>
      <c r="P395" s="181" t="b">
        <f t="shared" ref="P395" si="459">L395&gt;D395</f>
        <v>1</v>
      </c>
      <c r="Q395" s="183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3">
        <f>STDEV(D$2:D395)*SQRT(252)</f>
        <v>0.15318361130660466</v>
      </c>
      <c r="W395" s="183">
        <f>STDEV(L$2:L395)*SQRT(252)</f>
        <v>0.33226612910747538</v>
      </c>
      <c r="X395" s="173">
        <f t="shared" si="164"/>
        <v>0.39394064081186797</v>
      </c>
      <c r="Y395" s="173">
        <f t="shared" si="165"/>
        <v>0.11092924560194248</v>
      </c>
      <c r="Z395" s="794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4">
        <v>2355.54</v>
      </c>
      <c r="D396" s="170">
        <f t="shared" si="445"/>
        <v>-8.2715091050219439E-4</v>
      </c>
      <c r="E396" s="208">
        <f t="shared" ref="E396" si="462">(C396-$C$2)/$C$2</f>
        <v>0.12038393485664271</v>
      </c>
      <c r="F396" s="218">
        <v>5877.81</v>
      </c>
      <c r="G396" s="170">
        <f t="shared" si="402"/>
        <v>-1.9391217819498687E-4</v>
      </c>
      <c r="H396" s="202">
        <f t="shared" ref="H396" si="463">(F396-F$2)/F$2</f>
        <v>0.15439047862207134</v>
      </c>
      <c r="I396" s="220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1">
        <f t="shared" ref="M396" si="465">I396-J396</f>
        <v>23331.5</v>
      </c>
      <c r="N396" s="183">
        <f t="shared" ref="N396" si="466">M396/J396</f>
        <v>5.8328749999999999E-2</v>
      </c>
      <c r="O396" s="182">
        <f t="shared" si="424"/>
        <v>3.5566904737061769E-2</v>
      </c>
      <c r="P396" s="181" t="b">
        <f t="shared" ref="P396" si="467">L396&gt;D396</f>
        <v>0</v>
      </c>
      <c r="Q396" s="183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3">
        <f>STDEV(D$2:D396)*SQRT(252)</f>
        <v>0.15299143349186958</v>
      </c>
      <c r="W396" s="183">
        <f>STDEV(L$2:L396)*SQRT(252)</f>
        <v>0.33184917870470027</v>
      </c>
      <c r="X396" s="173">
        <f t="shared" si="164"/>
        <v>0.3812550066935595</v>
      </c>
      <c r="Y396" s="173">
        <f t="shared" si="165"/>
        <v>0.10717792002948237</v>
      </c>
      <c r="Z396" s="794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1">
        <v>42835</v>
      </c>
      <c r="C397" s="330">
        <v>2357.16</v>
      </c>
      <c r="D397" s="170">
        <f t="shared" si="445"/>
        <v>6.8774039073838311E-4</v>
      </c>
      <c r="E397" s="243">
        <f t="shared" ref="E397" si="470">(C397-$C$2)/$C$2</f>
        <v>0.12115446814177802</v>
      </c>
      <c r="F397" s="244">
        <v>5880.92</v>
      </c>
      <c r="G397" s="170">
        <f t="shared" si="402"/>
        <v>5.2910863059535309E-4</v>
      </c>
      <c r="H397" s="245">
        <f t="shared" ref="H397" si="471">(F397-F$2)/F$2</f>
        <v>0.15500127658738738</v>
      </c>
      <c r="I397" s="543">
        <v>425409.3</v>
      </c>
      <c r="J397" s="247">
        <v>400000</v>
      </c>
      <c r="K397" s="247">
        <f t="shared" ref="K397" si="472">I397-I396-J397+J396</f>
        <v>2077.7999999999884</v>
      </c>
      <c r="L397" s="170">
        <f t="shared" si="394"/>
        <v>4.9082102324064904E-3</v>
      </c>
      <c r="M397" s="576">
        <f t="shared" ref="M397" si="473">I397-J397</f>
        <v>25409.299999999988</v>
      </c>
      <c r="N397" s="249">
        <f t="shared" ref="N397" si="474">M397/J397</f>
        <v>6.3523249999999976E-2</v>
      </c>
      <c r="O397" s="182">
        <f t="shared" si="424"/>
        <v>3.854130741279068E-2</v>
      </c>
      <c r="P397" s="248" t="b">
        <f t="shared" ref="P397" si="475">L397&gt;D397</f>
        <v>1</v>
      </c>
      <c r="Q397" s="249">
        <f>COUNTIF(P$2:P397, TRUE)/(COUNTIF(P$2:P397,FALSE) + COUNTIF(P$2:P397, TRUE))</f>
        <v>0.48989898989898989</v>
      </c>
      <c r="R397" s="247">
        <v>285684.5</v>
      </c>
      <c r="S397" s="247">
        <f t="shared" ref="S397" si="476">I397-R397</f>
        <v>139724.79999999999</v>
      </c>
      <c r="T397" s="247">
        <v>-32983</v>
      </c>
      <c r="U397" s="247">
        <f t="shared" ref="U397" si="477">M397-T397</f>
        <v>58392.299999999988</v>
      </c>
      <c r="V397" s="249">
        <f>STDEV(D$2:D397)*SQRT(252)</f>
        <v>0.15279741867910826</v>
      </c>
      <c r="W397" s="249">
        <f>STDEV(L$2:L397)*SQRT(252)</f>
        <v>0.3314456683195206</v>
      </c>
      <c r="X397" s="173">
        <f t="shared" si="164"/>
        <v>0.41573509912105211</v>
      </c>
      <c r="Y397" s="173">
        <f t="shared" si="165"/>
        <v>0.11628242905753122</v>
      </c>
      <c r="Z397" s="794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1">
        <v>42836</v>
      </c>
      <c r="C398" s="330">
        <v>2353.7800000000002</v>
      </c>
      <c r="D398" s="170">
        <f t="shared" si="445"/>
        <v>-1.4339289653649539E-3</v>
      </c>
      <c r="E398" s="243">
        <f t="shared" ref="E398" si="478">(C398-$C$2)/$C$2</f>
        <v>0.11954681227526119</v>
      </c>
      <c r="F398" s="244">
        <v>5866.77</v>
      </c>
      <c r="G398" s="170">
        <f t="shared" si="402"/>
        <v>-2.4060861225793984E-3</v>
      </c>
      <c r="H398" s="245">
        <f t="shared" ref="H398" si="479">(F398-F$2)/F$2</f>
        <v>0.15222224404422896</v>
      </c>
      <c r="I398" s="543">
        <v>423985</v>
      </c>
      <c r="J398" s="247">
        <v>400000</v>
      </c>
      <c r="K398" s="247">
        <f t="shared" ref="K398" si="480">I398-I397-J398+J397</f>
        <v>-1424.2999999999884</v>
      </c>
      <c r="L398" s="170">
        <f t="shared" si="394"/>
        <v>-3.3480697295521947E-3</v>
      </c>
      <c r="M398" s="576">
        <f t="shared" ref="M398" si="481">I398-J398</f>
        <v>23985</v>
      </c>
      <c r="N398" s="249">
        <f t="shared" ref="N398" si="482">M398/J398</f>
        <v>5.9962500000000002E-2</v>
      </c>
      <c r="O398" s="182">
        <f t="shared" si="424"/>
        <v>3.6320569029850744E-2</v>
      </c>
      <c r="P398" s="248" t="b">
        <f t="shared" ref="P398" si="483">L398&gt;D398</f>
        <v>0</v>
      </c>
      <c r="Q398" s="249">
        <f>COUNTIF(P$2:P398, TRUE)/(COUNTIF(P$2:P398,FALSE) + COUNTIF(P$2:P398, TRUE))</f>
        <v>0.48866498740554154</v>
      </c>
      <c r="R398" s="247">
        <v>291945.2</v>
      </c>
      <c r="S398" s="247">
        <f t="shared" ref="S398" si="484">I398-R398</f>
        <v>132039.79999999999</v>
      </c>
      <c r="T398" s="247">
        <v>-32982</v>
      </c>
      <c r="U398" s="247">
        <f t="shared" ref="U398" si="485">M398-T398</f>
        <v>56967</v>
      </c>
      <c r="V398" s="249">
        <f>STDEV(D$2:D398)*SQRT(252)</f>
        <v>0.15261041063464104</v>
      </c>
      <c r="W398" s="249">
        <f>STDEV(L$2:L398)*SQRT(252)</f>
        <v>0.33104089578978618</v>
      </c>
      <c r="X398" s="173">
        <f t="shared" si="164"/>
        <v>0.39291225120646595</v>
      </c>
      <c r="Y398" s="173">
        <f t="shared" si="165"/>
        <v>0.10971626011100036</v>
      </c>
      <c r="Z398" s="794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1">
        <v>42837</v>
      </c>
      <c r="C399" s="330">
        <v>2344.9299999999998</v>
      </c>
      <c r="D399" s="170">
        <f t="shared" ref="D399:D401" si="486">(C399-C398)/C398</f>
        <v>-3.7599095922305243E-3</v>
      </c>
      <c r="E399" s="243">
        <f t="shared" ref="E399" si="487">(C399-$C$2)/$C$2</f>
        <v>0.11533741747683633</v>
      </c>
      <c r="F399" s="244">
        <v>5836.16</v>
      </c>
      <c r="G399" s="170">
        <f t="shared" si="402"/>
        <v>-5.2175217368331432E-3</v>
      </c>
      <c r="H399" s="245">
        <f t="shared" ref="H399" si="488">(F399-F$2)/F$2</f>
        <v>0.14621049944026554</v>
      </c>
      <c r="I399" s="543">
        <v>422212.73</v>
      </c>
      <c r="J399" s="247">
        <v>400000</v>
      </c>
      <c r="K399" s="247">
        <f t="shared" ref="K399" si="489">I399-I398-J399+J398</f>
        <v>-1772.2700000000186</v>
      </c>
      <c r="L399" s="170">
        <f t="shared" si="394"/>
        <v>-4.1800299538899219E-3</v>
      </c>
      <c r="M399" s="576">
        <f t="shared" ref="M399" si="490">I399-J399</f>
        <v>22212.729999999981</v>
      </c>
      <c r="N399" s="249">
        <f t="shared" ref="N399" si="491">M399/J399</f>
        <v>5.5531824999999951E-2</v>
      </c>
      <c r="O399" s="182">
        <f t="shared" si="424"/>
        <v>3.3581124306705269E-2</v>
      </c>
      <c r="P399" s="248" t="b">
        <f t="shared" ref="P399" si="492">L399&gt;D399</f>
        <v>0</v>
      </c>
      <c r="Q399" s="249">
        <f>COUNTIF(P$2:P399, TRUE)/(COUNTIF(P$2:P399,FALSE) + COUNTIF(P$2:P399, TRUE))</f>
        <v>0.48743718592964824</v>
      </c>
      <c r="R399" s="247">
        <v>291946.2</v>
      </c>
      <c r="S399" s="247">
        <f t="shared" ref="S399" si="493">I399-R399</f>
        <v>130266.52999999997</v>
      </c>
      <c r="T399" s="247">
        <v>-32526</v>
      </c>
      <c r="U399" s="247">
        <f t="shared" ref="U399" si="494">M399-T399</f>
        <v>54738.729999999981</v>
      </c>
      <c r="V399" s="249">
        <f>STDEV(D$2:D399)*SQRT(252)</f>
        <v>0.15245244674413128</v>
      </c>
      <c r="W399" s="249">
        <f>STDEV(L$2:L399)*SQRT(252)</f>
        <v>0.33064456752182653</v>
      </c>
      <c r="X399" s="173">
        <f t="shared" si="164"/>
        <v>0.36425669896398483</v>
      </c>
      <c r="Y399" s="173">
        <f t="shared" si="165"/>
        <v>0.10156260711734968</v>
      </c>
      <c r="Z399" s="794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1">
        <v>42838</v>
      </c>
      <c r="C400" s="330">
        <v>2328.9499999999998</v>
      </c>
      <c r="D400" s="170">
        <f t="shared" si="486"/>
        <v>-6.8147023578529076E-3</v>
      </c>
      <c r="E400" s="243">
        <f t="shared" ref="E400" si="495">(C400-$C$2)/$C$2</f>
        <v>0.10773672494815537</v>
      </c>
      <c r="F400" s="244">
        <v>5805.15</v>
      </c>
      <c r="G400" s="170">
        <f t="shared" si="402"/>
        <v>-5.3134252659283194E-3</v>
      </c>
      <c r="H400" s="245">
        <f t="shared" ref="H400" si="496">(F400-F$2)/F$2</f>
        <v>0.14012019561246733</v>
      </c>
      <c r="I400" s="543">
        <v>418306.53</v>
      </c>
      <c r="J400" s="247">
        <v>400000</v>
      </c>
      <c r="K400" s="247">
        <f t="shared" ref="K400" si="497">I400-I399-J400+J399</f>
        <v>-3906.1999999999534</v>
      </c>
      <c r="L400" s="170">
        <f t="shared" si="394"/>
        <v>-9.2517343093846405E-3</v>
      </c>
      <c r="M400" s="576">
        <f t="shared" ref="M400" si="498">I400-J400</f>
        <v>18306.530000000028</v>
      </c>
      <c r="N400" s="249">
        <f t="shared" ref="N400" si="499">M400/J400</f>
        <v>4.5766325000000073E-2</v>
      </c>
      <c r="O400" s="182">
        <f t="shared" si="424"/>
        <v>2.7630000340909136E-2</v>
      </c>
      <c r="P400" s="248" t="b">
        <f t="shared" ref="P400" si="500">L400&gt;D400</f>
        <v>0</v>
      </c>
      <c r="Q400" s="249">
        <f>COUNTIF(P$2:P400, TRUE)/(COUNTIF(P$2:P400,FALSE) + COUNTIF(P$2:P400, TRUE))</f>
        <v>0.48621553884711777</v>
      </c>
      <c r="R400" s="247">
        <v>286240.8</v>
      </c>
      <c r="S400" s="247">
        <f t="shared" ref="S400" si="501">I400-R400</f>
        <v>132065.73000000004</v>
      </c>
      <c r="T400" s="247">
        <v>-33099</v>
      </c>
      <c r="U400" s="247">
        <f t="shared" ref="U400" si="502">M400-T400</f>
        <v>51405.530000000028</v>
      </c>
      <c r="V400" s="249">
        <f>STDEV(D$2:D400)*SQRT(252)</f>
        <v>0.15236615023728597</v>
      </c>
      <c r="W400" s="249">
        <f>STDEV(L$2:L400)*SQRT(252)</f>
        <v>0.33032064931831551</v>
      </c>
      <c r="X400" s="173">
        <f t="shared" si="164"/>
        <v>0.30037068554089164</v>
      </c>
      <c r="Y400" s="173">
        <f t="shared" si="165"/>
        <v>8.3645997905154632E-2</v>
      </c>
      <c r="Z400" s="794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4">
        <v>2349.0100000000002</v>
      </c>
      <c r="D401" s="170">
        <f t="shared" si="486"/>
        <v>8.6133236007644651E-3</v>
      </c>
      <c r="E401" s="208">
        <f t="shared" ref="E401" si="503">(C401-$C$2)/$C$2</f>
        <v>0.11727801982458484</v>
      </c>
      <c r="F401" s="218">
        <v>5856.78</v>
      </c>
      <c r="G401" s="170">
        <f t="shared" si="402"/>
        <v>8.8938270328932263E-3</v>
      </c>
      <c r="H401" s="202">
        <f t="shared" ref="H401" si="504">(F401-F$2)/F$2</f>
        <v>0.15026022742895298</v>
      </c>
      <c r="I401" s="220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1">
        <f t="shared" ref="M401" si="506">I401-J401</f>
        <v>20202.330000000016</v>
      </c>
      <c r="N401" s="183">
        <f t="shared" ref="N401" si="507">M401/J401</f>
        <v>5.0505825000000039E-2</v>
      </c>
      <c r="O401" s="182">
        <f t="shared" si="424"/>
        <v>3.0291055141625639E-2</v>
      </c>
      <c r="P401" s="181" t="b">
        <f t="shared" ref="P401" si="508">L401&gt;D401</f>
        <v>0</v>
      </c>
      <c r="Q401" s="183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3">
        <f>STDEV(D$2:D401)*SQRT(252)</f>
        <v>0.15231786401444669</v>
      </c>
      <c r="W401" s="183">
        <f>STDEV(L$2:L401)*SQRT(252)</f>
        <v>0.32992050318629979</v>
      </c>
      <c r="X401" s="173">
        <f t="shared" si="164"/>
        <v>0.33158175718121796</v>
      </c>
      <c r="Y401" s="173">
        <f t="shared" si="165"/>
        <v>9.1813193933330234E-2</v>
      </c>
      <c r="Z401" s="794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4">
        <v>2342.19</v>
      </c>
      <c r="D402" s="170">
        <f t="shared" ref="D402" si="511">(C402-C401)/C401</f>
        <v>-2.9033507733045678E-3</v>
      </c>
      <c r="E402" s="208">
        <f t="shared" ref="E402" si="512">(C402-$C$2)/$C$2</f>
        <v>0.11403416982173094</v>
      </c>
      <c r="F402" s="218">
        <v>5849.47</v>
      </c>
      <c r="G402" s="170">
        <f t="shared" ref="G402" si="513">(F402-F401)/F401</f>
        <v>-1.2481261034219299E-3</v>
      </c>
      <c r="H402" s="202">
        <f t="shared" ref="H402" si="514">(F402-F$2)/F$2</f>
        <v>0.14882455761337088</v>
      </c>
      <c r="I402" s="220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1">
        <f t="shared" ref="M402" si="517">I402-J402</f>
        <v>17764.530000000028</v>
      </c>
      <c r="N402" s="183">
        <f t="shared" ref="N402" si="518">M402/J402</f>
        <v>4.4411325000000071E-2</v>
      </c>
      <c r="O402" s="182">
        <f t="shared" si="424"/>
        <v>2.6592190911885288E-2</v>
      </c>
      <c r="P402" s="181" t="b">
        <f t="shared" ref="P402" si="519">L402&gt;D402</f>
        <v>0</v>
      </c>
      <c r="Q402" s="183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3">
        <f>STDEV(D$2:D402)*SQRT(252)</f>
        <v>0.15214843271809947</v>
      </c>
      <c r="W402" s="183">
        <f>STDEV(L$2:L402)*SQRT(252)</f>
        <v>0.32954563372803763</v>
      </c>
      <c r="X402" s="173">
        <f t="shared" si="164"/>
        <v>0.29189472547696466</v>
      </c>
      <c r="Y402" s="173">
        <f t="shared" si="165"/>
        <v>8.0693500960874159E-2</v>
      </c>
      <c r="Z402" s="794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4">
        <v>2338.17</v>
      </c>
      <c r="D403" s="170">
        <f t="shared" ref="D403:D406" si="522">(C403-C402)/C402</f>
        <v>-1.716342397499768E-3</v>
      </c>
      <c r="E403" s="208">
        <f t="shared" ref="E403" si="523">(C403-$C$2)/$C$2</f>
        <v>0.11212210574380245</v>
      </c>
      <c r="F403" s="218">
        <v>5863.03</v>
      </c>
      <c r="G403" s="170">
        <f t="shared" ref="G403:G406" si="524">(F403-F402)/F402</f>
        <v>2.3181587391677347E-3</v>
      </c>
      <c r="H403" s="202">
        <f t="shared" ref="H403" si="525">(F403-F$2)/F$2</f>
        <v>0.15148771530137281</v>
      </c>
      <c r="I403" s="220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1">
        <f t="shared" ref="M403" si="527">I403-J403</f>
        <v>12053.830000000016</v>
      </c>
      <c r="N403" s="183">
        <f t="shared" ref="N403" si="528">M403/J403</f>
        <v>3.0134575000000042E-2</v>
      </c>
      <c r="O403" s="182">
        <f t="shared" si="424"/>
        <v>1.801416287847793E-2</v>
      </c>
      <c r="P403" s="181" t="b">
        <f t="shared" ref="P403" si="529">L403&gt;D403</f>
        <v>0</v>
      </c>
      <c r="Q403" s="183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3">
        <f>STDEV(D$2:D403)*SQRT(252)</f>
        <v>0.15196666630040803</v>
      </c>
      <c r="W403" s="183">
        <f>STDEV(L$2:L403)*SQRT(252)</f>
        <v>0.32932657085630085</v>
      </c>
      <c r="X403" s="173">
        <f t="shared" si="164"/>
        <v>0.19829726961589031</v>
      </c>
      <c r="Y403" s="173">
        <f t="shared" si="165"/>
        <v>5.4699998337936338E-2</v>
      </c>
      <c r="Z403" s="794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4">
        <v>2355.84</v>
      </c>
      <c r="D404" s="170">
        <f t="shared" si="522"/>
        <v>7.5571921631019442E-3</v>
      </c>
      <c r="E404" s="208">
        <f t="shared" ref="E404" si="532">(C404-$C$2)/$C$2</f>
        <v>0.12052662620574194</v>
      </c>
      <c r="F404" s="218">
        <v>5916.77</v>
      </c>
      <c r="G404" s="170">
        <f t="shared" si="524"/>
        <v>9.1659090947855786E-3</v>
      </c>
      <c r="H404" s="202">
        <f t="shared" ref="H404" si="533">(F404-F$2)/F$2</f>
        <v>0.16204214702358755</v>
      </c>
      <c r="I404" s="220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1">
        <f t="shared" ref="M404" si="535">I404-J404</f>
        <v>13381.090000000026</v>
      </c>
      <c r="N404" s="183">
        <f t="shared" ref="N404" si="536">M404/J404</f>
        <v>3.3452725000000065E-2</v>
      </c>
      <c r="O404" s="182">
        <f t="shared" si="424"/>
        <v>1.996504543504906E-2</v>
      </c>
      <c r="P404" s="181" t="b">
        <f t="shared" ref="P404" si="537">L404&gt;D404</f>
        <v>0</v>
      </c>
      <c r="Q404" s="183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3">
        <f>STDEV(D$2:D404)*SQRT(252)</f>
        <v>0.15188546729503541</v>
      </c>
      <c r="W404" s="183">
        <f>STDEV(L$2:L404)*SQRT(252)</f>
        <v>0.32892263497234886</v>
      </c>
      <c r="X404" s="173">
        <f t="shared" si="164"/>
        <v>0.22024967625782532</v>
      </c>
      <c r="Y404" s="173">
        <f t="shared" si="165"/>
        <v>6.069830200870012E-2</v>
      </c>
      <c r="Z404" s="794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4">
        <v>2348.69</v>
      </c>
      <c r="D405" s="170">
        <f t="shared" si="522"/>
        <v>-3.035010866612372E-3</v>
      </c>
      <c r="E405" s="208">
        <f t="shared" ref="E405" si="540">(C405-$C$2)/$C$2</f>
        <v>0.11712581571887902</v>
      </c>
      <c r="F405" s="218">
        <v>5910.52</v>
      </c>
      <c r="G405" s="170">
        <f t="shared" si="524"/>
        <v>-1.0563195797707195E-3</v>
      </c>
      <c r="H405" s="202">
        <f t="shared" ref="H405" si="541">(F405-F$2)/F$2</f>
        <v>0.16081465915116772</v>
      </c>
      <c r="I405" s="220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1">
        <f t="shared" ref="M405" si="543">I405-J405</f>
        <v>13138.880000000005</v>
      </c>
      <c r="N405" s="183">
        <f t="shared" ref="N405" si="544">M405/J405</f>
        <v>3.2847200000000014E-2</v>
      </c>
      <c r="O405" s="182">
        <f t="shared" si="424"/>
        <v>1.9571679934747153E-2</v>
      </c>
      <c r="P405" s="181" t="b">
        <f t="shared" ref="P405" si="545">L405&gt;D405</f>
        <v>1</v>
      </c>
      <c r="Q405" s="183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3">
        <f>STDEV(D$2:D405)*SQRT(252)</f>
        <v>0.15171975521586792</v>
      </c>
      <c r="W405" s="183">
        <f>STDEV(L$2:L405)*SQRT(252)</f>
        <v>0.32851445080511427</v>
      </c>
      <c r="X405" s="173">
        <f t="shared" si="164"/>
        <v>0.21649916290244992</v>
      </c>
      <c r="Y405" s="173">
        <f t="shared" si="165"/>
        <v>5.9576313573973423E-2</v>
      </c>
      <c r="Z405" s="794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1">
        <v>42849</v>
      </c>
      <c r="C406" s="330">
        <v>2374.15</v>
      </c>
      <c r="D406" s="170">
        <f t="shared" si="522"/>
        <v>1.084008532415944E-2</v>
      </c>
      <c r="E406" s="243">
        <f t="shared" ref="E406" si="548">(C406-$C$2)/$C$2</f>
        <v>0.12923555487909288</v>
      </c>
      <c r="F406" s="244">
        <v>5983.81</v>
      </c>
      <c r="G406" s="170">
        <f t="shared" si="524"/>
        <v>1.2399924202946604E-2</v>
      </c>
      <c r="H406" s="245">
        <f t="shared" ref="H406" si="549">(F406-F$2)/F$2</f>
        <v>0.17520867293831149</v>
      </c>
      <c r="I406" s="543">
        <v>413141.03</v>
      </c>
      <c r="J406" s="247">
        <v>400000</v>
      </c>
      <c r="K406" s="247">
        <f t="shared" ref="K406" si="550">I406-I405-J406+J405</f>
        <v>2.1500000000232831</v>
      </c>
      <c r="L406" s="170">
        <f t="shared" si="516"/>
        <v>5.2040611622495641E-6</v>
      </c>
      <c r="M406" s="576">
        <f t="shared" ref="M406" si="551">I406-J406</f>
        <v>13141.030000000028</v>
      </c>
      <c r="N406" s="249">
        <f t="shared" ref="N406" si="552">M406/J406</f>
        <v>3.2852575000000071E-2</v>
      </c>
      <c r="O406" s="182">
        <f t="shared" si="424"/>
        <v>1.9479550355113676E-2</v>
      </c>
      <c r="P406" s="248" t="b">
        <f t="shared" ref="P406" si="553">L406&gt;D406</f>
        <v>0</v>
      </c>
      <c r="Q406" s="249">
        <f>COUNTIF(P$2:P406, TRUE)/(COUNTIF(P$2:P406,FALSE) + COUNTIF(P$2:P406, TRUE))</f>
        <v>0.48148148148148145</v>
      </c>
      <c r="R406" s="247">
        <v>297462.59999999998</v>
      </c>
      <c r="S406" s="247">
        <f t="shared" ref="S406" si="554">I406-R406</f>
        <v>115678.43000000005</v>
      </c>
      <c r="T406" s="247">
        <v>-34227</v>
      </c>
      <c r="U406" s="247">
        <f t="shared" ref="U406" si="555">M406-T406</f>
        <v>47368.030000000028</v>
      </c>
      <c r="V406" s="249">
        <f>STDEV(D$2:D406)*SQRT(252)</f>
        <v>0.15175900014627838</v>
      </c>
      <c r="W406" s="249">
        <f>STDEV(L$2:L406)*SQRT(252)</f>
        <v>0.32810686732873107</v>
      </c>
      <c r="X406" s="173">
        <f t="shared" si="164"/>
        <v>0.21647859414159248</v>
      </c>
      <c r="Y406" s="173">
        <f t="shared" si="165"/>
        <v>5.9369529549032775E-2</v>
      </c>
      <c r="Z406" s="794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1">
        <v>42850</v>
      </c>
      <c r="C407" s="330">
        <v>2388.61</v>
      </c>
      <c r="D407" s="170">
        <f t="shared" ref="D407" si="556">(C407-C406)/C406</f>
        <v>6.0906008466188053E-3</v>
      </c>
      <c r="E407" s="243">
        <f t="shared" ref="E407" si="557">(C407-$C$2)/$C$2</f>
        <v>0.13611327790567154</v>
      </c>
      <c r="F407" s="244">
        <v>6025.49</v>
      </c>
      <c r="G407" s="170">
        <f t="shared" ref="G407" si="558">(F407-F406)/F406</f>
        <v>6.9654618044355313E-3</v>
      </c>
      <c r="H407" s="245">
        <f t="shared" ref="H407" si="559">(F407-F$2)/F$2</f>
        <v>0.18339454406190467</v>
      </c>
      <c r="I407" s="543">
        <v>416914.62</v>
      </c>
      <c r="J407" s="247">
        <v>400000</v>
      </c>
      <c r="K407" s="247">
        <f t="shared" ref="K407" si="560">I407-I406-J407+J406</f>
        <v>3773.5899999999674</v>
      </c>
      <c r="L407" s="170">
        <f t="shared" ref="L407:L411" si="561">K407/I406</f>
        <v>9.1339027740720089E-3</v>
      </c>
      <c r="M407" s="576">
        <f t="shared" ref="M407" si="562">I407-J407</f>
        <v>16914.619999999995</v>
      </c>
      <c r="N407" s="249">
        <f t="shared" ref="N407" si="563">M407/J407</f>
        <v>4.2286549999999985E-2</v>
      </c>
      <c r="O407" s="182">
        <f t="shared" si="424"/>
        <v>2.5032678099675843E-2</v>
      </c>
      <c r="P407" s="248" t="b">
        <f t="shared" ref="P407" si="564">L407&gt;D407</f>
        <v>1</v>
      </c>
      <c r="Q407" s="249">
        <f>COUNTIF(P$2:P407, TRUE)/(COUNTIF(P$2:P407,FALSE) + COUNTIF(P$2:P407, TRUE))</f>
        <v>0.48275862068965519</v>
      </c>
      <c r="R407" s="247">
        <v>296317.5</v>
      </c>
      <c r="S407" s="247">
        <f t="shared" ref="S407" si="565">I407-R407</f>
        <v>120597.12</v>
      </c>
      <c r="T407" s="247">
        <v>-34395</v>
      </c>
      <c r="U407" s="247">
        <f t="shared" ref="U407" si="566">M407-T407</f>
        <v>51309.619999999995</v>
      </c>
      <c r="V407" s="249">
        <f>STDEV(D$2:D407)*SQRT(252)</f>
        <v>0.15163877531320741</v>
      </c>
      <c r="W407" s="249">
        <f>STDEV(L$2:L407)*SQRT(252)</f>
        <v>0.32777093379998218</v>
      </c>
      <c r="X407" s="173">
        <f t="shared" si="164"/>
        <v>0.27886370034747254</v>
      </c>
      <c r="Y407" s="173">
        <f t="shared" si="165"/>
        <v>7.6372476990140006E-2</v>
      </c>
      <c r="Z407" s="794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1">
        <v>42851</v>
      </c>
      <c r="C408" s="330">
        <v>2387.4499999999998</v>
      </c>
      <c r="D408" s="170">
        <f t="shared" ref="D408" si="567">(C408-C407)/C407</f>
        <v>-4.8563809077258708E-4</v>
      </c>
      <c r="E408" s="243">
        <f t="shared" ref="E408" si="568">(C408-$C$2)/$C$2</f>
        <v>0.13556153802248805</v>
      </c>
      <c r="F408" s="244">
        <v>6025.22</v>
      </c>
      <c r="G408" s="170">
        <f t="shared" ref="G408:G411" si="569">(F408-F407)/F407</f>
        <v>-4.4809633739252256E-5</v>
      </c>
      <c r="H408" s="245">
        <f t="shared" ref="H408" si="570">(F408-F$2)/F$2</f>
        <v>0.18334151658581621</v>
      </c>
      <c r="I408" s="543">
        <v>415083.58</v>
      </c>
      <c r="J408" s="247">
        <v>400000</v>
      </c>
      <c r="K408" s="247">
        <f t="shared" ref="K408" si="571">I408-I407-J408+J407</f>
        <v>-1831.039999999979</v>
      </c>
      <c r="L408" s="170">
        <f t="shared" si="561"/>
        <v>-4.3918824434604356E-3</v>
      </c>
      <c r="M408" s="576">
        <f t="shared" ref="M408" si="572">I408-J408</f>
        <v>15083.580000000016</v>
      </c>
      <c r="N408" s="249">
        <f t="shared" ref="N408" si="573">M408/J408</f>
        <v>3.770895000000004E-2</v>
      </c>
      <c r="O408" s="182">
        <f t="shared" si="424"/>
        <v>2.2286721662621384E-2</v>
      </c>
      <c r="P408" s="248" t="b">
        <f t="shared" ref="P408" si="574">L408&gt;D408</f>
        <v>0</v>
      </c>
      <c r="Q408" s="249">
        <f>COUNTIF(P$2:P408, TRUE)/(COUNTIF(P$2:P408,FALSE) + COUNTIF(P$2:P408, TRUE))</f>
        <v>0.48157248157248156</v>
      </c>
      <c r="R408" s="247">
        <v>288089.59999999998</v>
      </c>
      <c r="S408" s="247">
        <f t="shared" ref="S408" si="575">I408-R408</f>
        <v>126993.98000000004</v>
      </c>
      <c r="T408" s="247">
        <v>-34530</v>
      </c>
      <c r="U408" s="247">
        <f t="shared" ref="U408" si="576">M408-T408</f>
        <v>49613.580000000016</v>
      </c>
      <c r="V408" s="249">
        <f>STDEV(D$2:D408)*SQRT(252)</f>
        <v>0.15145291849813278</v>
      </c>
      <c r="W408" s="249">
        <f>STDEV(L$2:L408)*SQRT(252)</f>
        <v>0.32738912351132043</v>
      </c>
      <c r="X408" s="173">
        <f t="shared" si="164"/>
        <v>0.24898133607418693</v>
      </c>
      <c r="Y408" s="173">
        <f t="shared" si="165"/>
        <v>6.8074105283619041E-2</v>
      </c>
      <c r="Z408" s="794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1">
        <v>42852</v>
      </c>
      <c r="C409" s="330">
        <v>2388.77</v>
      </c>
      <c r="D409" s="170">
        <f t="shared" ref="D409:D411" si="577">(C409-C408)/C408</f>
        <v>5.5289116002436227E-4</v>
      </c>
      <c r="E409" s="243">
        <f t="shared" ref="E409" si="578">(C409-$C$2)/$C$2</f>
        <v>0.13618937995852434</v>
      </c>
      <c r="F409" s="244">
        <v>6048.93</v>
      </c>
      <c r="G409" s="170">
        <f t="shared" si="569"/>
        <v>3.9351260202947005E-3</v>
      </c>
      <c r="H409" s="245">
        <f t="shared" ref="H409" si="579">(F409-F$2)/F$2</f>
        <v>0.18799811457862806</v>
      </c>
      <c r="I409" s="543">
        <v>412891.26</v>
      </c>
      <c r="J409" s="247">
        <v>400000</v>
      </c>
      <c r="K409" s="247">
        <f t="shared" ref="K409" si="580">I409-I408-J409+J408</f>
        <v>-2192.320000000007</v>
      </c>
      <c r="L409" s="170">
        <f t="shared" si="561"/>
        <v>-5.2816350866011297E-3</v>
      </c>
      <c r="M409" s="576">
        <f t="shared" ref="M409" si="581">I409-J409</f>
        <v>12891.260000000009</v>
      </c>
      <c r="N409" s="249">
        <f t="shared" ref="N409" si="582">M409/J409</f>
        <v>3.2228150000000025E-2</v>
      </c>
      <c r="O409" s="182">
        <f t="shared" si="424"/>
        <v>1.9016691094507286E-2</v>
      </c>
      <c r="P409" s="248" t="b">
        <f t="shared" ref="P409" si="583">L409&gt;D409</f>
        <v>0</v>
      </c>
      <c r="Q409" s="249">
        <f>COUNTIF(P$2:P409, TRUE)/(COUNTIF(P$2:P409,FALSE) + COUNTIF(P$2:P409, TRUE))</f>
        <v>0.48039215686274511</v>
      </c>
      <c r="R409" s="247">
        <v>288090.59999999998</v>
      </c>
      <c r="S409" s="247">
        <f t="shared" ref="S409" si="584">I409-R409</f>
        <v>124800.66000000003</v>
      </c>
      <c r="T409" s="247">
        <v>-34529</v>
      </c>
      <c r="U409" s="247">
        <f t="shared" ref="U409" si="585">M409-T409</f>
        <v>47420.260000000009</v>
      </c>
      <c r="V409" s="249">
        <f>STDEV(D$2:D409)*SQRT(252)</f>
        <v>0.15126636249512601</v>
      </c>
      <c r="W409" s="249">
        <f>STDEV(L$2:L409)*SQRT(252)</f>
        <v>0.32701768242254636</v>
      </c>
      <c r="X409" s="173">
        <f t="shared" si="164"/>
        <v>0.21305562894750282</v>
      </c>
      <c r="Y409" s="173">
        <f t="shared" si="165"/>
        <v>5.8151874093265159E-2</v>
      </c>
      <c r="Z409" s="794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1">
        <v>42853</v>
      </c>
      <c r="C410" s="330">
        <v>2384.1999999999998</v>
      </c>
      <c r="D410" s="170">
        <f t="shared" si="577"/>
        <v>-1.913118466826092E-3</v>
      </c>
      <c r="E410" s="243">
        <f t="shared" ref="E410" si="586">(C410-$C$2)/$C$2</f>
        <v>0.13401571507391399</v>
      </c>
      <c r="F410" s="244">
        <v>6047.6</v>
      </c>
      <c r="G410" s="170">
        <f t="shared" si="569"/>
        <v>-2.1987359747921155E-4</v>
      </c>
      <c r="H410" s="245">
        <f t="shared" ref="H410" si="587">(F410-F$2)/F$2</f>
        <v>0.18773690515937713</v>
      </c>
      <c r="I410" s="642">
        <v>363198.65</v>
      </c>
      <c r="J410" s="247">
        <v>350000</v>
      </c>
      <c r="K410" s="247">
        <f t="shared" ref="K410" si="588">I410-I409-J410+J409</f>
        <v>307.39000000001397</v>
      </c>
      <c r="L410" s="170">
        <f t="shared" si="561"/>
        <v>7.4448173109795048E-4</v>
      </c>
      <c r="M410" s="408">
        <f t="shared" ref="M410" si="589">I410-J410</f>
        <v>13198.650000000023</v>
      </c>
      <c r="N410" s="249">
        <f t="shared" ref="N410" si="590">M410/J410</f>
        <v>3.7710428571428638E-2</v>
      </c>
      <c r="O410" s="182">
        <f t="shared" si="424"/>
        <v>2.2215700057603725E-2</v>
      </c>
      <c r="P410" s="248" t="b">
        <f t="shared" ref="P410" si="591">L410&gt;D410</f>
        <v>1</v>
      </c>
      <c r="Q410" s="249">
        <f>COUNTIF(P$2:P410, TRUE)/(COUNTIF(P$2:P410,FALSE) + COUNTIF(P$2:P410, TRUE))</f>
        <v>0.48166259168704156</v>
      </c>
      <c r="R410" s="247">
        <v>281056.2</v>
      </c>
      <c r="S410" s="247">
        <f t="shared" ref="S410" si="592">I410-R410</f>
        <v>82142.450000000012</v>
      </c>
      <c r="T410" s="247">
        <v>-33907</v>
      </c>
      <c r="U410" s="247">
        <f t="shared" ref="U410" si="593">M410-T410</f>
        <v>47105.650000000023</v>
      </c>
      <c r="V410" s="249">
        <f>STDEV(D$2:D410)*SQRT(252)</f>
        <v>0.15109096913628567</v>
      </c>
      <c r="W410" s="249">
        <f>STDEV(L$2:L410)*SQRT(252)</f>
        <v>0.32661574241785396</v>
      </c>
      <c r="X410" s="173">
        <f t="shared" si="164"/>
        <v>0.24958757486963651</v>
      </c>
      <c r="Y410" s="173">
        <f t="shared" si="165"/>
        <v>6.8017848414612544E-2</v>
      </c>
      <c r="Z410" s="794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4">
        <v>2388.33</v>
      </c>
      <c r="D411" s="170">
        <f t="shared" si="577"/>
        <v>1.7322372284204804E-3</v>
      </c>
      <c r="E411" s="208">
        <f t="shared" ref="E411" si="594">(C411-$C$2)/$C$2</f>
        <v>0.13598009931317892</v>
      </c>
      <c r="F411" s="218">
        <v>6091.6</v>
      </c>
      <c r="G411" s="170">
        <f t="shared" si="569"/>
        <v>7.2756134664991069E-3</v>
      </c>
      <c r="H411" s="202">
        <f t="shared" ref="H411" si="595">(F411-F$2)/F$2</f>
        <v>0.19637841978121268</v>
      </c>
      <c r="I411" s="220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1">
        <f t="shared" ref="M411" si="597">I411-J411</f>
        <v>12499.320000000007</v>
      </c>
      <c r="N411" s="183">
        <f t="shared" ref="N411" si="598">M411/J411</f>
        <v>3.5712342857142879E-2</v>
      </c>
      <c r="O411" s="182">
        <f t="shared" si="424"/>
        <v>2.0937292501719801E-2</v>
      </c>
      <c r="P411" s="181" t="b">
        <f t="shared" ref="P411" si="599">L411&gt;D411</f>
        <v>0</v>
      </c>
      <c r="Q411" s="183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3">
        <f>STDEV(D$2:D411)*SQRT(252)</f>
        <v>0.15090957633377333</v>
      </c>
      <c r="W411" s="183">
        <f>STDEV(L$2:L411)*SQRT(252)</f>
        <v>0.32622087133744371</v>
      </c>
      <c r="X411" s="173">
        <f t="shared" ref="X411:X474" si="602">N411/V411</f>
        <v>0.2366472938613009</v>
      </c>
      <c r="Y411" s="173">
        <f t="shared" ref="Y411:Y474" si="603">O411/W411</f>
        <v>6.4181339519696803E-2</v>
      </c>
      <c r="Z411" s="794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4">
        <v>2391.17</v>
      </c>
      <c r="D412" s="170">
        <f t="shared" ref="D412" si="605">(C412-C411)/C411</f>
        <v>1.1891154069999311E-3</v>
      </c>
      <c r="E412" s="208">
        <f t="shared" ref="E412" si="606">(C412-$C$2)/$C$2</f>
        <v>0.13733091075131751</v>
      </c>
      <c r="F412" s="218">
        <v>6095.36</v>
      </c>
      <c r="G412" s="170">
        <f t="shared" ref="G412:G441" si="607">(F412-F411)/F411</f>
        <v>6.1724341716450667E-4</v>
      </c>
      <c r="H412" s="202">
        <f t="shared" ref="H412" si="608">(F412-F$2)/F$2</f>
        <v>0.1971168764852603</v>
      </c>
      <c r="I412" s="220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1">
        <f t="shared" ref="M412" si="611">I412-J412</f>
        <v>9669.820000000007</v>
      </c>
      <c r="N412" s="183">
        <f t="shared" ref="N412" si="612">M412/J412</f>
        <v>2.7628057142857161E-2</v>
      </c>
      <c r="O412" s="182">
        <f t="shared" si="424"/>
        <v>1.6171711332417592E-2</v>
      </c>
      <c r="P412" s="181" t="b">
        <f t="shared" ref="P412" si="613">L412&gt;D412</f>
        <v>0</v>
      </c>
      <c r="Q412" s="183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3">
        <f>STDEV(D$2:D412)*SQRT(252)</f>
        <v>0.1507263900275706</v>
      </c>
      <c r="W412" s="183">
        <f>STDEV(L$2:L412)*SQRT(252)</f>
        <v>0.32588707199779721</v>
      </c>
      <c r="X412" s="173">
        <f t="shared" si="602"/>
        <v>0.18329940190170738</v>
      </c>
      <c r="Y412" s="173">
        <f t="shared" si="603"/>
        <v>4.9623666361723308E-2</v>
      </c>
      <c r="Z412" s="794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4">
        <v>2388.13</v>
      </c>
      <c r="D413" s="170">
        <f t="shared" ref="D413" si="616">(C413-C412)/C412</f>
        <v>-1.2713441536988017E-3</v>
      </c>
      <c r="E413" s="208">
        <f t="shared" ref="E413" si="617">(C413-$C$2)/$C$2</f>
        <v>0.13588497174711289</v>
      </c>
      <c r="F413" s="218">
        <v>6072.55</v>
      </c>
      <c r="G413" s="170">
        <f t="shared" si="607"/>
        <v>-3.7421907811842929E-3</v>
      </c>
      <c r="H413" s="202">
        <f t="shared" ref="H413" si="618">(F413-F$2)/F$2</f>
        <v>0.19263703674607702</v>
      </c>
      <c r="I413" s="220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1">
        <f t="shared" ref="M413" si="620">I413-J413</f>
        <v>9426.2199999999721</v>
      </c>
      <c r="N413" s="183">
        <f t="shared" ref="N413" si="621">M413/J413</f>
        <v>2.6932057142857062E-2</v>
      </c>
      <c r="O413" s="182">
        <f t="shared" si="424"/>
        <v>1.5739094194285666E-2</v>
      </c>
      <c r="P413" s="181" t="b">
        <f t="shared" ref="P413" si="622">L413&gt;D413</f>
        <v>1</v>
      </c>
      <c r="Q413" s="183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3">
        <f>STDEV(D$2:D413)*SQRT(252)</f>
        <v>0.1505478764486444</v>
      </c>
      <c r="W413" s="183">
        <f>STDEV(L$2:L413)*SQRT(252)</f>
        <v>0.32549069352237764</v>
      </c>
      <c r="X413" s="173">
        <f t="shared" si="602"/>
        <v>0.17889363688264479</v>
      </c>
      <c r="Y413" s="173">
        <f t="shared" si="603"/>
        <v>4.8354974527723617E-2</v>
      </c>
      <c r="Z413" s="794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4">
        <v>2389.52</v>
      </c>
      <c r="D414" s="170">
        <f t="shared" ref="D414:D426" si="625">(C414-C413)/C413</f>
        <v>5.8204536603948388E-4</v>
      </c>
      <c r="E414" s="208">
        <f t="shared" ref="E414" si="626">(C414-$C$2)/$C$2</f>
        <v>0.1365461083312722</v>
      </c>
      <c r="F414" s="218">
        <v>6075.33</v>
      </c>
      <c r="G414" s="170">
        <f t="shared" si="607"/>
        <v>4.5779779499547063E-4</v>
      </c>
      <c r="H414" s="202">
        <f t="shared" ref="H414" si="627">(F414-F$2)/F$2</f>
        <v>0.19318302335172932</v>
      </c>
      <c r="I414" s="220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1">
        <f t="shared" ref="M414" si="629">I414-J414</f>
        <v>4486.320000000007</v>
      </c>
      <c r="N414" s="183">
        <f t="shared" ref="N414" si="630">M414/J414</f>
        <v>1.2818057142857163E-2</v>
      </c>
      <c r="O414" s="182">
        <f t="shared" si="424"/>
        <v>7.4789063441351097E-3</v>
      </c>
      <c r="P414" s="181" t="b">
        <f t="shared" ref="P414" si="631">L414&gt;D414</f>
        <v>0</v>
      </c>
      <c r="Q414" s="183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3">
        <f>STDEV(D$2:D414)*SQRT(252)</f>
        <v>0.15036472166048559</v>
      </c>
      <c r="W414" s="183">
        <f>STDEV(L$2:L414)*SQRT(252)</f>
        <v>0.32528498931668604</v>
      </c>
      <c r="X414" s="173">
        <f t="shared" si="602"/>
        <v>8.5246439466030846E-2</v>
      </c>
      <c r="Y414" s="173">
        <f t="shared" si="603"/>
        <v>2.2991858185174078E-2</v>
      </c>
      <c r="Z414" s="794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4">
        <v>2399.29</v>
      </c>
      <c r="D415" s="170">
        <f t="shared" si="625"/>
        <v>4.0886872677357716E-3</v>
      </c>
      <c r="E415" s="208">
        <f t="shared" ref="E415" si="634">(C415-$C$2)/$C$2</f>
        <v>0.14119308993360091</v>
      </c>
      <c r="F415" s="218">
        <v>6100.75</v>
      </c>
      <c r="G415" s="170">
        <f t="shared" si="607"/>
        <v>4.1841348535799818E-3</v>
      </c>
      <c r="H415" s="202">
        <f t="shared" ref="H415" si="635">(F415-F$2)/F$2</f>
        <v>0.19817546202643521</v>
      </c>
      <c r="I415" s="220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1">
        <f t="shared" ref="M415" si="637">I415-J415</f>
        <v>7180.359999999986</v>
      </c>
      <c r="N415" s="183">
        <f t="shared" ref="N415" si="638">M415/J415</f>
        <v>2.0515314285714247E-2</v>
      </c>
      <c r="O415" s="182">
        <f t="shared" si="424"/>
        <v>1.1950906766917272E-2</v>
      </c>
      <c r="P415" s="181" t="b">
        <f t="shared" ref="P415" si="639">L415&gt;D415</f>
        <v>1</v>
      </c>
      <c r="Q415" s="183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3">
        <f>STDEV(D$2:D415)*SQRT(252)</f>
        <v>0.15021044016687626</v>
      </c>
      <c r="W415" s="183">
        <f>STDEV(L$2:L415)*SQRT(252)</f>
        <v>0.32493792680240624</v>
      </c>
      <c r="X415" s="173">
        <f t="shared" si="602"/>
        <v>0.13657715311214561</v>
      </c>
      <c r="Y415" s="173">
        <f t="shared" si="603"/>
        <v>3.6779045414986541E-2</v>
      </c>
      <c r="Z415" s="794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1">
        <v>42863</v>
      </c>
      <c r="C416" s="330">
        <v>2399.38</v>
      </c>
      <c r="D416" s="170">
        <f t="shared" si="625"/>
        <v>3.7511097032932877E-5</v>
      </c>
      <c r="E416" s="243">
        <f t="shared" ref="E416" si="642">(C416-$C$2)/$C$2</f>
        <v>0.14123589733833072</v>
      </c>
      <c r="F416" s="244">
        <v>6102.66</v>
      </c>
      <c r="G416" s="170">
        <f t="shared" si="607"/>
        <v>3.1307626111541279E-4</v>
      </c>
      <c r="H416" s="245">
        <f t="shared" ref="H416" si="643">(F416-F$2)/F$2</f>
        <v>0.19855058232024669</v>
      </c>
      <c r="I416" s="543">
        <v>358405.67</v>
      </c>
      <c r="J416" s="247">
        <v>350000</v>
      </c>
      <c r="K416" s="247">
        <f t="shared" ref="K416" si="644">I416-I415-J416+J415</f>
        <v>1225.3099999999977</v>
      </c>
      <c r="L416" s="170">
        <f t="shared" si="610"/>
        <v>3.4305077692401613E-3</v>
      </c>
      <c r="M416" s="576">
        <f t="shared" ref="M416" si="645">I416-J416</f>
        <v>8405.6699999999837</v>
      </c>
      <c r="N416" s="249">
        <f t="shared" ref="N416" si="646">M416/J416</f>
        <v>2.4016199999999953E-2</v>
      </c>
      <c r="O416" s="182">
        <f t="shared" si="424"/>
        <v>1.392367785714283E-2</v>
      </c>
      <c r="P416" s="248" t="b">
        <f t="shared" ref="P416" si="647">L416&gt;D416</f>
        <v>1</v>
      </c>
      <c r="Q416" s="249">
        <f>COUNTIF(P$2:P416, TRUE)/(COUNTIF(P$2:P416,FALSE) + COUNTIF(P$2:P416, TRUE))</f>
        <v>0.48192771084337349</v>
      </c>
      <c r="R416" s="247">
        <v>276684</v>
      </c>
      <c r="S416" s="247">
        <f t="shared" ref="S416" si="648">I416-R416</f>
        <v>81721.669999999984</v>
      </c>
      <c r="T416" s="247">
        <v>-35635</v>
      </c>
      <c r="U416" s="247">
        <f t="shared" ref="U416" si="649">M416-T416</f>
        <v>44040.669999999984</v>
      </c>
      <c r="V416" s="249">
        <f>STDEV(D$2:D416)*SQRT(252)</f>
        <v>0.15002869389277509</v>
      </c>
      <c r="W416" s="249">
        <f>STDEV(L$2:L416)*SQRT(252)</f>
        <v>0.32455251041041699</v>
      </c>
      <c r="X416" s="173">
        <f t="shared" si="602"/>
        <v>0.16007737837912683</v>
      </c>
      <c r="Y416" s="173">
        <f t="shared" si="603"/>
        <v>4.2901155931702593E-2</v>
      </c>
      <c r="Z416" s="794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1">
        <v>42864</v>
      </c>
      <c r="C417" s="330">
        <v>2396.92</v>
      </c>
      <c r="D417" s="170">
        <f t="shared" si="625"/>
        <v>-1.0252648600888713E-3</v>
      </c>
      <c r="E417" s="243">
        <f t="shared" ref="E417" si="650">(C417-$C$2)/$C$2</f>
        <v>0.14006582827571773</v>
      </c>
      <c r="F417" s="244">
        <v>6120.58</v>
      </c>
      <c r="G417" s="170">
        <f t="shared" si="607"/>
        <v>2.9364244444226081E-3</v>
      </c>
      <c r="H417" s="245">
        <f t="shared" ref="H417" si="651">(F417-F$2)/F$2</f>
        <v>0.20207003554804881</v>
      </c>
      <c r="I417" s="543">
        <v>357612.56</v>
      </c>
      <c r="J417" s="247">
        <v>350000</v>
      </c>
      <c r="K417" s="247">
        <f t="shared" ref="K417" si="652">I417-I416-J417+J416</f>
        <v>-793.10999999998603</v>
      </c>
      <c r="L417" s="170">
        <f t="shared" si="610"/>
        <v>-2.2128835182768903E-3</v>
      </c>
      <c r="M417" s="576">
        <f t="shared" ref="M417" si="653">I417-J417</f>
        <v>7612.5599999999977</v>
      </c>
      <c r="N417" s="249">
        <f t="shared" ref="N417" si="654">M417/J417</f>
        <v>2.1750171428571424E-2</v>
      </c>
      <c r="O417" s="182">
        <f t="shared" si="424"/>
        <v>1.2589936789676247E-2</v>
      </c>
      <c r="P417" s="248" t="b">
        <f t="shared" ref="P417" si="655">L417&gt;D417</f>
        <v>0</v>
      </c>
      <c r="Q417" s="249">
        <f>COUNTIF(P$2:P417, TRUE)/(COUNTIF(P$2:P417,FALSE) + COUNTIF(P$2:P417, TRUE))</f>
        <v>0.48076923076923078</v>
      </c>
      <c r="R417" s="247">
        <v>250918.6</v>
      </c>
      <c r="S417" s="247">
        <f t="shared" ref="S417" si="656">I417-R417</f>
        <v>106693.95999999999</v>
      </c>
      <c r="T417" s="247">
        <v>-36105</v>
      </c>
      <c r="U417" s="247">
        <f t="shared" ref="U417" si="657">M417-T417</f>
        <v>43717.56</v>
      </c>
      <c r="V417" s="249">
        <f>STDEV(D$2:D417)*SQRT(252)</f>
        <v>0.1498512986426479</v>
      </c>
      <c r="W417" s="249">
        <f>STDEV(L$2:L417)*SQRT(252)</f>
        <v>0.32416708817907541</v>
      </c>
      <c r="X417" s="173">
        <f t="shared" si="602"/>
        <v>0.14514503127823608</v>
      </c>
      <c r="Y417" s="173">
        <f t="shared" si="603"/>
        <v>3.8837800778595243E-2</v>
      </c>
      <c r="Z417" s="794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1">
        <v>42865</v>
      </c>
      <c r="C418" s="330">
        <v>2399.63</v>
      </c>
      <c r="D418" s="170">
        <f t="shared" si="625"/>
        <v>1.1306176259533219E-3</v>
      </c>
      <c r="E418" s="243">
        <f t="shared" ref="E418" si="658">(C418-$C$2)/$C$2</f>
        <v>0.14135480679591333</v>
      </c>
      <c r="F418" s="244">
        <v>6129.14</v>
      </c>
      <c r="G418" s="170">
        <f t="shared" si="607"/>
        <v>1.3985602671642884E-3</v>
      </c>
      <c r="H418" s="245">
        <f t="shared" ref="H418" si="659">(F418-F$2)/F$2</f>
        <v>0.20375120293811508</v>
      </c>
      <c r="I418" s="543">
        <v>364191.11</v>
      </c>
      <c r="J418" s="247">
        <v>350000</v>
      </c>
      <c r="K418" s="247">
        <f t="shared" ref="K418" si="660">I418-I417-J418+J417</f>
        <v>6578.5499999999884</v>
      </c>
      <c r="L418" s="170">
        <f t="shared" si="610"/>
        <v>1.839574650286329E-2</v>
      </c>
      <c r="M418" s="576">
        <f t="shared" ref="M418" si="661">I418-J418</f>
        <v>14191.109999999986</v>
      </c>
      <c r="N418" s="249">
        <f t="shared" ref="N418" si="662">M418/J418</f>
        <v>4.0546028571428534E-2</v>
      </c>
      <c r="O418" s="182">
        <f t="shared" si="424"/>
        <v>2.3432653379294736E-2</v>
      </c>
      <c r="P418" s="248" t="b">
        <f t="shared" ref="P418" si="663">L418&gt;D418</f>
        <v>1</v>
      </c>
      <c r="Q418" s="249">
        <f>COUNTIF(P$2:P418, TRUE)/(COUNTIF(P$2:P418,FALSE) + COUNTIF(P$2:P418, TRUE))</f>
        <v>0.48201438848920863</v>
      </c>
      <c r="R418" s="247">
        <v>261546.2</v>
      </c>
      <c r="S418" s="247">
        <f t="shared" ref="S418" si="664">I418-R418</f>
        <v>102644.90999999997</v>
      </c>
      <c r="T418" s="247">
        <v>-32756</v>
      </c>
      <c r="U418" s="247">
        <f t="shared" ref="U418" si="665">M418-T418</f>
        <v>46947.109999999986</v>
      </c>
      <c r="V418" s="249">
        <f>STDEV(D$2:D418)*SQRT(252)</f>
        <v>0.14967184694168775</v>
      </c>
      <c r="W418" s="249">
        <f>STDEV(L$2:L418)*SQRT(252)</f>
        <v>0.32407666797384388</v>
      </c>
      <c r="X418" s="173">
        <f t="shared" si="602"/>
        <v>0.27089950047336087</v>
      </c>
      <c r="Y418" s="173">
        <f t="shared" si="603"/>
        <v>7.2305894545873259E-2</v>
      </c>
      <c r="Z418" s="794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1">
        <v>42866</v>
      </c>
      <c r="C419" s="330">
        <v>2394.44</v>
      </c>
      <c r="D419" s="170">
        <f t="shared" si="625"/>
        <v>-2.1628334368215328E-3</v>
      </c>
      <c r="E419" s="243">
        <f t="shared" ref="E419" si="666">(C419-$C$2)/$C$2</f>
        <v>0.13888624645649816</v>
      </c>
      <c r="F419" s="244">
        <v>6115.96</v>
      </c>
      <c r="G419" s="170">
        <f t="shared" si="607"/>
        <v>-2.1503832511576321E-3</v>
      </c>
      <c r="H419" s="245">
        <f t="shared" ref="H419" si="667">(F419-F$2)/F$2</f>
        <v>0.2011626765127561</v>
      </c>
      <c r="I419" s="543">
        <v>363186.71</v>
      </c>
      <c r="J419" s="247">
        <v>350000</v>
      </c>
      <c r="K419" s="247">
        <f t="shared" ref="K419" si="668">I419-I418-J419+J418</f>
        <v>-1004.3999999999651</v>
      </c>
      <c r="L419" s="170">
        <f t="shared" si="610"/>
        <v>-2.7578926899120768E-3</v>
      </c>
      <c r="M419" s="576">
        <f t="shared" ref="M419" si="669">I419-J419</f>
        <v>13186.710000000021</v>
      </c>
      <c r="N419" s="249">
        <f t="shared" ref="N419" si="670">M419/J419</f>
        <v>3.7676314285714343E-2</v>
      </c>
      <c r="O419" s="182">
        <f t="shared" si="424"/>
        <v>2.1739769025050811E-2</v>
      </c>
      <c r="P419" s="248" t="b">
        <f t="shared" ref="P419" si="671">L419&gt;D419</f>
        <v>0</v>
      </c>
      <c r="Q419" s="249">
        <f>COUNTIF(P$2:P419, TRUE)/(COUNTIF(P$2:P419,FALSE) + COUNTIF(P$2:P419, TRUE))</f>
        <v>0.48086124401913877</v>
      </c>
      <c r="R419" s="247">
        <v>265284.09999999998</v>
      </c>
      <c r="S419" s="247">
        <f t="shared" ref="S419" si="672">I419-R419</f>
        <v>97902.610000000044</v>
      </c>
      <c r="T419" s="247">
        <v>-32128</v>
      </c>
      <c r="U419" s="247">
        <f t="shared" ref="U419" si="673">M419-T419</f>
        <v>45314.710000000021</v>
      </c>
      <c r="V419" s="249">
        <f>STDEV(D$2:D419)*SQRT(252)</f>
        <v>0.14950473025316971</v>
      </c>
      <c r="W419" s="249">
        <f>STDEV(L$2:L419)*SQRT(252)</f>
        <v>0.32369692065240813</v>
      </c>
      <c r="X419" s="173">
        <f t="shared" si="602"/>
        <v>0.25200750653115572</v>
      </c>
      <c r="Y419" s="173">
        <f t="shared" si="603"/>
        <v>6.7160876851205475E-2</v>
      </c>
      <c r="Z419" s="794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1">
        <v>42867</v>
      </c>
      <c r="C420" s="330">
        <v>2390.9</v>
      </c>
      <c r="D420" s="170">
        <f t="shared" si="625"/>
        <v>-1.4784250179582547E-3</v>
      </c>
      <c r="E420" s="243">
        <f t="shared" ref="E420" si="674">(C420-$C$2)/$C$2</f>
        <v>0.1372024885371283</v>
      </c>
      <c r="F420" s="244">
        <v>6121.23</v>
      </c>
      <c r="G420" s="170">
        <f t="shared" si="607"/>
        <v>8.6167993250438639E-4</v>
      </c>
      <c r="H420" s="245">
        <f t="shared" ref="H420" si="675">(F420-F$2)/F$2</f>
        <v>0.20219769428678042</v>
      </c>
      <c r="I420" s="543">
        <v>359448.71</v>
      </c>
      <c r="J420" s="247">
        <v>350000</v>
      </c>
      <c r="K420" s="247">
        <f t="shared" ref="K420" si="676">I420-I419-J420+J419</f>
        <v>-3738</v>
      </c>
      <c r="L420" s="170">
        <f t="shared" si="610"/>
        <v>-1.0292226827352795E-2</v>
      </c>
      <c r="M420" s="576">
        <f t="shared" ref="M420" si="677">I420-J420</f>
        <v>9448.710000000021</v>
      </c>
      <c r="N420" s="249">
        <f t="shared" ref="N420" si="678">M420/J420</f>
        <v>2.6996314285714345E-2</v>
      </c>
      <c r="O420" s="182">
        <f t="shared" si="424"/>
        <v>1.555268737043717E-2</v>
      </c>
      <c r="P420" s="248" t="b">
        <f t="shared" ref="P420" si="679">L420&gt;D420</f>
        <v>0</v>
      </c>
      <c r="Q420" s="249">
        <f>COUNTIF(P$2:P420, TRUE)/(COUNTIF(P$2:P420,FALSE) + COUNTIF(P$2:P420, TRUE))</f>
        <v>0.47971360381861577</v>
      </c>
      <c r="R420" s="247">
        <v>266142.09999999998</v>
      </c>
      <c r="S420" s="247">
        <f t="shared" ref="S420" si="680">I420-R420</f>
        <v>93306.610000000044</v>
      </c>
      <c r="T420" s="247">
        <v>-32431</v>
      </c>
      <c r="U420" s="247">
        <f t="shared" ref="U420" si="681">M420-T420</f>
        <v>41879.710000000021</v>
      </c>
      <c r="V420" s="249">
        <f>STDEV(D$2:D420)*SQRT(252)</f>
        <v>0.14933215368764829</v>
      </c>
      <c r="W420" s="249">
        <f>STDEV(L$2:L420)*SQRT(252)</f>
        <v>0.32341728992205637</v>
      </c>
      <c r="X420" s="173">
        <f t="shared" si="602"/>
        <v>0.18078031836453243</v>
      </c>
      <c r="Y420" s="173">
        <f t="shared" si="603"/>
        <v>4.8088608293592995E-2</v>
      </c>
      <c r="Z420" s="794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4">
        <v>2402.3200000000002</v>
      </c>
      <c r="D421" s="170">
        <f t="shared" si="625"/>
        <v>4.7764440168974326E-3</v>
      </c>
      <c r="E421" s="208">
        <f t="shared" ref="E421" si="682">(C421-$C$2)/$C$2</f>
        <v>0.14263427255950234</v>
      </c>
      <c r="F421" s="218">
        <v>6149.47</v>
      </c>
      <c r="G421" s="170">
        <f t="shared" si="607"/>
        <v>4.6134518716010823E-3</v>
      </c>
      <c r="H421" s="202">
        <f t="shared" ref="H421" si="683">(F421-F$2)/F$2</f>
        <v>0.20774397548952225</v>
      </c>
      <c r="I421" s="220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1">
        <f t="shared" ref="M421" si="685">I421-J421</f>
        <v>11662.809999999998</v>
      </c>
      <c r="N421" s="183">
        <f t="shared" ref="N421" si="686">M421/J421</f>
        <v>3.3322314285714277E-2</v>
      </c>
      <c r="O421" s="182">
        <f t="shared" si="424"/>
        <v>1.9106711605741192E-2</v>
      </c>
      <c r="P421" s="181" t="b">
        <f t="shared" ref="P421" si="687">L421&gt;D421</f>
        <v>1</v>
      </c>
      <c r="Q421" s="183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3">
        <f>STDEV(D$2:D421)*SQRT(252)</f>
        <v>0.14919288792479243</v>
      </c>
      <c r="W421" s="183">
        <f>STDEV(L$2:L421)*SQRT(252)</f>
        <v>0.32306020565165067</v>
      </c>
      <c r="X421" s="173">
        <f t="shared" si="602"/>
        <v>0.22335055476982207</v>
      </c>
      <c r="Y421" s="173">
        <f t="shared" si="603"/>
        <v>5.914288195044231E-2</v>
      </c>
      <c r="Z421" s="794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4">
        <v>2400.67</v>
      </c>
      <c r="D422" s="170">
        <f t="shared" si="625"/>
        <v>-6.8683605847684362E-4</v>
      </c>
      <c r="E422" s="208">
        <f t="shared" ref="E422" si="690">(C422-$C$2)/$C$2</f>
        <v>0.14184947013945701</v>
      </c>
      <c r="F422" s="218">
        <v>6169.87</v>
      </c>
      <c r="G422" s="170">
        <f t="shared" si="607"/>
        <v>3.3173590569593211E-3</v>
      </c>
      <c r="H422" s="202">
        <f t="shared" ref="H422" si="691">(F422-F$2)/F$2</f>
        <v>0.21175049590510048</v>
      </c>
      <c r="I422" s="220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1">
        <f t="shared" ref="M422" si="693">I422-J422</f>
        <v>9481.109999999986</v>
      </c>
      <c r="N422" s="183">
        <f t="shared" ref="N422" si="694">M422/J422</f>
        <v>2.7088885714285676E-2</v>
      </c>
      <c r="O422" s="182">
        <f t="shared" si="424"/>
        <v>1.5508174776085961E-2</v>
      </c>
      <c r="P422" s="181" t="b">
        <f t="shared" ref="P422" si="695">L422&gt;D422</f>
        <v>0</v>
      </c>
      <c r="Q422" s="183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3">
        <f>STDEV(D$2:D422)*SQRT(252)</f>
        <v>0.1490169627374561</v>
      </c>
      <c r="W422" s="183">
        <f>STDEV(L$2:L422)*SQRT(252)</f>
        <v>0.32271407708105421</v>
      </c>
      <c r="X422" s="173">
        <f t="shared" si="602"/>
        <v>0.18178390712480116</v>
      </c>
      <c r="Y422" s="173">
        <f t="shared" si="603"/>
        <v>4.8055464194054549E-2</v>
      </c>
      <c r="Z422" s="794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4">
        <v>2357.0300000000002</v>
      </c>
      <c r="D423" s="170">
        <f t="shared" si="625"/>
        <v>-1.8178258569482634E-2</v>
      </c>
      <c r="E423" s="208">
        <f t="shared" ref="E423" si="698">(C423-$C$2)/$C$2</f>
        <v>0.12109263522383523</v>
      </c>
      <c r="F423" s="218">
        <v>6011.23</v>
      </c>
      <c r="G423" s="170">
        <f t="shared" si="607"/>
        <v>-2.5712049038310422E-2</v>
      </c>
      <c r="H423" s="202">
        <f t="shared" ref="H423" si="699">(F423-F$2)/F$2</f>
        <v>0.18059390773219156</v>
      </c>
      <c r="I423" s="220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1">
        <f t="shared" ref="M423" si="701">I423-J423</f>
        <v>8002.429999999993</v>
      </c>
      <c r="N423" s="183">
        <f t="shared" ref="N423" si="702">M423/J423</f>
        <v>2.2864085714285696E-2</v>
      </c>
      <c r="O423" s="182">
        <f t="shared" si="424"/>
        <v>1.3069025519785369E-2</v>
      </c>
      <c r="P423" s="181" t="b">
        <f t="shared" ref="P423" si="703">L423&gt;D423</f>
        <v>1</v>
      </c>
      <c r="Q423" s="183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3">
        <f>STDEV(D$2:D423)*SQRT(252)</f>
        <v>0.1495288876053591</v>
      </c>
      <c r="W423" s="183">
        <f>STDEV(L$2:L423)*SQRT(252)</f>
        <v>0.32234925335581999</v>
      </c>
      <c r="X423" s="173">
        <f t="shared" si="602"/>
        <v>0.15290748216243835</v>
      </c>
      <c r="Y423" s="173">
        <f t="shared" si="603"/>
        <v>4.0543061240968153E-2</v>
      </c>
      <c r="Z423" s="794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4">
        <v>2365.7199999999998</v>
      </c>
      <c r="D424" s="170">
        <f t="shared" si="625"/>
        <v>3.686843188249449E-3</v>
      </c>
      <c r="E424" s="208">
        <f t="shared" ref="E424" si="706">(C424-$C$2)/$C$2</f>
        <v>0.12522592796940685</v>
      </c>
      <c r="F424" s="218">
        <v>6055.13</v>
      </c>
      <c r="G424" s="170">
        <f t="shared" si="607"/>
        <v>7.3029978889512714E-3</v>
      </c>
      <c r="H424" s="202">
        <f t="shared" ref="H424" si="707">(F424-F$2)/F$2</f>
        <v>0.18921578254806848</v>
      </c>
      <c r="I424" s="220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1">
        <f t="shared" ref="M424" si="709">I424-J424</f>
        <v>8058.6300000000047</v>
      </c>
      <c r="N424" s="183">
        <f t="shared" ref="N424" si="710">M424/J424</f>
        <v>2.3024657142857157E-2</v>
      </c>
      <c r="O424" s="182">
        <f t="shared" si="424"/>
        <v>1.3140243783482152E-2</v>
      </c>
      <c r="P424" s="181" t="b">
        <f t="shared" ref="P424" si="711">L424&gt;D424</f>
        <v>0</v>
      </c>
      <c r="Q424" s="183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3">
        <f>STDEV(D$2:D424)*SQRT(252)</f>
        <v>0.14937391224983806</v>
      </c>
      <c r="W424" s="183">
        <f>STDEV(L$2:L424)*SQRT(252)</f>
        <v>0.32196627838552588</v>
      </c>
      <c r="X424" s="173">
        <f t="shared" si="602"/>
        <v>0.15414108659313178</v>
      </c>
      <c r="Y424" s="173">
        <f t="shared" si="603"/>
        <v>4.0812484616006534E-2</v>
      </c>
      <c r="Z424" s="794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4">
        <v>2381.73</v>
      </c>
      <c r="D425" s="170">
        <f t="shared" si="625"/>
        <v>6.7674957306867334E-3</v>
      </c>
      <c r="E425" s="208">
        <f t="shared" ref="E425" si="714">(C425-$C$2)/$C$2</f>
        <v>0.13284088963299784</v>
      </c>
      <c r="F425" s="218">
        <v>6083.7</v>
      </c>
      <c r="G425" s="170">
        <f t="shared" si="607"/>
        <v>4.7183132319206537E-3</v>
      </c>
      <c r="H425" s="202">
        <f t="shared" ref="H425" si="715">(F425-F$2)/F$2</f>
        <v>0.19482687511047392</v>
      </c>
      <c r="I425" s="220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1">
        <f t="shared" ref="M425" si="717">I425-J425</f>
        <v>13364.530000000028</v>
      </c>
      <c r="N425" s="183">
        <f t="shared" ref="N425" si="718">M425/J425</f>
        <v>3.8184371428571506E-2</v>
      </c>
      <c r="O425" s="182">
        <f t="shared" si="424"/>
        <v>2.1757943314018317E-2</v>
      </c>
      <c r="P425" s="181" t="b">
        <f t="shared" ref="P425" si="719">L425&gt;D425</f>
        <v>1</v>
      </c>
      <c r="Q425" s="183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3">
        <f>STDEV(D$2:D425)*SQRT(252)</f>
        <v>0.14927970106208843</v>
      </c>
      <c r="W425" s="183">
        <f>STDEV(L$2:L425)*SQRT(252)</f>
        <v>0.32177526697453379</v>
      </c>
      <c r="X425" s="173">
        <f t="shared" si="602"/>
        <v>0.25579078171311354</v>
      </c>
      <c r="Y425" s="173">
        <f t="shared" si="603"/>
        <v>6.7618445378340095E-2</v>
      </c>
      <c r="Z425" s="794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1">
        <v>42877</v>
      </c>
      <c r="C426" s="330">
        <v>2394.02</v>
      </c>
      <c r="D426" s="170">
        <f t="shared" si="625"/>
        <v>5.1601147065368294E-3</v>
      </c>
      <c r="E426" s="243">
        <f t="shared" ref="E426" si="722">(C426-$C$2)/$C$2</f>
        <v>0.13868647856775931</v>
      </c>
      <c r="F426" s="244">
        <v>6133.61</v>
      </c>
      <c r="G426" s="170">
        <f t="shared" si="607"/>
        <v>8.2038890806581284E-3</v>
      </c>
      <c r="H426" s="245">
        <f t="shared" ref="H426" si="723">(F426-F$2)/F$2</f>
        <v>0.20462910226446959</v>
      </c>
      <c r="I426" s="543">
        <v>362670.23</v>
      </c>
      <c r="J426" s="247">
        <v>350000</v>
      </c>
      <c r="K426" s="247">
        <f t="shared" ref="K426" si="724">I426-I425-J426+J425</f>
        <v>-694.30000000004657</v>
      </c>
      <c r="L426" s="170">
        <f t="shared" si="610"/>
        <v>-1.9107533693507358E-3</v>
      </c>
      <c r="M426" s="576">
        <f t="shared" ref="M426" si="725">I426-J426</f>
        <v>12670.229999999981</v>
      </c>
      <c r="N426" s="249">
        <f t="shared" ref="N426" si="726">M426/J426</f>
        <v>3.6200657142857091E-2</v>
      </c>
      <c r="O426" s="182">
        <f t="shared" si="424"/>
        <v>2.0531506244454274E-2</v>
      </c>
      <c r="P426" s="248" t="b">
        <f t="shared" ref="P426" si="727">L426&gt;D426</f>
        <v>0</v>
      </c>
      <c r="Q426" s="249">
        <f>COUNTIF(P$2:P426, TRUE)/(COUNTIF(P$2:P426,FALSE) + COUNTIF(P$2:P426, TRUE))</f>
        <v>0.48</v>
      </c>
      <c r="R426" s="247">
        <v>263278.40000000002</v>
      </c>
      <c r="S426" s="247">
        <f t="shared" ref="S426" si="728">I426-R426</f>
        <v>99391.829999999958</v>
      </c>
      <c r="T426" s="247">
        <v>-30076</v>
      </c>
      <c r="U426" s="247">
        <f t="shared" ref="U426" si="729">M426-T426</f>
        <v>42746.229999999981</v>
      </c>
      <c r="V426" s="249">
        <f>STDEV(D$2:D426)*SQRT(252)</f>
        <v>0.14914946204860074</v>
      </c>
      <c r="W426" s="249">
        <f>STDEV(L$2:L426)*SQRT(252)</f>
        <v>0.32140007588338698</v>
      </c>
      <c r="X426" s="173">
        <f t="shared" si="602"/>
        <v>0.24271396386975241</v>
      </c>
      <c r="Y426" s="173">
        <f t="shared" si="603"/>
        <v>6.388146047577066E-2</v>
      </c>
      <c r="Z426" s="794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1">
        <v>42878</v>
      </c>
      <c r="C427" s="330">
        <v>2398.42</v>
      </c>
      <c r="D427" s="170">
        <f t="shared" ref="D427" si="730">(C427-C426)/C426</f>
        <v>1.837912799391856E-3</v>
      </c>
      <c r="E427" s="243">
        <f t="shared" ref="E427" si="731">(C427-$C$2)/$C$2</f>
        <v>0.14077928502121345</v>
      </c>
      <c r="F427" s="244">
        <v>6138.71</v>
      </c>
      <c r="G427" s="170">
        <f t="shared" si="607"/>
        <v>8.3148423196133497E-4</v>
      </c>
      <c r="H427" s="245">
        <f t="shared" ref="H427" si="732">(F427-F$2)/F$2</f>
        <v>0.20563073236836424</v>
      </c>
      <c r="I427" s="543">
        <v>362550.99</v>
      </c>
      <c r="J427" s="247">
        <v>350000</v>
      </c>
      <c r="K427" s="247">
        <f t="shared" ref="K427" si="733">I427-I426-J427+J426</f>
        <v>-119.23999999999069</v>
      </c>
      <c r="L427" s="170">
        <f t="shared" si="610"/>
        <v>-3.2878353428675603E-4</v>
      </c>
      <c r="M427" s="576">
        <f t="shared" ref="M427" si="734">I427-J427</f>
        <v>12550.989999999991</v>
      </c>
      <c r="N427" s="249">
        <f t="shared" ref="N427" si="735">M427/J427</f>
        <v>3.5859971428571405E-2</v>
      </c>
      <c r="O427" s="182">
        <f t="shared" si="424"/>
        <v>2.0306751262458459E-2</v>
      </c>
      <c r="P427" s="248" t="b">
        <f t="shared" ref="P427" si="736">L427&gt;D427</f>
        <v>0</v>
      </c>
      <c r="Q427" s="249">
        <f>COUNTIF(P$2:P427, TRUE)/(COUNTIF(P$2:P427,FALSE) + COUNTIF(P$2:P427, TRUE))</f>
        <v>0.47887323943661969</v>
      </c>
      <c r="R427" s="247">
        <v>263158.59999999998</v>
      </c>
      <c r="S427" s="247">
        <f t="shared" ref="S427" si="737">I427-R427</f>
        <v>99392.390000000014</v>
      </c>
      <c r="T427" s="247">
        <v>-30424</v>
      </c>
      <c r="U427" s="247">
        <f t="shared" ref="U427" si="738">M427-T427</f>
        <v>42974.989999999991</v>
      </c>
      <c r="V427" s="249">
        <f>STDEV(D$2:D427)*SQRT(252)</f>
        <v>0.1489778784266331</v>
      </c>
      <c r="W427" s="249">
        <f>STDEV(L$2:L427)*SQRT(252)</f>
        <v>0.32102147148537991</v>
      </c>
      <c r="X427" s="173">
        <f t="shared" si="602"/>
        <v>0.24070668616905636</v>
      </c>
      <c r="Y427" s="173">
        <f t="shared" si="603"/>
        <v>6.3256676160937969E-2</v>
      </c>
      <c r="Z427" s="794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1">
        <v>42879</v>
      </c>
      <c r="C428" s="330">
        <v>2404.39</v>
      </c>
      <c r="D428" s="170">
        <f t="shared" ref="D428" si="739">(C428-C427)/C427</f>
        <v>2.4891386829662028E-3</v>
      </c>
      <c r="E428" s="243">
        <f t="shared" ref="E428" si="740">(C428-$C$2)/$C$2</f>
        <v>0.14361884286828627</v>
      </c>
      <c r="F428" s="244">
        <v>6163.02</v>
      </c>
      <c r="G428" s="170">
        <f t="shared" si="607"/>
        <v>3.9601153988379316E-3</v>
      </c>
      <c r="H428" s="245">
        <f t="shared" ref="H428" si="741">(F428-F$2)/F$2</f>
        <v>0.21040516919692848</v>
      </c>
      <c r="I428" s="543">
        <v>361217.77</v>
      </c>
      <c r="J428" s="247">
        <v>350000</v>
      </c>
      <c r="K428" s="247">
        <f t="shared" ref="K428" si="742">I428-I427-J428+J427</f>
        <v>-1333.2199999999721</v>
      </c>
      <c r="L428" s="170">
        <f t="shared" si="610"/>
        <v>-3.6773310148731689E-3</v>
      </c>
      <c r="M428" s="576">
        <f t="shared" ref="M428" si="743">I428-J428</f>
        <v>11217.770000000019</v>
      </c>
      <c r="N428" s="249">
        <f t="shared" ref="N428" si="744">M428/J428</f>
        <v>3.2050771428571483E-2</v>
      </c>
      <c r="O428" s="182">
        <f t="shared" si="424"/>
        <v>1.8121585548429929E-2</v>
      </c>
      <c r="P428" s="248" t="b">
        <f t="shared" ref="P428" si="745">L428&gt;D428</f>
        <v>0</v>
      </c>
      <c r="Q428" s="249">
        <f>COUNTIF(P$2:P428, TRUE)/(COUNTIF(P$2:P428,FALSE) + COUNTIF(P$2:P428, TRUE))</f>
        <v>0.47775175644028101</v>
      </c>
      <c r="R428" s="247">
        <v>265004.5</v>
      </c>
      <c r="S428" s="247">
        <f t="shared" ref="S428" si="746">I428-R428</f>
        <v>96213.270000000019</v>
      </c>
      <c r="T428" s="247">
        <v>-30852</v>
      </c>
      <c r="U428" s="247">
        <f t="shared" ref="U428" si="747">M428-T428</f>
        <v>42069.770000000019</v>
      </c>
      <c r="V428" s="249">
        <f>STDEV(D$2:D428)*SQRT(252)</f>
        <v>0.14881157011695953</v>
      </c>
      <c r="W428" s="249">
        <f>STDEV(L$2:L428)*SQRT(252)</f>
        <v>0.32065963038398737</v>
      </c>
      <c r="X428" s="173">
        <f t="shared" si="602"/>
        <v>0.21537822229401213</v>
      </c>
      <c r="Y428" s="173">
        <f t="shared" si="603"/>
        <v>5.651346110119778E-2</v>
      </c>
      <c r="Z428" s="794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1">
        <v>42880</v>
      </c>
      <c r="C429" s="330">
        <v>2415.0700000000002</v>
      </c>
      <c r="D429" s="170">
        <f t="shared" ref="D429" si="748">(C429-C428)/C428</f>
        <v>4.4418750701842426E-3</v>
      </c>
      <c r="E429" s="243">
        <f t="shared" ref="E429" si="749">(C429-$C$2)/$C$2</f>
        <v>0.14869865489621586</v>
      </c>
      <c r="F429" s="244">
        <v>6205.25</v>
      </c>
      <c r="G429" s="170">
        <f t="shared" si="607"/>
        <v>6.8521601422678428E-3</v>
      </c>
      <c r="H429" s="245">
        <f t="shared" ref="H429" si="750">(F429-F$2)/F$2</f>
        <v>0.21869905925329461</v>
      </c>
      <c r="I429" s="543">
        <v>353000.67</v>
      </c>
      <c r="J429" s="247">
        <v>350000</v>
      </c>
      <c r="K429" s="247">
        <f t="shared" ref="K429" si="751">I429-I428-J429+J428</f>
        <v>-8217.1000000000349</v>
      </c>
      <c r="L429" s="170">
        <f t="shared" si="610"/>
        <v>-2.2748327137947933E-2</v>
      </c>
      <c r="M429" s="576">
        <f t="shared" ref="M429" si="752">I429-J429</f>
        <v>3000.6699999999837</v>
      </c>
      <c r="N429" s="249">
        <f t="shared" ref="N429" si="753">M429/J429</f>
        <v>8.573342857142811E-3</v>
      </c>
      <c r="O429" s="182">
        <f t="shared" si="424"/>
        <v>4.8398971848089825E-3</v>
      </c>
      <c r="P429" s="248" t="b">
        <f t="shared" ref="P429" si="754">L429&gt;D429</f>
        <v>0</v>
      </c>
      <c r="Q429" s="249">
        <f>COUNTIF(P$2:P429, TRUE)/(COUNTIF(P$2:P429,FALSE) + COUNTIF(P$2:P429, TRUE))</f>
        <v>0.47663551401869159</v>
      </c>
      <c r="R429" s="247">
        <v>264898.2</v>
      </c>
      <c r="S429" s="247">
        <f t="shared" ref="S429" si="755">I429-R429</f>
        <v>88102.469999999972</v>
      </c>
      <c r="T429" s="247">
        <v>-32794</v>
      </c>
      <c r="U429" s="247">
        <f t="shared" ref="U429" si="756">M429-T429</f>
        <v>35794.669999999984</v>
      </c>
      <c r="V429" s="249">
        <f>STDEV(D$2:D429)*SQRT(252)</f>
        <v>0.14866989936871414</v>
      </c>
      <c r="W429" s="249">
        <f>STDEV(L$2:L429)*SQRT(252)</f>
        <v>0.32077996360853689</v>
      </c>
      <c r="X429" s="173">
        <f t="shared" si="602"/>
        <v>5.7666971549366446E-2</v>
      </c>
      <c r="Y429" s="173">
        <f t="shared" si="603"/>
        <v>1.5087903653219875E-2</v>
      </c>
      <c r="Z429" s="794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1">
        <v>42881</v>
      </c>
      <c r="C430" s="330">
        <v>2415.8200000000002</v>
      </c>
      <c r="D430" s="170">
        <f t="shared" ref="D430:D441" si="757">(C430-C429)/C429</f>
        <v>3.105500047617667E-4</v>
      </c>
      <c r="E430" s="243">
        <f t="shared" ref="E430" si="758">(C430-$C$2)/$C$2</f>
        <v>0.14905538326896373</v>
      </c>
      <c r="F430" s="244">
        <v>6210.19</v>
      </c>
      <c r="G430" s="170">
        <f t="shared" si="607"/>
        <v>7.9610007654801977E-4</v>
      </c>
      <c r="H430" s="245">
        <f t="shared" ref="H430" si="759">(F430-F$2)/F$2</f>
        <v>0.21966926566765516</v>
      </c>
      <c r="I430" s="543">
        <v>353471.67</v>
      </c>
      <c r="J430" s="247">
        <v>350000</v>
      </c>
      <c r="K430" s="247">
        <f t="shared" ref="K430" si="760">I430-I429-J430+J429</f>
        <v>471</v>
      </c>
      <c r="L430" s="170">
        <f t="shared" si="610"/>
        <v>1.3342750879198049E-3</v>
      </c>
      <c r="M430" s="576">
        <f t="shared" ref="M430" si="761">I430-J430</f>
        <v>3471.6699999999837</v>
      </c>
      <c r="N430" s="249">
        <f t="shared" ref="N430" si="762">M430/J430</f>
        <v>9.9190571428570962E-3</v>
      </c>
      <c r="O430" s="182">
        <f t="shared" si="424"/>
        <v>5.5909500330687568E-3</v>
      </c>
      <c r="P430" s="248" t="b">
        <f t="shared" ref="P430" si="763">L430&gt;D430</f>
        <v>1</v>
      </c>
      <c r="Q430" s="249">
        <f>COUNTIF(P$2:P430, TRUE)/(COUNTIF(P$2:P430,FALSE) + COUNTIF(P$2:P430, TRUE))</f>
        <v>0.47785547785547783</v>
      </c>
      <c r="R430" s="247">
        <v>265363.20000000001</v>
      </c>
      <c r="S430" s="247">
        <f t="shared" ref="S430" si="764">I430-R430</f>
        <v>88108.469999999972</v>
      </c>
      <c r="T430" s="247">
        <v>-33110</v>
      </c>
      <c r="U430" s="247">
        <f t="shared" ref="U430" si="765">M430-T430</f>
        <v>36581.669999999984</v>
      </c>
      <c r="V430" s="249">
        <f>STDEV(D$2:D430)*SQRT(252)</f>
        <v>0.14849571742002676</v>
      </c>
      <c r="W430" s="249">
        <f>STDEV(L$2:L430)*SQRT(252)</f>
        <v>0.3204048737589808</v>
      </c>
      <c r="X430" s="173">
        <f t="shared" si="602"/>
        <v>6.67969239463021E-2</v>
      </c>
      <c r="Y430" s="173">
        <f t="shared" si="603"/>
        <v>1.7449641035343473E-2</v>
      </c>
      <c r="Z430" s="794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4">
        <v>2412.91</v>
      </c>
      <c r="D431" s="170">
        <f t="shared" si="757"/>
        <v>-1.204559942379941E-3</v>
      </c>
      <c r="E431" s="208">
        <f t="shared" ref="E431" si="766">(C431-$C$2)/$C$2</f>
        <v>0.1476712771827019</v>
      </c>
      <c r="F431" s="218">
        <v>6203.18</v>
      </c>
      <c r="G431" s="170">
        <f t="shared" si="607"/>
        <v>-1.1287899404042886E-3</v>
      </c>
      <c r="H431" s="202">
        <f t="shared" ref="H431" si="767">(F431-F$2)/F$2</f>
        <v>0.21829251526994922</v>
      </c>
      <c r="I431" s="220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1">
        <f t="shared" ref="M431" si="769">I431-J431</f>
        <v>229.07000000000698</v>
      </c>
      <c r="N431" s="183">
        <f t="shared" ref="N431" si="770">M431/J431</f>
        <v>6.5448571428573419E-4</v>
      </c>
      <c r="O431" s="182">
        <f t="shared" si="424"/>
        <v>3.6664249561789024E-4</v>
      </c>
      <c r="P431" s="181" t="b">
        <f t="shared" ref="P431" si="771">L431&gt;D431</f>
        <v>0</v>
      </c>
      <c r="Q431" s="183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3">
        <f>STDEV(D$2:D431)*SQRT(252)</f>
        <v>0.14832703796630264</v>
      </c>
      <c r="W431" s="183">
        <f>STDEV(L$2:L431)*SQRT(252)</f>
        <v>0.32011502320683888</v>
      </c>
      <c r="X431" s="173">
        <f t="shared" si="602"/>
        <v>4.4124505097608846E-3</v>
      </c>
      <c r="Y431" s="173">
        <f t="shared" si="603"/>
        <v>1.1453461069866381E-3</v>
      </c>
      <c r="Z431" s="794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4">
        <v>2411.8000000000002</v>
      </c>
      <c r="D432" s="170">
        <f t="shared" si="757"/>
        <v>-4.6002544645248791E-4</v>
      </c>
      <c r="E432" s="208">
        <f t="shared" ref="E432" si="774">(C432-$C$2)/$C$2</f>
        <v>0.14714331919103524</v>
      </c>
      <c r="F432" s="218">
        <v>6198.51</v>
      </c>
      <c r="G432" s="170">
        <f t="shared" si="607"/>
        <v>-7.5283967255505607E-4</v>
      </c>
      <c r="H432" s="202">
        <f t="shared" ref="H432" si="775">(F432-F$2)/F$2</f>
        <v>0.21737533633167713</v>
      </c>
      <c r="I432" s="409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9">
        <f t="shared" ref="M432" si="777">I432-J432</f>
        <v>-796.8300000000163</v>
      </c>
      <c r="N432" s="183">
        <f t="shared" ref="N432" si="778">M432/J432</f>
        <v>-2.2766571428571893E-3</v>
      </c>
      <c r="O432" s="182">
        <f t="shared" si="424"/>
        <v>-1.2734288230146836E-3</v>
      </c>
      <c r="P432" s="181" t="b">
        <f t="shared" ref="P432" si="779">L432&gt;D432</f>
        <v>0</v>
      </c>
      <c r="Q432" s="183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3">
        <f>STDEV(D$2:D432)*SQRT(252)</f>
        <v>0.14815540660544116</v>
      </c>
      <c r="W432" s="183">
        <f>STDEV(L$2:L432)*SQRT(252)</f>
        <v>0.31975192949675368</v>
      </c>
      <c r="X432" s="173">
        <f t="shared" si="602"/>
        <v>-1.5366682830011394E-2</v>
      </c>
      <c r="Y432" s="173">
        <f t="shared" si="603"/>
        <v>-3.9825524274986817E-3</v>
      </c>
      <c r="Z432" s="794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4">
        <v>2430.06</v>
      </c>
      <c r="D433" s="170">
        <f t="shared" si="757"/>
        <v>7.5711087154821137E-3</v>
      </c>
      <c r="E433" s="208">
        <f t="shared" ref="E433" si="782">(C433-$C$2)/$C$2</f>
        <v>0.15582846597286956</v>
      </c>
      <c r="F433" s="218">
        <v>6246.83</v>
      </c>
      <c r="G433" s="170">
        <f t="shared" si="607"/>
        <v>7.7954218029816372E-3</v>
      </c>
      <c r="H433" s="202">
        <f t="shared" ref="H433" si="783">(F433-F$2)/F$2</f>
        <v>0.22686529057092919</v>
      </c>
      <c r="I433" s="220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1">
        <f t="shared" ref="M433" si="785">I433-J433</f>
        <v>3722.210000000021</v>
      </c>
      <c r="N433" s="183">
        <f t="shared" ref="N433" si="786">M433/J433</f>
        <v>1.0634885714285775E-2</v>
      </c>
      <c r="O433" s="182">
        <f t="shared" si="424"/>
        <v>5.9394373197903354E-3</v>
      </c>
      <c r="P433" s="181" t="b">
        <f t="shared" ref="P433" si="787">L433&gt;D433</f>
        <v>1</v>
      </c>
      <c r="Q433" s="183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3">
        <f>STDEV(D$2:D433)*SQRT(252)</f>
        <v>0.14808564864409832</v>
      </c>
      <c r="W433" s="183">
        <f>STDEV(L$2:L433)*SQRT(252)</f>
        <v>0.31952378804389292</v>
      </c>
      <c r="X433" s="173">
        <f t="shared" si="602"/>
        <v>7.1815775611349955E-2</v>
      </c>
      <c r="Y433" s="173">
        <f t="shared" si="603"/>
        <v>1.8588404187842304E-2</v>
      </c>
      <c r="Z433" s="794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4">
        <v>2439.0700000000002</v>
      </c>
      <c r="D434" s="170">
        <f t="shared" si="757"/>
        <v>3.7077273812170146E-3</v>
      </c>
      <c r="E434" s="208">
        <f t="shared" ref="E434" si="790">(C434-$C$2)/$C$2</f>
        <v>0.16011396282414722</v>
      </c>
      <c r="F434" s="218">
        <v>6305.79</v>
      </c>
      <c r="G434" s="170">
        <f t="shared" si="607"/>
        <v>9.4383871499624673E-3</v>
      </c>
      <c r="H434" s="202">
        <f t="shared" ref="H434" si="791">(F434-F$2)/F$2</f>
        <v>0.23844492016418881</v>
      </c>
      <c r="I434" s="220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1">
        <f t="shared" ref="M434" si="793">I434-J434</f>
        <v>1458.3099999999977</v>
      </c>
      <c r="N434" s="183">
        <f t="shared" ref="N434" si="794">M434/J434</f>
        <v>4.1665999999999934E-3</v>
      </c>
      <c r="O434" s="182">
        <f t="shared" si="424"/>
        <v>2.3234361068702252E-3</v>
      </c>
      <c r="P434" s="181" t="b">
        <f t="shared" ref="P434" si="795">L434&gt;D434</f>
        <v>0</v>
      </c>
      <c r="Q434" s="183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3">
        <f>STDEV(D$2:D434)*SQRT(252)</f>
        <v>0.14793559836685169</v>
      </c>
      <c r="W434" s="183">
        <f>STDEV(L$2:L434)*SQRT(252)</f>
        <v>0.31919554315894061</v>
      </c>
      <c r="X434" s="173">
        <f t="shared" si="602"/>
        <v>2.8164958576553229E-2</v>
      </c>
      <c r="Y434" s="173">
        <f t="shared" si="603"/>
        <v>7.2790368057027996E-3</v>
      </c>
      <c r="Z434" s="794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1">
        <v>42891</v>
      </c>
      <c r="C435" s="330">
        <v>2436.1</v>
      </c>
      <c r="D435" s="170">
        <f t="shared" si="757"/>
        <v>-1.217677229435914E-3</v>
      </c>
      <c r="E435" s="243">
        <f t="shared" ref="E435" si="798">(C435-$C$2)/$C$2</f>
        <v>0.15870131846806559</v>
      </c>
      <c r="F435" s="244">
        <v>6295.68</v>
      </c>
      <c r="G435" s="170">
        <f t="shared" si="607"/>
        <v>-1.6032884063693325E-3</v>
      </c>
      <c r="H435" s="245">
        <f t="shared" ref="H435" si="799">(F435-F$2)/F$2</f>
        <v>0.23645933578176256</v>
      </c>
      <c r="I435" s="543">
        <v>351519.71</v>
      </c>
      <c r="J435" s="247">
        <v>350000</v>
      </c>
      <c r="K435" s="247">
        <f t="shared" ref="K435" si="800">I435-I434-J435+J434</f>
        <v>61.400000000023283</v>
      </c>
      <c r="L435" s="170">
        <f t="shared" si="610"/>
        <v>1.7470066364350093E-4</v>
      </c>
      <c r="M435" s="576">
        <f t="shared" ref="M435" si="801">I435-J435</f>
        <v>1519.710000000021</v>
      </c>
      <c r="N435" s="249">
        <f t="shared" ref="N435" si="802">M435/J435</f>
        <v>4.3420285714286314E-3</v>
      </c>
      <c r="O435" s="182">
        <f t="shared" si="424"/>
        <v>2.4102217867998598E-3</v>
      </c>
      <c r="P435" s="248" t="b">
        <f t="shared" ref="P435" si="803">L435&gt;D435</f>
        <v>1</v>
      </c>
      <c r="Q435" s="249">
        <f>COUNTIF(P$2:P435, TRUE)/(COUNTIF(P$2:P435,FALSE) + COUNTIF(P$2:P435, TRUE))</f>
        <v>0.47695852534562211</v>
      </c>
      <c r="R435" s="247">
        <v>282388.8</v>
      </c>
      <c r="S435" s="247">
        <f t="shared" ref="S435" si="804">I435-R435</f>
        <v>69130.910000000033</v>
      </c>
      <c r="T435" s="247">
        <v>-35772</v>
      </c>
      <c r="U435" s="247">
        <f t="shared" ref="U435" si="805">M435-T435</f>
        <v>37291.710000000021</v>
      </c>
      <c r="V435" s="249">
        <f>STDEV(D$2:D435)*SQRT(252)</f>
        <v>0.14776934878372619</v>
      </c>
      <c r="W435" s="249">
        <f>STDEV(L$2:L435)*SQRT(252)</f>
        <v>0.31882594274949316</v>
      </c>
      <c r="X435" s="173">
        <f t="shared" si="602"/>
        <v>2.9383824231259102E-2</v>
      </c>
      <c r="Y435" s="173">
        <f t="shared" si="603"/>
        <v>7.5596790085981523E-3</v>
      </c>
      <c r="Z435" s="794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1">
        <v>42892</v>
      </c>
      <c r="C436" s="330">
        <v>2429.33</v>
      </c>
      <c r="D436" s="170">
        <f t="shared" si="757"/>
        <v>-2.7790320594392602E-3</v>
      </c>
      <c r="E436" s="243">
        <f t="shared" ref="E436" si="806">(C436-$C$2)/$C$2</f>
        <v>0.1554812503567283</v>
      </c>
      <c r="F436" s="244">
        <v>6275.02</v>
      </c>
      <c r="G436" s="170">
        <f t="shared" si="607"/>
        <v>-3.2816153298769715E-3</v>
      </c>
      <c r="H436" s="245">
        <f t="shared" ref="H436" si="807">(F436-F$2)/F$2</f>
        <v>0.23240175187069165</v>
      </c>
      <c r="I436" s="543">
        <v>351863.31</v>
      </c>
      <c r="J436" s="247">
        <v>350000</v>
      </c>
      <c r="K436" s="247">
        <f t="shared" ref="K436" si="808">I436-I435-J436+J435</f>
        <v>343.59999999997672</v>
      </c>
      <c r="L436" s="170">
        <f t="shared" si="610"/>
        <v>9.7747008268747344E-4</v>
      </c>
      <c r="M436" s="576">
        <f t="shared" ref="M436" si="809">I436-J436</f>
        <v>1863.3099999999977</v>
      </c>
      <c r="N436" s="249">
        <f t="shared" ref="N436" si="810">M436/J436</f>
        <v>5.3237428571428509E-3</v>
      </c>
      <c r="O436" s="182">
        <f t="shared" si="424"/>
        <v>2.9506784196834997E-3</v>
      </c>
      <c r="P436" s="248" t="b">
        <f t="shared" ref="P436" si="811">L436&gt;D436</f>
        <v>1</v>
      </c>
      <c r="Q436" s="249">
        <f>COUNTIF(P$2:P436, TRUE)/(COUNTIF(P$2:P436,FALSE) + COUNTIF(P$2:P436, TRUE))</f>
        <v>0.47816091954022988</v>
      </c>
      <c r="R436" s="247">
        <v>286054.40000000002</v>
      </c>
      <c r="S436" s="247">
        <f t="shared" ref="S436" si="812">I436-R436</f>
        <v>65808.909999999974</v>
      </c>
      <c r="T436" s="247">
        <v>-34862</v>
      </c>
      <c r="U436" s="247">
        <f t="shared" ref="U436" si="813">M436-T436</f>
        <v>36725.31</v>
      </c>
      <c r="V436" s="249">
        <f>STDEV(D$2:D436)*SQRT(252)</f>
        <v>0.14761828585147854</v>
      </c>
      <c r="W436" s="249">
        <f>STDEV(L$2:L436)*SQRT(252)</f>
        <v>0.3184578591374711</v>
      </c>
      <c r="X436" s="173">
        <f t="shared" si="602"/>
        <v>3.6064250620679646E-2</v>
      </c>
      <c r="Y436" s="173">
        <f t="shared" si="603"/>
        <v>9.2655223761011294E-3</v>
      </c>
      <c r="Z436" s="794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1">
        <v>42893</v>
      </c>
      <c r="C437" s="330">
        <v>2433.14</v>
      </c>
      <c r="D437" s="170">
        <f t="shared" si="757"/>
        <v>1.5683336557816129E-3</v>
      </c>
      <c r="E437" s="243">
        <f t="shared" ref="E437" si="814">(C437-$C$2)/$C$2</f>
        <v>0.15729343049028738</v>
      </c>
      <c r="F437" s="244">
        <v>6297.38</v>
      </c>
      <c r="G437" s="170">
        <f t="shared" si="607"/>
        <v>3.5633352563019197E-3</v>
      </c>
      <c r="H437" s="245">
        <f t="shared" ref="H437" si="815">(F437-F$2)/F$2</f>
        <v>0.23679321248306073</v>
      </c>
      <c r="I437" s="543">
        <v>346982.81</v>
      </c>
      <c r="J437" s="247">
        <v>350000</v>
      </c>
      <c r="K437" s="247">
        <f t="shared" ref="K437" si="816">I437-I436-J437+J436</f>
        <v>-4880.5</v>
      </c>
      <c r="L437" s="170">
        <f t="shared" si="610"/>
        <v>-1.3870443042214319E-2</v>
      </c>
      <c r="M437" s="576">
        <f t="shared" ref="M437" si="817">I437-J437</f>
        <v>-3017.1900000000023</v>
      </c>
      <c r="N437" s="249">
        <f t="shared" ref="N437" si="818">M437/J437</f>
        <v>-8.6205428571428638E-3</v>
      </c>
      <c r="O437" s="182">
        <f t="shared" si="424"/>
        <v>-4.7706867857142893E-3</v>
      </c>
      <c r="P437" s="248" t="b">
        <f t="shared" ref="P437" si="819">L437&gt;D437</f>
        <v>0</v>
      </c>
      <c r="Q437" s="249">
        <f>COUNTIF(P$2:P437, TRUE)/(COUNTIF(P$2:P437,FALSE) + COUNTIF(P$2:P437, TRUE))</f>
        <v>0.47706422018348627</v>
      </c>
      <c r="R437" s="247">
        <v>281173.90000000002</v>
      </c>
      <c r="S437" s="247">
        <f t="shared" ref="S437" si="820">I437-R437</f>
        <v>65808.909999999974</v>
      </c>
      <c r="T437" s="247">
        <v>-40512</v>
      </c>
      <c r="U437" s="247">
        <f t="shared" ref="U437" si="821">M437-T437</f>
        <v>37494.81</v>
      </c>
      <c r="V437" s="249">
        <f>STDEV(D$2:D437)*SQRT(252)</f>
        <v>0.14745091296310839</v>
      </c>
      <c r="W437" s="249">
        <f>STDEV(L$2:L437)*SQRT(252)</f>
        <v>0.31827656927387871</v>
      </c>
      <c r="X437" s="173">
        <f t="shared" si="602"/>
        <v>-5.8463814729310545E-2</v>
      </c>
      <c r="Y437" s="173">
        <f t="shared" si="603"/>
        <v>-1.4989123442539961E-2</v>
      </c>
      <c r="Z437" s="794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1">
        <v>42894</v>
      </c>
      <c r="C438" s="330">
        <v>2433.79</v>
      </c>
      <c r="D438" s="170">
        <f t="shared" si="757"/>
        <v>2.6714451285174342E-4</v>
      </c>
      <c r="E438" s="243">
        <f t="shared" ref="E438" si="822">(C438-$C$2)/$C$2</f>
        <v>0.15760259508000224</v>
      </c>
      <c r="F438" s="244">
        <v>6321.76</v>
      </c>
      <c r="G438" s="170">
        <f t="shared" si="607"/>
        <v>3.8714513019700429E-3</v>
      </c>
      <c r="H438" s="245">
        <f t="shared" ref="H438" si="823">(F438-F$2)/F$2</f>
        <v>0.24158139717579599</v>
      </c>
      <c r="I438" s="543">
        <v>347153.55</v>
      </c>
      <c r="J438" s="247">
        <v>350000</v>
      </c>
      <c r="K438" s="247">
        <f t="shared" ref="K438" si="824">I438-I437-J438+J437</f>
        <v>170.73999999999069</v>
      </c>
      <c r="L438" s="170">
        <f t="shared" si="610"/>
        <v>4.9207048614307637E-4</v>
      </c>
      <c r="M438" s="576">
        <f t="shared" ref="M438" si="825">I438-J438</f>
        <v>-2846.4500000000116</v>
      </c>
      <c r="N438" s="249">
        <f t="shared" ref="N438" si="826">M438/J438</f>
        <v>-8.1327142857143195E-3</v>
      </c>
      <c r="O438" s="182">
        <f t="shared" si="424"/>
        <v>-4.4939090663497052E-3</v>
      </c>
      <c r="P438" s="248" t="b">
        <f t="shared" ref="P438" si="827">L438&gt;D438</f>
        <v>1</v>
      </c>
      <c r="Q438" s="249">
        <f>COUNTIF(P$2:P438, TRUE)/(COUNTIF(P$2:P438,FALSE) + COUNTIF(P$2:P438, TRUE))</f>
        <v>0.47826086956521741</v>
      </c>
      <c r="R438" s="247">
        <v>278494.7</v>
      </c>
      <c r="S438" s="247">
        <f t="shared" ref="S438" si="828">I438-R438</f>
        <v>68658.849999999977</v>
      </c>
      <c r="T438" s="247">
        <v>-41692</v>
      </c>
      <c r="U438" s="247">
        <f t="shared" ref="U438" si="829">M438-T438</f>
        <v>38845.549999999988</v>
      </c>
      <c r="V438" s="249">
        <f>STDEV(D$2:D438)*SQRT(252)</f>
        <v>0.14728135611412443</v>
      </c>
      <c r="W438" s="249">
        <f>STDEV(L$2:L438)*SQRT(252)</f>
        <v>0.31791053438121292</v>
      </c>
      <c r="X438" s="173">
        <f t="shared" si="602"/>
        <v>-5.5218898713917962E-2</v>
      </c>
      <c r="Y438" s="173">
        <f t="shared" si="603"/>
        <v>-1.4135766451076353E-2</v>
      </c>
      <c r="Z438" s="794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1">
        <v>42895</v>
      </c>
      <c r="C439" s="330">
        <v>2431.77</v>
      </c>
      <c r="D439" s="170">
        <f t="shared" si="757"/>
        <v>-8.2998122270203339E-4</v>
      </c>
      <c r="E439" s="243">
        <f t="shared" ref="E439" si="830">(C439-$C$2)/$C$2</f>
        <v>0.15664180666273469</v>
      </c>
      <c r="F439" s="244">
        <v>6207.91</v>
      </c>
      <c r="G439" s="170">
        <f t="shared" si="607"/>
        <v>-1.8009225279036273E-2</v>
      </c>
      <c r="H439" s="245">
        <f t="shared" ref="H439" si="831">(F439-F$2)/F$2</f>
        <v>0.21922147809179646</v>
      </c>
      <c r="I439" s="543">
        <v>354123.05</v>
      </c>
      <c r="J439" s="247">
        <v>350000</v>
      </c>
      <c r="K439" s="247">
        <f t="shared" ref="K439" si="832">I439-I438-J439+J438</f>
        <v>6969.5</v>
      </c>
      <c r="L439" s="170">
        <f t="shared" si="610"/>
        <v>2.0076130576800959E-2</v>
      </c>
      <c r="M439" s="576">
        <f t="shared" ref="M439" si="833">I439-J439</f>
        <v>4123.0499999999884</v>
      </c>
      <c r="N439" s="249">
        <f t="shared" ref="N439" si="834">M439/J439</f>
        <v>1.1780142857142824E-2</v>
      </c>
      <c r="O439" s="182">
        <f t="shared" si="424"/>
        <v>6.4995425658178497E-3</v>
      </c>
      <c r="P439" s="248" t="b">
        <f t="shared" ref="P439" si="835">L439&gt;D439</f>
        <v>1</v>
      </c>
      <c r="Q439" s="249">
        <f>COUNTIF(P$2:P439, TRUE)/(COUNTIF(P$2:P439,FALSE) + COUNTIF(P$2:P439, TRUE))</f>
        <v>0.47945205479452052</v>
      </c>
      <c r="R439" s="247">
        <v>285464.2</v>
      </c>
      <c r="S439" s="247">
        <f t="shared" ref="S439" si="836">I439-R439</f>
        <v>68658.849999999977</v>
      </c>
      <c r="T439" s="247">
        <v>-37482</v>
      </c>
      <c r="U439" s="247">
        <f t="shared" ref="U439" si="837">M439-T439</f>
        <v>41605.049999999988</v>
      </c>
      <c r="V439" s="249">
        <f>STDEV(D$2:D439)*SQRT(252)</f>
        <v>0.14711522117325773</v>
      </c>
      <c r="W439" s="249">
        <f>STDEV(L$2:L439)*SQRT(252)</f>
        <v>0.3178976683829039</v>
      </c>
      <c r="X439" s="173">
        <f t="shared" si="602"/>
        <v>8.0074262630304843E-2</v>
      </c>
      <c r="Y439" s="173">
        <f t="shared" si="603"/>
        <v>2.0445392376987268E-2</v>
      </c>
      <c r="Z439" s="794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4">
        <v>2429.39</v>
      </c>
      <c r="D440" s="170">
        <f t="shared" si="757"/>
        <v>-9.7871098006806125E-4</v>
      </c>
      <c r="E440" s="208">
        <f t="shared" ref="E440" si="838">(C440-$C$2)/$C$2</f>
        <v>0.1555097886265481</v>
      </c>
      <c r="F440" s="218">
        <v>6208.91</v>
      </c>
      <c r="G440" s="170">
        <f t="shared" si="607"/>
        <v>1.6108480954137545E-4</v>
      </c>
      <c r="H440" s="202">
        <f t="shared" ref="H440" si="839">(F440-F$2)/F$2</f>
        <v>0.21941787615138364</v>
      </c>
      <c r="I440" s="220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1">
        <f t="shared" ref="M440" si="841">I440-J440</f>
        <v>4932.429999999993</v>
      </c>
      <c r="N440" s="183">
        <f t="shared" ref="N440" si="842">M440/J440</f>
        <v>1.4092657142857123E-2</v>
      </c>
      <c r="O440" s="182">
        <f t="shared" si="424"/>
        <v>7.7403654457572401E-3</v>
      </c>
      <c r="P440" s="181" t="b">
        <f t="shared" ref="P440" si="843">L440&gt;D440</f>
        <v>1</v>
      </c>
      <c r="Q440" s="183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3">
        <f>STDEV(D$2:D440)*SQRT(252)</f>
        <v>0.14695039242949098</v>
      </c>
      <c r="W440" s="183">
        <f>STDEV(L$2:L440)*SQRT(252)</f>
        <v>0.3175368564907623</v>
      </c>
      <c r="X440" s="173">
        <f t="shared" si="602"/>
        <v>9.5900779234863176E-2</v>
      </c>
      <c r="Y440" s="173">
        <f t="shared" si="603"/>
        <v>2.43762740845248E-2</v>
      </c>
      <c r="Z440" s="794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4">
        <v>2440.35</v>
      </c>
      <c r="D441" s="170">
        <f t="shared" si="757"/>
        <v>4.5114205623634071E-3</v>
      </c>
      <c r="E441" s="208">
        <f t="shared" ref="E441" si="846">(C441-$C$2)/$C$2</f>
        <v>0.16072277924697012</v>
      </c>
      <c r="F441" s="218">
        <v>6220.36</v>
      </c>
      <c r="G441" s="170">
        <f t="shared" si="607"/>
        <v>1.8441240088839777E-3</v>
      </c>
      <c r="H441" s="202">
        <f t="shared" ref="H441" si="847">(F441-F$2)/F$2</f>
        <v>0.22166663393365671</v>
      </c>
      <c r="I441" s="220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1">
        <f t="shared" ref="M441" si="849">I441-J441</f>
        <v>9514.0300000000279</v>
      </c>
      <c r="N441" s="183">
        <f t="shared" ref="N441" si="850">M441/J441</f>
        <v>2.7182942857142938E-2</v>
      </c>
      <c r="O441" s="182">
        <f t="shared" si="424"/>
        <v>1.4907762580437625E-2</v>
      </c>
      <c r="P441" s="181" t="b">
        <f t="shared" ref="P441" si="851">L441&gt;D441</f>
        <v>1</v>
      </c>
      <c r="Q441" s="183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3">
        <f>STDEV(D$2:D441)*SQRT(252)</f>
        <v>0.14681603465160581</v>
      </c>
      <c r="W441" s="183">
        <f>STDEV(L$2:L441)*SQRT(252)</f>
        <v>0.31731497088300775</v>
      </c>
      <c r="X441" s="173">
        <f t="shared" si="602"/>
        <v>0.18514968696469711</v>
      </c>
      <c r="Y441" s="173">
        <f t="shared" si="603"/>
        <v>4.6980961972746108E-2</v>
      </c>
      <c r="Z441" s="794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4">
        <v>2437.92</v>
      </c>
      <c r="D442" s="170">
        <f t="shared" ref="D442" si="854">(C442-C441)/C441</f>
        <v>-9.9575880508936693E-4</v>
      </c>
      <c r="E442" s="208">
        <f t="shared" ref="E442" si="855">(C442-$C$2)/$C$2</f>
        <v>0.15956697931926714</v>
      </c>
      <c r="F442" s="218">
        <v>6194.89</v>
      </c>
      <c r="G442" s="170">
        <f t="shared" ref="G442" si="856">(F442-F441)/F441</f>
        <v>-4.0946183179107554E-3</v>
      </c>
      <c r="H442" s="202">
        <f t="shared" ref="H442" si="857">(F442-F$2)/F$2</f>
        <v>0.21666437535597158</v>
      </c>
      <c r="I442" s="220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1">
        <f t="shared" ref="M442" si="860">I442-J442</f>
        <v>5660.7999999999884</v>
      </c>
      <c r="N442" s="183">
        <f t="shared" ref="N442" si="861">M442/J442</f>
        <v>1.6173714285714253E-2</v>
      </c>
      <c r="O442" s="182">
        <f t="shared" si="424"/>
        <v>8.8567453416148901E-3</v>
      </c>
      <c r="P442" s="181" t="b">
        <f t="shared" ref="P442" si="862">L442&gt;D442</f>
        <v>0</v>
      </c>
      <c r="Q442" s="183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3">
        <f>STDEV(D$2:D442)*SQRT(252)</f>
        <v>0.14665243029152958</v>
      </c>
      <c r="W442" s="183">
        <f>STDEV(L$2:L442)*SQRT(252)</f>
        <v>0.3170662521053495</v>
      </c>
      <c r="X442" s="173">
        <f t="shared" si="602"/>
        <v>0.11028602972049364</v>
      </c>
      <c r="Y442" s="173">
        <f t="shared" si="603"/>
        <v>2.7933421746418215E-2</v>
      </c>
      <c r="Z442" s="794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4">
        <v>2432.46</v>
      </c>
      <c r="D443" s="170">
        <f t="shared" ref="D443" si="865">(C443-C442)/C442</f>
        <v>-2.2396140972632556E-3</v>
      </c>
      <c r="E443" s="208">
        <f t="shared" ref="E443" si="866">(C443-$C$2)/$C$2</f>
        <v>0.15696999676566273</v>
      </c>
      <c r="F443" s="218">
        <v>6165.5</v>
      </c>
      <c r="G443" s="170">
        <f t="shared" ref="G443" si="867">(F443-F442)/F442</f>
        <v>-4.7442327466670634E-3</v>
      </c>
      <c r="H443" s="202">
        <f t="shared" ref="H443" si="868">(F443-F$2)/F$2</f>
        <v>0.21089223638470456</v>
      </c>
      <c r="I443" s="220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1">
        <f t="shared" ref="M443" si="871">I443-J443</f>
        <v>-6351.0499999999884</v>
      </c>
      <c r="N443" s="183">
        <f t="shared" ref="N443" si="872">M443/J443</f>
        <v>-1.8145857142857109E-2</v>
      </c>
      <c r="O443" s="182">
        <f t="shared" si="424"/>
        <v>-9.9218178464499391E-3</v>
      </c>
      <c r="P443" s="181" t="b">
        <f t="shared" ref="P443" si="873">L443&gt;D443</f>
        <v>0</v>
      </c>
      <c r="Q443" s="183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3">
        <f>STDEV(D$2:D443)*SQRT(252)</f>
        <v>0.1464990590899134</v>
      </c>
      <c r="W443" s="183">
        <f>STDEV(L$2:L443)*SQRT(252)</f>
        <v>0.31775974785827971</v>
      </c>
      <c r="X443" s="173">
        <f t="shared" si="602"/>
        <v>-0.12386330161834104</v>
      </c>
      <c r="Y443" s="173">
        <f t="shared" si="603"/>
        <v>-3.1224275300202758E-2</v>
      </c>
      <c r="Z443" s="794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4">
        <v>2433.46</v>
      </c>
      <c r="D444" s="170">
        <f t="shared" ref="D444" si="876">(C444-C443)/C443</f>
        <v>4.1110645190465617E-4</v>
      </c>
      <c r="E444" s="208">
        <f t="shared" ref="E444" si="877">(C444-$C$2)/$C$2</f>
        <v>0.15744563459599323</v>
      </c>
      <c r="F444" s="218">
        <v>6166.5</v>
      </c>
      <c r="G444" s="170">
        <f t="shared" ref="G444" si="878">(F444-F443)/F443</f>
        <v>1.6219284729543428E-4</v>
      </c>
      <c r="H444" s="202">
        <f t="shared" ref="H444" si="879">(F444-F$2)/F$2</f>
        <v>0.21108863444429174</v>
      </c>
      <c r="I444" s="220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1">
        <f t="shared" ref="M444" si="882">I444-J444</f>
        <v>-9314.0999999999767</v>
      </c>
      <c r="N444" s="183">
        <f t="shared" ref="N444" si="883">M444/J444</f>
        <v>-2.6611714285714218E-2</v>
      </c>
      <c r="O444" s="182">
        <f t="shared" si="424"/>
        <v>-1.4529041319666843E-2</v>
      </c>
      <c r="P444" s="181" t="b">
        <f t="shared" ref="P444" si="884">L444&gt;D444</f>
        <v>0</v>
      </c>
      <c r="Q444" s="183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3">
        <f>STDEV(D$2:D444)*SQRT(252)</f>
        <v>0.14633286893407277</v>
      </c>
      <c r="W444" s="183">
        <f>STDEV(L$2:L444)*SQRT(252)</f>
        <v>0.31747170066336466</v>
      </c>
      <c r="X444" s="173">
        <f t="shared" si="602"/>
        <v>-0.18185739457963865</v>
      </c>
      <c r="Y444" s="173">
        <f t="shared" si="603"/>
        <v>-4.5764839163012216E-2</v>
      </c>
      <c r="Z444" s="794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4">
        <v>2453.46</v>
      </c>
      <c r="D445" s="170">
        <f t="shared" ref="D445" si="887">(C445-C444)/C444</f>
        <v>8.2187502568359452E-3</v>
      </c>
      <c r="E445" s="208">
        <f t="shared" ref="E445" si="888">(C445-$C$2)/$C$2</f>
        <v>0.16695839120260267</v>
      </c>
      <c r="F445" s="218">
        <v>6239.01</v>
      </c>
      <c r="G445" s="170">
        <f t="shared" ref="G445" si="889">(F445-F444)/F444</f>
        <v>1.17586961809779E-2</v>
      </c>
      <c r="H445" s="202">
        <f t="shared" ref="H445" si="890">(F445-F$2)/F$2</f>
        <v>0.22532945774495758</v>
      </c>
      <c r="I445" s="220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1">
        <f t="shared" ref="M445" si="893">I445-J445</f>
        <v>-7929.7999999999884</v>
      </c>
      <c r="N445" s="183">
        <f t="shared" ref="N445" si="894">M445/J445</f>
        <v>-2.2656571428571394E-2</v>
      </c>
      <c r="O445" s="182">
        <f t="shared" si="424"/>
        <v>-1.2351213006396569E-2</v>
      </c>
      <c r="P445" s="181" t="b">
        <f t="shared" ref="P445" si="895">L445&gt;D445</f>
        <v>0</v>
      </c>
      <c r="Q445" s="183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3">
        <f>STDEV(D$2:D445)*SQRT(252)</f>
        <v>0.14628696674144756</v>
      </c>
      <c r="W445" s="183">
        <f>STDEV(L$2:L445)*SQRT(252)</f>
        <v>0.31712481290126882</v>
      </c>
      <c r="X445" s="173">
        <f t="shared" si="602"/>
        <v>-0.15487758023320949</v>
      </c>
      <c r="Y445" s="173">
        <f t="shared" si="603"/>
        <v>-3.8947482202352612E-2</v>
      </c>
      <c r="Z445" s="794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4">
        <v>2423.41</v>
      </c>
      <c r="D446" s="170">
        <f t="shared" ref="D446" si="898">(C446-C445)/C445</f>
        <v>-1.2248008934321399E-2</v>
      </c>
      <c r="E446" s="208">
        <f t="shared" ref="E446" si="899">(C446-$C$2)/$C$2</f>
        <v>0.15266547440117187</v>
      </c>
      <c r="F446" s="218">
        <v>6140.42</v>
      </c>
      <c r="G446" s="170">
        <f t="shared" ref="G446" si="900">(F446-F445)/F445</f>
        <v>-1.5802186564855665E-2</v>
      </c>
      <c r="H446" s="202">
        <f t="shared" ref="H446" si="901">(F446-F$2)/F$2</f>
        <v>0.20596657305025831</v>
      </c>
      <c r="I446" s="409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9">
        <f t="shared" ref="M446" si="904">I446-J446</f>
        <v>-9902.390000000014</v>
      </c>
      <c r="N446" s="183">
        <f t="shared" ref="N446" si="905">M446/J446</f>
        <v>-2.8292542857142899E-2</v>
      </c>
      <c r="O446" s="182">
        <f t="shared" si="424"/>
        <v>-1.5107969705513806E-2</v>
      </c>
      <c r="P446" s="181" t="b">
        <f t="shared" ref="P446" si="906">L446&gt;D446</f>
        <v>1</v>
      </c>
      <c r="Q446" s="183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3">
        <f>STDEV(D$2:D446)*SQRT(252)</f>
        <v>0.14643166967945351</v>
      </c>
      <c r="W446" s="183">
        <f>STDEV(L$2:L446)*SQRT(252)</f>
        <v>0.31680015908275011</v>
      </c>
      <c r="X446" s="173">
        <f t="shared" si="602"/>
        <v>-0.19321327769516483</v>
      </c>
      <c r="Y446" s="173">
        <f t="shared" si="603"/>
        <v>-4.7689274365444727E-2</v>
      </c>
      <c r="Z446" s="794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4">
        <v>2459.27</v>
      </c>
      <c r="D447" s="170">
        <f t="shared" ref="D447" si="909">(C447-C446)/C446</f>
        <v>1.4797331033543696E-2</v>
      </c>
      <c r="E447" s="208">
        <f t="shared" ref="E447" si="910">(C447-$C$2)/$C$2</f>
        <v>0.16972184699682269</v>
      </c>
      <c r="F447" s="218">
        <v>6312.46</v>
      </c>
      <c r="G447" s="170">
        <f t="shared" ref="G447" si="911">(F447-F446)/F446</f>
        <v>2.801762745870803E-2</v>
      </c>
      <c r="H447" s="202">
        <f t="shared" ref="H447" si="912">(F447-F$2)/F$2</f>
        <v>0.23975489522163526</v>
      </c>
      <c r="I447" s="220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1">
        <f t="shared" ref="M447" si="915">I447-J447</f>
        <v>-12494.700000000012</v>
      </c>
      <c r="N447" s="183">
        <f t="shared" ref="N447" si="916">M447/J447</f>
        <v>-3.5699142857142888E-2</v>
      </c>
      <c r="O447" s="182">
        <f t="shared" si="424"/>
        <v>-1.8653951256897627E-2</v>
      </c>
      <c r="P447" s="181" t="b">
        <f t="shared" ref="P447" si="917">L447&gt;D447</f>
        <v>0</v>
      </c>
      <c r="Q447" s="183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3">
        <f>STDEV(D$2:D447)*SQRT(252)</f>
        <v>0.14666948290901966</v>
      </c>
      <c r="W447" s="183">
        <f>STDEV(L$2:L447)*SQRT(252)</f>
        <v>0.31649981867146626</v>
      </c>
      <c r="X447" s="173">
        <f t="shared" si="602"/>
        <v>-0.24339857309845003</v>
      </c>
      <c r="Y447" s="173">
        <f t="shared" si="603"/>
        <v>-5.8938268385742225E-2</v>
      </c>
      <c r="Z447" s="794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4">
        <v>2473.83</v>
      </c>
      <c r="D448" s="170">
        <f t="shared" ref="D448" si="919">(C448-C447)/C447</f>
        <v>5.9204560702972612E-3</v>
      </c>
      <c r="E448" s="208">
        <f t="shared" ref="E448" si="920">(C448-$C$2)/$C$2</f>
        <v>0.17664713380643438</v>
      </c>
      <c r="F448" s="218">
        <v>6385.04</v>
      </c>
      <c r="G448" s="170">
        <f t="shared" ref="G448" si="921">(F448-F447)/F447</f>
        <v>1.1497894640124441E-2</v>
      </c>
      <c r="H448" s="202">
        <f t="shared" ref="H448" si="922">(F448-F$2)/F$2</f>
        <v>0.25400946638647215</v>
      </c>
      <c r="I448" s="220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1">
        <f t="shared" ref="M448" si="925">I448-J448</f>
        <v>-6589.6300000000047</v>
      </c>
      <c r="N448" s="183">
        <f t="shared" ref="N448" si="926">M448/J448</f>
        <v>-1.8827514285714299E-2</v>
      </c>
      <c r="O448" s="182">
        <f t="shared" si="424"/>
        <v>-9.7959395909645985E-3</v>
      </c>
      <c r="P448" s="181" t="b">
        <f t="shared" ref="P448" si="927">L448&gt;D448</f>
        <v>1</v>
      </c>
      <c r="Q448" s="183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3">
        <f>STDEV(D$2:D448)*SQRT(252)</f>
        <v>0.14656345819426395</v>
      </c>
      <c r="W448" s="183">
        <f>STDEV(L$2:L448)*SQRT(252)</f>
        <v>0.31640768671182717</v>
      </c>
      <c r="X448" s="173">
        <f t="shared" si="602"/>
        <v>-0.1284598120000634</v>
      </c>
      <c r="Y448" s="173">
        <f t="shared" si="603"/>
        <v>-3.0959866028433092E-2</v>
      </c>
      <c r="Z448" s="794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4">
        <v>2472.54</v>
      </c>
      <c r="D449" s="170">
        <f t="shared" ref="D449" si="930">(C449-C448)/C448</f>
        <v>-5.214586289275996E-4</v>
      </c>
      <c r="E449" s="208">
        <f t="shared" ref="E449" si="931">(C449-$C$2)/$C$2</f>
        <v>0.17603356100530806</v>
      </c>
      <c r="F449" s="218">
        <v>6387.75</v>
      </c>
      <c r="G449" s="170">
        <f t="shared" ref="G449" si="932">(F449-F448)/F448</f>
        <v>4.2442960419982275E-4</v>
      </c>
      <c r="H449" s="202">
        <f t="shared" ref="H449" si="933">(F449-F$2)/F$2</f>
        <v>0.25454170512795338</v>
      </c>
      <c r="I449" s="220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1">
        <f t="shared" ref="M449" si="936">I449-J449</f>
        <v>-8448.8400000000256</v>
      </c>
      <c r="N449" s="183">
        <f t="shared" ref="N449" si="937">M449/J449</f>
        <v>-2.4139542857142929E-2</v>
      </c>
      <c r="O449" s="182">
        <f t="shared" si="424"/>
        <v>-1.248862326993124E-2</v>
      </c>
      <c r="P449" s="181" t="b">
        <f t="shared" ref="P449" si="938">L449&gt;D449</f>
        <v>0</v>
      </c>
      <c r="Q449" s="183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3">
        <f>STDEV(D$2:D449)*SQRT(252)</f>
        <v>0.14640071777698352</v>
      </c>
      <c r="W449" s="183">
        <f>STDEV(L$2:L449)*SQRT(252)</f>
        <v>0.3160824345317183</v>
      </c>
      <c r="X449" s="173">
        <f t="shared" si="602"/>
        <v>-0.16488677940715699</v>
      </c>
      <c r="Y449" s="173">
        <f t="shared" si="603"/>
        <v>-3.9510652619571714E-2</v>
      </c>
      <c r="Z449" s="794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4">
        <v>2469.91</v>
      </c>
      <c r="D450" s="170">
        <f t="shared" ref="D450" si="940">(C450-C449)/C449</f>
        <v>-1.0636834995592019E-3</v>
      </c>
      <c r="E450" s="208">
        <f t="shared" ref="E450" si="941">(C450-$C$2)/$C$2</f>
        <v>0.17478263351153889</v>
      </c>
      <c r="F450" s="218">
        <v>6410.8</v>
      </c>
      <c r="G450" s="170">
        <f t="shared" ref="G450" si="942">(F450-F449)/F449</f>
        <v>3.6084693358381563E-3</v>
      </c>
      <c r="H450" s="202">
        <f t="shared" ref="H450" si="943">(F450-F$2)/F$2</f>
        <v>0.25906868040143771</v>
      </c>
      <c r="I450" s="220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1">
        <f t="shared" ref="M450" si="946">I450-J450</f>
        <v>-9017.1699999999837</v>
      </c>
      <c r="N450" s="183">
        <f t="shared" ref="N450" si="947">M450/J450</f>
        <v>-2.576334285714281E-2</v>
      </c>
      <c r="O450" s="182">
        <f t="shared" si="424"/>
        <v>-1.3309845797130709E-2</v>
      </c>
      <c r="P450" s="181" t="b">
        <f t="shared" ref="P450" si="948">L450&gt;D450</f>
        <v>0</v>
      </c>
      <c r="Q450" s="183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3">
        <f>STDEV(D$2:D450)*SQRT(252)</f>
        <v>0.14624101621643504</v>
      </c>
      <c r="W450" s="183">
        <f>STDEV(L$2:L450)*SQRT(252)</f>
        <v>0.31573225572131869</v>
      </c>
      <c r="X450" s="173">
        <f t="shared" si="602"/>
        <v>-0.17617043100284094</v>
      </c>
      <c r="Y450" s="173">
        <f t="shared" si="603"/>
        <v>-4.2155483185343769E-2</v>
      </c>
      <c r="Z450" s="794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4">
        <v>2477.13</v>
      </c>
      <c r="D451" s="170">
        <f t="shared" ref="D451" si="950">(C451-C450)/C450</f>
        <v>2.9231834358337976E-3</v>
      </c>
      <c r="E451" s="208">
        <f t="shared" ref="E451" si="951">(C451-$C$2)/$C$2</f>
        <v>0.17821673864652501</v>
      </c>
      <c r="F451" s="218">
        <v>6412.17</v>
      </c>
      <c r="G451" s="170">
        <f t="shared" ref="G451" si="952">(F451-F450)/F450</f>
        <v>2.1370187808072172E-4</v>
      </c>
      <c r="H451" s="202">
        <f t="shared" ref="H451" si="953">(F451-F$2)/F$2</f>
        <v>0.25933774574307211</v>
      </c>
      <c r="I451" s="220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1">
        <f t="shared" ref="M451" si="956">I451-J451</f>
        <v>-3118.3099999999977</v>
      </c>
      <c r="N451" s="183">
        <f t="shared" ref="N451" si="957">M451/J451</f>
        <v>-8.9094571428571367E-3</v>
      </c>
      <c r="O451" s="182">
        <f t="shared" si="424"/>
        <v>-4.5962983353510858E-3</v>
      </c>
      <c r="P451" s="181" t="b">
        <f t="shared" ref="P451" si="958">L451&gt;D451</f>
        <v>1</v>
      </c>
      <c r="Q451" s="183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3">
        <f>STDEV(D$2:D451)*SQRT(252)</f>
        <v>0.14608992125066686</v>
      </c>
      <c r="W451" s="183">
        <f>STDEV(L$2:L451)*SQRT(252)</f>
        <v>0.31563562645422927</v>
      </c>
      <c r="X451" s="173">
        <f t="shared" si="602"/>
        <v>-6.0986117773107279E-2</v>
      </c>
      <c r="Y451" s="173">
        <f t="shared" si="603"/>
        <v>-1.4562039104979175E-2</v>
      </c>
      <c r="Z451" s="794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4">
        <v>2477.83</v>
      </c>
      <c r="D452" s="170">
        <f t="shared" ref="D452" si="960">(C452-C451)/C451</f>
        <v>2.8258508838850525E-4</v>
      </c>
      <c r="E452" s="208">
        <f t="shared" ref="E452" si="961">(C452-$C$2)/$C$2</f>
        <v>0.17854968512775626</v>
      </c>
      <c r="F452" s="218">
        <v>6422.74</v>
      </c>
      <c r="G452" s="170">
        <f t="shared" ref="G452" si="962">(F452-F451)/F451</f>
        <v>1.6484279112998733E-3</v>
      </c>
      <c r="H452" s="202">
        <f t="shared" ref="H452" si="963">(F452-F$2)/F$2</f>
        <v>0.26141367323290848</v>
      </c>
      <c r="I452" s="220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1">
        <f t="shared" ref="M452" si="966">I452-J452</f>
        <v>-5064.2999999999884</v>
      </c>
      <c r="N452" s="183">
        <f t="shared" ref="N452" si="967">M452/J452</f>
        <v>-1.4469428571428538E-2</v>
      </c>
      <c r="O452" s="182">
        <f t="shared" si="424"/>
        <v>-7.4541026596816268E-3</v>
      </c>
      <c r="P452" s="181" t="b">
        <f t="shared" ref="P452" si="968">L452&gt;D452</f>
        <v>0</v>
      </c>
      <c r="Q452" s="183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3">
        <f>STDEV(D$2:D452)*SQRT(252)</f>
        <v>0.14592717685018944</v>
      </c>
      <c r="W452" s="183">
        <f>STDEV(L$2:L452)*SQRT(252)</f>
        <v>0.31531573939865265</v>
      </c>
      <c r="X452" s="173">
        <f t="shared" si="602"/>
        <v>-9.9155132606197294E-2</v>
      </c>
      <c r="Y452" s="173">
        <f t="shared" si="603"/>
        <v>-2.3640122354493157E-2</v>
      </c>
      <c r="Z452" s="794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4">
        <v>2475.42</v>
      </c>
      <c r="D453" s="170">
        <f t="shared" ref="D453" si="970">(C453-C452)/C452</f>
        <v>-9.7262524063388312E-4</v>
      </c>
      <c r="E453" s="208">
        <f t="shared" ref="E453" si="971">(C453-$C$2)/$C$2</f>
        <v>0.17740339795665988</v>
      </c>
      <c r="F453" s="218">
        <v>6382.18</v>
      </c>
      <c r="G453" s="170">
        <f t="shared" ref="G453" si="972">(F453-F452)/F452</f>
        <v>-6.3150617960558101E-3</v>
      </c>
      <c r="H453" s="202">
        <f t="shared" ref="H453" si="973">(F453-F$2)/F$2</f>
        <v>0.25344776793605289</v>
      </c>
      <c r="I453" s="220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1">
        <f t="shared" ref="M453" si="976">I453-J453</f>
        <v>-2220.3400000000256</v>
      </c>
      <c r="N453" s="183">
        <f t="shared" ref="N453" si="977">M453/J453</f>
        <v>-6.343828571428645E-3</v>
      </c>
      <c r="O453" s="182">
        <f t="shared" si="424"/>
        <v>-3.2634977263581869E-3</v>
      </c>
      <c r="P453" s="181" t="b">
        <f t="shared" ref="P453" si="978">L453&gt;D453</f>
        <v>1</v>
      </c>
      <c r="Q453" s="183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3">
        <f>STDEV(D$2:D453)*SQRT(252)</f>
        <v>0.14576859451697097</v>
      </c>
      <c r="W453" s="183">
        <f>STDEV(L$2:L453)*SQRT(252)</f>
        <v>0.31502032970329025</v>
      </c>
      <c r="X453" s="173">
        <f t="shared" si="602"/>
        <v>-4.3519858255133763E-2</v>
      </c>
      <c r="Y453" s="173">
        <f t="shared" si="603"/>
        <v>-1.0359641644182118E-2</v>
      </c>
      <c r="Z453" s="794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4">
        <v>2472.1</v>
      </c>
      <c r="D454" s="170">
        <f t="shared" ref="D454" si="980">(C454-C453)/C453</f>
        <v>-1.3411865461215324E-3</v>
      </c>
      <c r="E454" s="208">
        <f t="shared" ref="E454" si="981">(C454-$C$2)/$C$2</f>
        <v>0.17582428035996264</v>
      </c>
      <c r="F454" s="218">
        <v>6374.37</v>
      </c>
      <c r="G454" s="170">
        <f t="shared" ref="G454" si="982">(F454-F453)/F453</f>
        <v>-1.223719794803719E-3</v>
      </c>
      <c r="H454" s="202">
        <f t="shared" ref="H454" si="983">(F454-F$2)/F$2</f>
        <v>0.25191389909067702</v>
      </c>
      <c r="I454" s="220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1">
        <f t="shared" ref="M454" si="986">I454-J454</f>
        <v>-509.46000000002095</v>
      </c>
      <c r="N454" s="183">
        <f t="shared" ref="N454" si="987">M454/J454</f>
        <v>-1.4556000000000599E-3</v>
      </c>
      <c r="O454" s="182">
        <f t="shared" si="424"/>
        <v>-7.4776075949370164E-4</v>
      </c>
      <c r="P454" s="181" t="b">
        <f t="shared" ref="P454" si="988">L454&gt;D454</f>
        <v>1</v>
      </c>
      <c r="Q454" s="183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3">
        <f>STDEV(D$2:D454)*SQRT(252)</f>
        <v>0.14561273064343241</v>
      </c>
      <c r="W454" s="183">
        <f>STDEV(L$2:L454)*SQRT(252)</f>
        <v>0.3146891603387108</v>
      </c>
      <c r="X454" s="173">
        <f t="shared" si="602"/>
        <v>-9.9963787065050266E-3</v>
      </c>
      <c r="Y454" s="173">
        <f t="shared" si="603"/>
        <v>-2.3761884860884976E-3</v>
      </c>
      <c r="Z454" s="794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4">
        <v>2470.3000000000002</v>
      </c>
      <c r="D455" s="170">
        <f t="shared" ref="D455" si="990">(C455-C454)/C454</f>
        <v>-7.2812588487509696E-4</v>
      </c>
      <c r="E455" s="208">
        <f t="shared" ref="E455" si="991">(C455-$C$2)/$C$2</f>
        <v>0.17496813226536792</v>
      </c>
      <c r="F455" s="218">
        <v>6348.12</v>
      </c>
      <c r="G455" s="170">
        <f t="shared" ref="G455" si="992">(F455-F454)/F454</f>
        <v>-4.1180540194560404E-3</v>
      </c>
      <c r="H455" s="202">
        <f t="shared" ref="H455" si="993">(F455-F$2)/F$2</f>
        <v>0.24675845002651375</v>
      </c>
      <c r="I455" s="465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5">
        <f t="shared" ref="M455" si="996">I455-J455</f>
        <v>-1245.5800000000163</v>
      </c>
      <c r="N455" s="183">
        <f t="shared" ref="N455" si="997">M455/J455</f>
        <v>-3.5588000000000464E-3</v>
      </c>
      <c r="O455" s="182">
        <f t="shared" ref="O455:O518" si="998">N455/(A455/365.25)</f>
        <v>-1.8205205882353178E-3</v>
      </c>
      <c r="P455" s="181" t="b">
        <f t="shared" ref="P455" si="999">L455&gt;D455</f>
        <v>0</v>
      </c>
      <c r="Q455" s="183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3">
        <f>STDEV(D$2:D455)*SQRT(252)</f>
        <v>0.14545400037786788</v>
      </c>
      <c r="W455" s="183">
        <f>STDEV(L$2:L455)*SQRT(252)</f>
        <v>0.31434636500825969</v>
      </c>
      <c r="X455" s="173">
        <f t="shared" si="602"/>
        <v>-2.4466841687095665E-2</v>
      </c>
      <c r="Y455" s="173">
        <f t="shared" si="603"/>
        <v>-5.791447876890456E-3</v>
      </c>
      <c r="Z455" s="794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4">
        <v>2477.5700000000002</v>
      </c>
      <c r="D456" s="170">
        <f t="shared" ref="D456" si="1001">(C456-C455)/C455</f>
        <v>2.9429623932315839E-3</v>
      </c>
      <c r="E456" s="208">
        <f t="shared" ref="E456" si="1002">(C456-$C$2)/$C$2</f>
        <v>0.17842601929187044</v>
      </c>
      <c r="F456" s="218">
        <v>6362.64</v>
      </c>
      <c r="G456" s="170">
        <f t="shared" ref="G456" si="1003">(F456-F455)/F455</f>
        <v>2.2872913555510035E-3</v>
      </c>
      <c r="H456" s="202">
        <f t="shared" ref="H456" si="1004">(F456-F$2)/F$2</f>
        <v>0.24961014985171959</v>
      </c>
      <c r="I456" s="220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1">
        <f t="shared" ref="M456" si="1007">I456-J456</f>
        <v>-3775.320000000007</v>
      </c>
      <c r="N456" s="183">
        <f t="shared" ref="N456" si="1008">M456/J456</f>
        <v>-1.0786628571428591E-2</v>
      </c>
      <c r="O456" s="182">
        <f t="shared" si="998"/>
        <v>-5.5025364325618619E-3</v>
      </c>
      <c r="P456" s="181" t="b">
        <f t="shared" ref="P456" si="1009">L456&gt;D456</f>
        <v>0</v>
      </c>
      <c r="Q456" s="183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3">
        <f>STDEV(D$2:D456)*SQRT(252)</f>
        <v>0.14530573959175411</v>
      </c>
      <c r="W456" s="183">
        <f>STDEV(L$2:L456)*SQRT(252)</f>
        <v>0.31405074697791074</v>
      </c>
      <c r="X456" s="173">
        <f t="shared" si="602"/>
        <v>-7.4234015818881782E-2</v>
      </c>
      <c r="Y456" s="173">
        <f t="shared" si="603"/>
        <v>-1.7521169701114871E-2</v>
      </c>
      <c r="Z456" s="794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4">
        <v>2472.16</v>
      </c>
      <c r="D457" s="170">
        <f t="shared" ref="D457" si="1011">(C457-C456)/C456</f>
        <v>-2.1835911800676907E-3</v>
      </c>
      <c r="E457" s="208">
        <f t="shared" ref="E457" si="1012">(C457-$C$2)/$C$2</f>
        <v>0.17585281862978244</v>
      </c>
      <c r="F457" s="218">
        <v>6340.34</v>
      </c>
      <c r="G457" s="170">
        <f t="shared" ref="G457" si="1013">(F457-F456)/F456</f>
        <v>-3.5048344712258089E-3</v>
      </c>
      <c r="H457" s="202">
        <f t="shared" ref="H457" si="1014">(F457-F$2)/F$2</f>
        <v>0.24523047312292562</v>
      </c>
      <c r="I457" s="220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1">
        <f t="shared" ref="M457" si="1017">I457-J457</f>
        <v>-1801.0499999999884</v>
      </c>
      <c r="N457" s="183">
        <f t="shared" ref="N457" si="1018">M457/J457</f>
        <v>-5.1458571428571092E-3</v>
      </c>
      <c r="O457" s="182">
        <f t="shared" si="998"/>
        <v>-2.6213728332336946E-3</v>
      </c>
      <c r="P457" s="181" t="b">
        <f t="shared" ref="P457" si="1019">L457&gt;D457</f>
        <v>1</v>
      </c>
      <c r="Q457" s="183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3">
        <f>STDEV(D$2:D457)*SQRT(252)</f>
        <v>0.14515839119279755</v>
      </c>
      <c r="W457" s="183">
        <f>STDEV(L$2:L457)*SQRT(252)</f>
        <v>0.31372982471955946</v>
      </c>
      <c r="X457" s="173">
        <f t="shared" si="602"/>
        <v>-3.5449946093866848E-2</v>
      </c>
      <c r="Y457" s="173">
        <f t="shared" si="603"/>
        <v>-8.3555104637466921E-3</v>
      </c>
      <c r="Z457" s="794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4">
        <v>2476.83</v>
      </c>
      <c r="D458" s="170">
        <f t="shared" ref="D458" si="1021">(C458-C457)/C457</f>
        <v>1.8890363083295875E-3</v>
      </c>
      <c r="E458" s="208">
        <f t="shared" ref="E458" si="1022">(C458-$C$2)/$C$2</f>
        <v>0.17807404729742579</v>
      </c>
      <c r="F458" s="218">
        <v>6351.56</v>
      </c>
      <c r="G458" s="170">
        <f t="shared" ref="G458" si="1023">(F458-F457)/F457</f>
        <v>1.7696211875073346E-3</v>
      </c>
      <c r="H458" s="202">
        <f t="shared" ref="H458" si="1024">(F458-F$2)/F$2</f>
        <v>0.24743405935149373</v>
      </c>
      <c r="I458" s="220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1">
        <f t="shared" ref="M458" si="1027">I458-J458</f>
        <v>2188.0900000000256</v>
      </c>
      <c r="N458" s="183">
        <f t="shared" ref="N458" si="1028">M458/J458</f>
        <v>6.2516857142857875E-3</v>
      </c>
      <c r="O458" s="182">
        <f t="shared" si="998"/>
        <v>3.1802621269399495E-3</v>
      </c>
      <c r="P458" s="181" t="b">
        <f t="shared" ref="P458" si="1029">L458&gt;D458</f>
        <v>1</v>
      </c>
      <c r="Q458" s="183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3">
        <f>STDEV(D$2:D458)*SQRT(252)</f>
        <v>0.14500302685679403</v>
      </c>
      <c r="W458" s="183">
        <f>STDEV(L$2:L458)*SQRT(252)</f>
        <v>0.31349308569145112</v>
      </c>
      <c r="X458" s="173">
        <f t="shared" si="602"/>
        <v>4.311417388865954E-2</v>
      </c>
      <c r="Y458" s="173">
        <f t="shared" si="603"/>
        <v>1.0144600541748646E-2</v>
      </c>
      <c r="Z458" s="794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4">
        <v>2480.91</v>
      </c>
      <c r="D459" s="170">
        <f t="shared" ref="D459" si="1032">(C459-C458)/C458</f>
        <v>1.6472668693450609E-3</v>
      </c>
      <c r="E459" s="208">
        <f t="shared" ref="E459" si="1033">(C459-$C$2)/$C$2</f>
        <v>0.18001464964517408</v>
      </c>
      <c r="F459" s="218">
        <v>6383.77</v>
      </c>
      <c r="G459" s="170">
        <f t="shared" ref="G459" si="1034">(F459-F458)/F458</f>
        <v>5.0711951079734797E-3</v>
      </c>
      <c r="H459" s="202">
        <f t="shared" ref="H459" si="1035">(F459-F$2)/F$2</f>
        <v>0.25376004085079651</v>
      </c>
      <c r="I459" s="220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1">
        <f t="shared" ref="M459" si="1038">I459-J459</f>
        <v>-1764.9699999999721</v>
      </c>
      <c r="N459" s="183">
        <f t="shared" ref="N459" si="1039">M459/J459</f>
        <v>-5.0427714285713491E-3</v>
      </c>
      <c r="O459" s="182">
        <f t="shared" si="998"/>
        <v>-2.5617138585336376E-3</v>
      </c>
      <c r="P459" s="181" t="b">
        <f t="shared" ref="P459" si="1040">L459&gt;D459</f>
        <v>0</v>
      </c>
      <c r="Q459" s="183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3">
        <f>STDEV(D$2:D459)*SQRT(252)</f>
        <v>0.14484690154006488</v>
      </c>
      <c r="W459" s="183">
        <f>STDEV(L$2:L459)*SQRT(252)</f>
        <v>0.31326813608511911</v>
      </c>
      <c r="X459" s="173">
        <f t="shared" si="602"/>
        <v>-3.4814492922905296E-2</v>
      </c>
      <c r="Y459" s="173">
        <f t="shared" si="603"/>
        <v>-8.1773840472482203E-3</v>
      </c>
      <c r="Z459" s="794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4">
        <v>2474.92</v>
      </c>
      <c r="D460" s="170">
        <f t="shared" ref="D460" si="1043">(C460-C459)/C459</f>
        <v>-2.4144366381689711E-3</v>
      </c>
      <c r="E460" s="208">
        <f t="shared" ref="E460" si="1044">(C460-$C$2)/$C$2</f>
        <v>0.17716557904149466</v>
      </c>
      <c r="F460" s="218">
        <v>6370.46</v>
      </c>
      <c r="G460" s="170">
        <f t="shared" ref="G460" si="1045">(F460-F459)/F459</f>
        <v>-2.0849748659491803E-3</v>
      </c>
      <c r="H460" s="202">
        <f t="shared" ref="H460" si="1046">(F460-F$2)/F$2</f>
        <v>0.25114598267769117</v>
      </c>
      <c r="I460" s="220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1">
        <f t="shared" ref="M460" si="1049">I460-J460</f>
        <v>-2554.8400000000256</v>
      </c>
      <c r="N460" s="183">
        <f t="shared" ref="N460" si="1050">M460/J460</f>
        <v>-7.2995428571429304E-3</v>
      </c>
      <c r="O460" s="182">
        <f t="shared" si="998"/>
        <v>-3.6927396517610184E-3</v>
      </c>
      <c r="P460" s="181" t="b">
        <f t="shared" ref="P460" si="1051">L460&gt;D460</f>
        <v>1</v>
      </c>
      <c r="Q460" s="183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3">
        <f>STDEV(D$2:D460)*SQRT(252)</f>
        <v>0.14470343899895807</v>
      </c>
      <c r="W460" s="183">
        <f>STDEV(L$2:L460)*SQRT(252)</f>
        <v>0.31293135224758201</v>
      </c>
      <c r="X460" s="173">
        <f t="shared" si="602"/>
        <v>-5.0444847113795897E-2</v>
      </c>
      <c r="Y460" s="173">
        <f t="shared" si="603"/>
        <v>-1.1800478364467081E-2</v>
      </c>
      <c r="Z460" s="794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4">
        <v>2474.02</v>
      </c>
      <c r="D461" s="170">
        <f t="shared" ref="D461" si="1054">(C461-C460)/C460</f>
        <v>-3.6364811791899976E-4</v>
      </c>
      <c r="E461" s="208">
        <f t="shared" ref="E461" si="1055">(C461-$C$2)/$C$2</f>
        <v>0.17673750499419719</v>
      </c>
      <c r="F461" s="218">
        <v>6352.33</v>
      </c>
      <c r="G461" s="170">
        <f t="shared" ref="G461" si="1056">(F461-F460)/F460</f>
        <v>-2.8459483302618821E-3</v>
      </c>
      <c r="H461" s="202">
        <f t="shared" ref="H461" si="1057">(F461-F$2)/F$2</f>
        <v>0.24758528585737577</v>
      </c>
      <c r="I461" s="220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1">
        <f t="shared" ref="M461" si="1060">I461-J461</f>
        <v>-5336.109999999986</v>
      </c>
      <c r="N461" s="183">
        <f t="shared" ref="N461" si="1061">M461/J461</f>
        <v>-1.5246028571428531E-2</v>
      </c>
      <c r="O461" s="182">
        <f t="shared" si="998"/>
        <v>-7.7020911973917994E-3</v>
      </c>
      <c r="P461" s="181" t="b">
        <f t="shared" ref="P461" si="1062">L461&gt;D461</f>
        <v>0</v>
      </c>
      <c r="Q461" s="183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3">
        <f>STDEV(D$2:D461)*SQRT(252)</f>
        <v>0.14454647992700137</v>
      </c>
      <c r="W461" s="183">
        <f>STDEV(L$2:L461)*SQRT(252)</f>
        <v>0.31265113323308852</v>
      </c>
      <c r="X461" s="173">
        <f t="shared" si="602"/>
        <v>-0.10547492114043909</v>
      </c>
      <c r="Y461" s="173">
        <f t="shared" si="603"/>
        <v>-2.4634777804082724E-2</v>
      </c>
      <c r="Z461" s="794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4">
        <v>2438.21</v>
      </c>
      <c r="D462" s="170">
        <f t="shared" ref="D462" si="1064">(C462-C461)/C461</f>
        <v>-1.4474418153450637E-2</v>
      </c>
      <c r="E462" s="208">
        <f t="shared" ref="E462" si="1065">(C462-$C$2)/$C$2</f>
        <v>0.15970491429006295</v>
      </c>
      <c r="F462" s="218">
        <v>6216.87</v>
      </c>
      <c r="G462" s="170">
        <f t="shared" ref="G462" si="1066">(F462-F461)/F461</f>
        <v>-2.1324458899333005E-2</v>
      </c>
      <c r="H462" s="202">
        <f t="shared" ref="H462" si="1067">(F462-F$2)/F$2</f>
        <v>0.22098120470569754</v>
      </c>
      <c r="I462" s="220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1">
        <f t="shared" ref="M462" si="1070">I462-J462</f>
        <v>-11142.799999999988</v>
      </c>
      <c r="N462" s="183">
        <f t="shared" ref="N462" si="1071">M462/J462</f>
        <v>-3.1836571428571395E-2</v>
      </c>
      <c r="O462" s="182">
        <f t="shared" si="998"/>
        <v>-1.6061198500394617E-2</v>
      </c>
      <c r="P462" s="181" t="b">
        <f t="shared" ref="P462" si="1072">L462&gt;D462</f>
        <v>0</v>
      </c>
      <c r="Q462" s="183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3">
        <f>STDEV(D$2:D462)*SQRT(252)</f>
        <v>0.14480781665948367</v>
      </c>
      <c r="W462" s="183">
        <f>STDEV(L$2:L462)*SQRT(252)</f>
        <v>0.31256971763489261</v>
      </c>
      <c r="X462" s="173">
        <f t="shared" si="602"/>
        <v>-0.21985395652663736</v>
      </c>
      <c r="Y462" s="173">
        <f t="shared" si="603"/>
        <v>-5.1384371531331227E-2</v>
      </c>
      <c r="Z462" s="794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4">
        <v>2464.61</v>
      </c>
      <c r="D463" s="170">
        <f t="shared" ref="D463" si="1075">(C463-C462)/C462</f>
        <v>1.0827615340762318E-2</v>
      </c>
      <c r="E463" s="208">
        <f t="shared" ref="E463" si="1076">(C463-$C$2)/$C$2</f>
        <v>0.1722617530107875</v>
      </c>
      <c r="F463" s="218">
        <v>6333.01</v>
      </c>
      <c r="G463" s="170">
        <f t="shared" ref="G463" si="1077">(F463-F462)/F462</f>
        <v>1.8681426505621049E-2</v>
      </c>
      <c r="H463" s="202">
        <f t="shared" ref="H463" si="1078">(F463-F$2)/F$2</f>
        <v>0.24379087534615168</v>
      </c>
      <c r="I463" s="220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1">
        <f t="shared" ref="M463" si="1081">I463-J463</f>
        <v>-17561.359999999986</v>
      </c>
      <c r="N463" s="183">
        <f t="shared" ref="N463" si="1082">M463/J463</f>
        <v>-5.0175314285714243E-2</v>
      </c>
      <c r="O463" s="182">
        <f t="shared" si="998"/>
        <v>-2.5139277836566703E-2</v>
      </c>
      <c r="P463" s="181" t="b">
        <f t="shared" ref="P463" si="1083">L463&gt;D463</f>
        <v>0</v>
      </c>
      <c r="Q463" s="183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3">
        <f>STDEV(D$2:D463)*SQRT(252)</f>
        <v>0.14485707775910978</v>
      </c>
      <c r="W463" s="183">
        <f>STDEV(L$2:L463)*SQRT(252)</f>
        <v>0.31255421973327635</v>
      </c>
      <c r="X463" s="173">
        <f t="shared" si="602"/>
        <v>-0.34637806493068524</v>
      </c>
      <c r="Y463" s="173">
        <f t="shared" si="603"/>
        <v>-8.0431733918101475E-2</v>
      </c>
      <c r="Z463" s="794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4">
        <v>2468.11</v>
      </c>
      <c r="D464" s="170">
        <f t="shared" ref="D464" si="1085">(C464-C463)/C463</f>
        <v>1.4201029777530724E-3</v>
      </c>
      <c r="E464" s="208">
        <f t="shared" ref="E464" si="1086">(C464-$C$2)/$C$2</f>
        <v>0.17392648541694417</v>
      </c>
      <c r="F464" s="218">
        <v>6345.1</v>
      </c>
      <c r="G464" s="170">
        <f t="shared" ref="G464" si="1087">(F464-F463)/F463</f>
        <v>1.9090448301834586E-3</v>
      </c>
      <c r="H464" s="202">
        <f t="shared" ref="H464" si="1088">(F464-F$2)/F$2</f>
        <v>0.24616532788656059</v>
      </c>
      <c r="I464" s="220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1">
        <f t="shared" ref="M464" si="1091">I464-J464</f>
        <v>-18512.940000000002</v>
      </c>
      <c r="N464" s="183">
        <f t="shared" ref="N464" si="1092">M464/J464</f>
        <v>-5.2894114285714292E-2</v>
      </c>
      <c r="O464" s="182">
        <f t="shared" si="998"/>
        <v>-2.6465171565557732E-2</v>
      </c>
      <c r="P464" s="181" t="b">
        <f t="shared" ref="P464" si="1093">L464&gt;D464</f>
        <v>0</v>
      </c>
      <c r="Q464" s="183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3">
        <f>STDEV(D$2:D464)*SQRT(252)</f>
        <v>0.14470189508724368</v>
      </c>
      <c r="W464" s="183">
        <f>STDEV(L$2:L464)*SQRT(252)</f>
        <v>0.312223627542843</v>
      </c>
      <c r="X464" s="173">
        <f t="shared" si="602"/>
        <v>-0.3655385042042702</v>
      </c>
      <c r="Y464" s="173">
        <f t="shared" si="603"/>
        <v>-8.4763513171104282E-2</v>
      </c>
      <c r="Z464" s="794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4">
        <v>2430.0100000000002</v>
      </c>
      <c r="D465" s="170">
        <f t="shared" ref="D465" si="1095">(C465-C464)/C464</f>
        <v>-1.5436913265616163E-2</v>
      </c>
      <c r="E465" s="208">
        <f t="shared" ref="E465" si="1096">(C465-$C$2)/$C$2</f>
        <v>0.15580468408135317</v>
      </c>
      <c r="F465" s="218">
        <v>6221.91</v>
      </c>
      <c r="G465" s="170">
        <f t="shared" ref="G465" si="1097">(F465-F464)/F464</f>
        <v>-1.9414981639375346E-2</v>
      </c>
      <c r="H465" s="202">
        <f t="shared" ref="H465" si="1098">(F465-F$2)/F$2</f>
        <v>0.22197105092601688</v>
      </c>
      <c r="I465" s="220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1">
        <f t="shared" ref="M465" si="1101">I465-J465</f>
        <v>-24110.979999999981</v>
      </c>
      <c r="N465" s="183">
        <f t="shared" ref="N465" si="1102">M465/J465</f>
        <v>-6.8888514285714228E-2</v>
      </c>
      <c r="O465" s="182">
        <f t="shared" si="998"/>
        <v>-3.4420697459448868E-2</v>
      </c>
      <c r="P465" s="181" t="b">
        <f t="shared" ref="P465" si="1103">L465&gt;D465</f>
        <v>0</v>
      </c>
      <c r="Q465" s="183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3">
        <f>STDEV(D$2:D465)*SQRT(252)</f>
        <v>0.14501595644672607</v>
      </c>
      <c r="W465" s="183">
        <f>STDEV(L$2:L465)*SQRT(252)</f>
        <v>0.31214219131133292</v>
      </c>
      <c r="X465" s="173">
        <f t="shared" si="602"/>
        <v>-0.47504092634813966</v>
      </c>
      <c r="Y465" s="173">
        <f t="shared" si="603"/>
        <v>-0.11027249252926981</v>
      </c>
      <c r="Z465" s="794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4">
        <v>2425.5500000000002</v>
      </c>
      <c r="D466" s="170">
        <f t="shared" ref="D466:D467" si="1105">(C466-C465)/C465</f>
        <v>-1.8353833934839922E-3</v>
      </c>
      <c r="E466" s="208">
        <f t="shared" ref="E466:E467" si="1106">(C466-$C$2)/$C$2</f>
        <v>0.15368333935807924</v>
      </c>
      <c r="F466" s="218">
        <v>6216.52</v>
      </c>
      <c r="G466" s="170">
        <f t="shared" ref="G466:G468" si="1107">(F466-F465)/F465</f>
        <v>-8.6629346936863724E-4</v>
      </c>
      <c r="H466" s="202">
        <f t="shared" ref="H466:H467" si="1108">(F466-F$2)/F$2</f>
        <v>0.22091246538484213</v>
      </c>
      <c r="I466" s="220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1">
        <f t="shared" ref="M466" si="1111">I466-J466</f>
        <v>-22660.049999999988</v>
      </c>
      <c r="N466" s="183">
        <f t="shared" ref="N466" si="1112">M466/J466</f>
        <v>-6.1243378378378344E-2</v>
      </c>
      <c r="O466" s="182">
        <f t="shared" si="998"/>
        <v>-3.0475672960085409E-2</v>
      </c>
      <c r="P466" s="181" t="b">
        <f t="shared" ref="P466" si="1113">L466&gt;D466</f>
        <v>1</v>
      </c>
      <c r="Q466" s="183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3">
        <f>STDEV(D$2:D466)*SQRT(252)</f>
        <v>0.14486825523803426</v>
      </c>
      <c r="W466" s="183">
        <f>STDEV(L$2:L466)*SQRT(252)</f>
        <v>0.31182045349782028</v>
      </c>
      <c r="X466" s="173">
        <f t="shared" si="602"/>
        <v>-0.42275223290118896</v>
      </c>
      <c r="Y466" s="173">
        <f t="shared" si="603"/>
        <v>-9.7734682309088633E-2</v>
      </c>
      <c r="Z466" s="794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4">
        <v>2452.5100000000002</v>
      </c>
      <c r="D467" s="170">
        <f t="shared" si="1105"/>
        <v>1.1115004844262141E-2</v>
      </c>
      <c r="E467" s="208">
        <f t="shared" si="1106"/>
        <v>0.16650653526378881</v>
      </c>
      <c r="F467" s="218">
        <v>6297.47</v>
      </c>
      <c r="G467" s="170">
        <f t="shared" si="1107"/>
        <v>1.3021754936845665E-2</v>
      </c>
      <c r="H467" s="202">
        <f t="shared" si="1108"/>
        <v>0.23681088830842362</v>
      </c>
      <c r="I467" s="220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1">
        <f t="shared" ref="M467" si="1117">I467-J467</f>
        <v>-22081.070000000007</v>
      </c>
      <c r="N467" s="183">
        <f t="shared" ref="N467" si="1118">M467/J467</f>
        <v>-5.9678567567567585E-2</v>
      </c>
      <c r="O467" s="182">
        <f t="shared" si="998"/>
        <v>-2.9616300005508238E-2</v>
      </c>
      <c r="P467" s="181" t="b">
        <f t="shared" ref="P467" si="1119">L467&gt;D467</f>
        <v>0</v>
      </c>
      <c r="Q467" s="183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3">
        <f>STDEV(D$2:D467)*SQRT(252)</f>
        <v>0.14492890674225326</v>
      </c>
      <c r="W467" s="183">
        <f>STDEV(L$2:L467)*SQRT(252)</f>
        <v>0.31148603418004434</v>
      </c>
      <c r="X467" s="173">
        <f t="shared" si="602"/>
        <v>-0.41177822222658506</v>
      </c>
      <c r="Y467" s="173">
        <f t="shared" si="603"/>
        <v>-9.5080667367544003E-2</v>
      </c>
      <c r="Z467" s="794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4">
        <v>2443.0500000000002</v>
      </c>
      <c r="D468" s="170">
        <f t="shared" ref="D468" si="1121">(C468-C467)/C467</f>
        <v>-3.8572727532201847E-3</v>
      </c>
      <c r="E468" s="208">
        <f t="shared" ref="E468" si="1122">(C468-$C$2)/$C$2</f>
        <v>0.16200700138886251</v>
      </c>
      <c r="F468" s="218">
        <v>6265.64</v>
      </c>
      <c r="G468" s="170">
        <f t="shared" si="1107"/>
        <v>-5.0544107395509505E-3</v>
      </c>
      <c r="H468" s="202">
        <f t="shared" ref="H468" si="1123">(F468-F$2)/F$2</f>
        <v>0.23055953807176396</v>
      </c>
      <c r="I468" s="220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1">
        <f t="shared" ref="M468" si="1126">I468-J468</f>
        <v>-19805.630000000005</v>
      </c>
      <c r="N468" s="183">
        <f t="shared" ref="N468" si="1127">M468/J468</f>
        <v>-5.3528729729729739E-2</v>
      </c>
      <c r="O468" s="182">
        <f t="shared" si="998"/>
        <v>-2.6456520343415137E-2</v>
      </c>
      <c r="P468" s="181" t="b">
        <f t="shared" ref="P468" si="1128">L468&gt;D468</f>
        <v>1</v>
      </c>
      <c r="Q468" s="183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3">
        <f>STDEV(D$2:D468)*SQRT(252)</f>
        <v>0.14480639993993136</v>
      </c>
      <c r="W468" s="183">
        <f>STDEV(L$2:L468)*SQRT(252)</f>
        <v>0.31118539712304355</v>
      </c>
      <c r="X468" s="173">
        <f t="shared" si="602"/>
        <v>-0.36965720957039566</v>
      </c>
      <c r="Y468" s="173">
        <f t="shared" si="603"/>
        <v>-8.5018514968921113E-2</v>
      </c>
      <c r="Z468" s="794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4">
        <v>2446.3000000000002</v>
      </c>
      <c r="D469" s="170">
        <f t="shared" ref="D469" si="1130">(C469-C468)/C468</f>
        <v>1.3303043326988804E-3</v>
      </c>
      <c r="E469" s="208">
        <f t="shared" ref="E469" si="1131">(C469-$C$2)/$C$2</f>
        <v>0.16355282433743656</v>
      </c>
      <c r="F469" s="218">
        <v>6301.88</v>
      </c>
      <c r="G469" s="170">
        <f t="shared" ref="G469" si="1132">(F469-F468)/F468</f>
        <v>5.7839263028197883E-3</v>
      </c>
      <c r="H469" s="202">
        <f t="shared" ref="H469" si="1133">(F469-F$2)/F$2</f>
        <v>0.23767700375120301</v>
      </c>
      <c r="I469" s="220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1">
        <f t="shared" ref="M469" si="1136">I469-J469</f>
        <v>-21430.809999999998</v>
      </c>
      <c r="N469" s="183">
        <f t="shared" ref="N469" si="1137">M469/J469</f>
        <v>-5.7921108108108105E-2</v>
      </c>
      <c r="O469" s="182">
        <f t="shared" si="998"/>
        <v>-2.847333073551344E-2</v>
      </c>
      <c r="P469" s="181" t="b">
        <f t="shared" ref="P469" si="1138">L469&gt;D469</f>
        <v>0</v>
      </c>
      <c r="Q469" s="183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3">
        <f>STDEV(D$2:D469)*SQRT(252)</f>
        <v>0.14465268757046457</v>
      </c>
      <c r="W469" s="183">
        <f>STDEV(L$2:L469)*SQRT(252)</f>
        <v>0.31087213053146129</v>
      </c>
      <c r="X469" s="173">
        <f t="shared" si="602"/>
        <v>-0.40041501530963974</v>
      </c>
      <c r="Y469" s="173">
        <f t="shared" si="603"/>
        <v>-9.1591776615150278E-2</v>
      </c>
      <c r="Z469" s="794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4">
        <v>2457.59</v>
      </c>
      <c r="D470" s="170">
        <f t="shared" ref="D470" si="1140">(C470-C469)/C469</f>
        <v>4.6151330580877087E-3</v>
      </c>
      <c r="E470" s="208">
        <f t="shared" ref="E470" si="1141">(C470-$C$2)/$C$2</f>
        <v>0.1689227754418676</v>
      </c>
      <c r="F470" s="218">
        <v>6368.3</v>
      </c>
      <c r="G470" s="170">
        <f t="shared" ref="G470" si="1142">(F470-F469)/F469</f>
        <v>1.0539711958970984E-2</v>
      </c>
      <c r="H470" s="202">
        <f t="shared" ref="H470" si="1143">(F470-F$2)/F$2</f>
        <v>0.25072176286898296</v>
      </c>
      <c r="I470" s="220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1">
        <f t="shared" ref="M470" si="1146">I470-J470</f>
        <v>-19315.989999999991</v>
      </c>
      <c r="N470" s="183">
        <f t="shared" ref="N470" si="1147">M470/J470</f>
        <v>-5.2205378378378353E-2</v>
      </c>
      <c r="O470" s="182">
        <f t="shared" si="998"/>
        <v>-2.5629051683740179E-2</v>
      </c>
      <c r="P470" s="181" t="b">
        <f t="shared" ref="P470" si="1148">L470&gt;D470</f>
        <v>1</v>
      </c>
      <c r="Q470" s="183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3">
        <f>STDEV(D$2:D470)*SQRT(252)</f>
        <v>0.14453137067764452</v>
      </c>
      <c r="W470" s="183">
        <f>STDEV(L$2:L470)*SQRT(252)</f>
        <v>0.31056850522583535</v>
      </c>
      <c r="X470" s="173">
        <f t="shared" si="602"/>
        <v>-0.36120447854061105</v>
      </c>
      <c r="Y470" s="173">
        <f t="shared" si="603"/>
        <v>-8.2523022304220969E-2</v>
      </c>
      <c r="Z470" s="794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4">
        <v>2471.65</v>
      </c>
      <c r="D471" s="170">
        <f t="shared" ref="D471" si="1150">(C471-C470)/C470</f>
        <v>5.7210519248531875E-3</v>
      </c>
      <c r="E471" s="208">
        <f t="shared" ref="E471" si="1151">(C471-$C$2)/$C$2</f>
        <v>0.175610243336314</v>
      </c>
      <c r="F471" s="218">
        <v>6428.66</v>
      </c>
      <c r="G471" s="170">
        <f t="shared" ref="G471" si="1152">(F471-F470)/F470</f>
        <v>9.4781966929949387E-3</v>
      </c>
      <c r="H471" s="202">
        <f t="shared" ref="H471" si="1153">(F471-F$2)/F$2</f>
        <v>0.26257634974566452</v>
      </c>
      <c r="I471" s="409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9">
        <f t="shared" ref="M471" si="1156">I471-J471</f>
        <v>-17415.969999999972</v>
      </c>
      <c r="N471" s="183">
        <f t="shared" ref="N471" si="1157">M471/J471</f>
        <v>-4.7070189189189114E-2</v>
      </c>
      <c r="O471" s="182">
        <f t="shared" si="998"/>
        <v>-2.3077028995102448E-2</v>
      </c>
      <c r="P471" s="181" t="b">
        <f t="shared" ref="P471" si="1158">L471&gt;D471</f>
        <v>0</v>
      </c>
      <c r="Q471" s="183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3">
        <f>STDEV(D$2:D471)*SQRT(252)</f>
        <v>0.14443004981901336</v>
      </c>
      <c r="W471" s="183">
        <f>STDEV(L$2:L471)*SQRT(252)</f>
        <v>0.31025959043644818</v>
      </c>
      <c r="X471" s="173">
        <f t="shared" si="602"/>
        <v>-0.32590301843815195</v>
      </c>
      <c r="Y471" s="173">
        <f t="shared" si="603"/>
        <v>-7.4379744273624371E-2</v>
      </c>
      <c r="Z471" s="794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4">
        <v>2476.5500000000002</v>
      </c>
      <c r="D472" s="170">
        <f t="shared" ref="D472" si="1160">(C472-C471)/C471</f>
        <v>1.9824813383772341E-3</v>
      </c>
      <c r="E472" s="208">
        <f t="shared" ref="E472" si="1161">(C472-$C$2)/$C$2</f>
        <v>0.17794086870493336</v>
      </c>
      <c r="F472" s="218">
        <v>6435.33</v>
      </c>
      <c r="G472" s="170">
        <f t="shared" ref="G472" si="1162">(F472-F471)/F471</f>
        <v>1.0375412605426438E-3</v>
      </c>
      <c r="H472" s="202">
        <f t="shared" ref="H472" si="1163">(F472-F$2)/F$2</f>
        <v>0.26388632480311097</v>
      </c>
      <c r="I472" s="220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1">
        <f t="shared" ref="M472" si="1166">I472-J472</f>
        <v>-13045.630000000005</v>
      </c>
      <c r="N472" s="183">
        <f t="shared" ref="N472" si="1167">M472/J472</f>
        <v>-3.7273228571428584E-2</v>
      </c>
      <c r="O472" s="182">
        <f t="shared" si="998"/>
        <v>-1.8249392407123713E-2</v>
      </c>
      <c r="P472" s="181" t="b">
        <f t="shared" ref="P472" si="1168">L472&gt;D472</f>
        <v>1</v>
      </c>
      <c r="Q472" s="183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3">
        <f>STDEV(D$2:D472)*SQRT(252)</f>
        <v>0.1442807254907349</v>
      </c>
      <c r="W472" s="183">
        <f>STDEV(L$2:L472)*SQRT(252)</f>
        <v>0.31005583574297191</v>
      </c>
      <c r="X472" s="173">
        <f t="shared" si="602"/>
        <v>-0.25833823918373711</v>
      </c>
      <c r="Y472" s="173">
        <f t="shared" si="603"/>
        <v>-5.8858406465382505E-2</v>
      </c>
      <c r="Z472" s="794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4">
        <v>2457.85</v>
      </c>
      <c r="D473" s="170">
        <f t="shared" ref="D473" si="1169">(C473-C472)/C472</f>
        <v>-7.5508267549616488E-3</v>
      </c>
      <c r="E473" s="208">
        <f t="shared" ref="E473" si="1170">(C473-$C$2)/$C$2</f>
        <v>0.1690464412777534</v>
      </c>
      <c r="F473" s="218">
        <v>6375.57</v>
      </c>
      <c r="G473" s="170">
        <f t="shared" ref="G473" si="1171">(F473-F472)/F472</f>
        <v>-9.2862370694277094E-3</v>
      </c>
      <c r="H473" s="202">
        <f t="shared" ref="H473" si="1172">(F473-F$2)/F$2</f>
        <v>0.25214957676218158</v>
      </c>
      <c r="I473" s="220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1">
        <f t="shared" ref="M473" si="1175">I473-J473</f>
        <v>-13749.390000000014</v>
      </c>
      <c r="N473" s="183">
        <f t="shared" ref="N473" si="1176">M473/J473</f>
        <v>-3.9283971428571471E-2</v>
      </c>
      <c r="O473" s="182">
        <f t="shared" si="998"/>
        <v>-1.9131294085714307E-2</v>
      </c>
      <c r="P473" s="181" t="b">
        <f t="shared" ref="P473" si="1177">L473&gt;D473</f>
        <v>1</v>
      </c>
      <c r="Q473" s="183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3">
        <f>STDEV(D$2:D473)*SQRT(252)</f>
        <v>0.14424413570977887</v>
      </c>
      <c r="W473" s="183">
        <f>STDEV(L$2:L473)*SQRT(252)</f>
        <v>0.30973071524404033</v>
      </c>
      <c r="X473" s="173">
        <f t="shared" si="602"/>
        <v>-0.27234362932862205</v>
      </c>
      <c r="Y473" s="173">
        <f t="shared" si="603"/>
        <v>-6.1767506883004947E-2</v>
      </c>
      <c r="Z473" s="794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4">
        <v>2465.54</v>
      </c>
      <c r="D474" s="170">
        <f t="shared" ref="D474" si="1180">(C474-C473)/C473</f>
        <v>3.128750737433145E-3</v>
      </c>
      <c r="E474" s="208">
        <f t="shared" ref="E474" si="1181">(C474-$C$2)/$C$2</f>
        <v>0.17270409619299476</v>
      </c>
      <c r="F474" s="218">
        <v>6393.31</v>
      </c>
      <c r="G474" s="170">
        <f t="shared" ref="G474" si="1182">(F474-F473)/F473</f>
        <v>2.7824963101339474E-3</v>
      </c>
      <c r="H474" s="202">
        <f t="shared" ref="H474" si="1183">(F474-F$2)/F$2</f>
        <v>0.25563367833925815</v>
      </c>
      <c r="I474" s="220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1">
        <f t="shared" ref="M474" si="1186">I474-J474</f>
        <v>-7630.789999999979</v>
      </c>
      <c r="N474" s="183">
        <f t="shared" ref="N474" si="1187">M474/J474</f>
        <v>-2.1802257142857082E-2</v>
      </c>
      <c r="O474" s="182">
        <f t="shared" si="998"/>
        <v>-1.0603561147042008E-2</v>
      </c>
      <c r="P474" s="181" t="b">
        <f t="shared" ref="P474" si="1188">L474&gt;D474</f>
        <v>1</v>
      </c>
      <c r="Q474" s="183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3">
        <f>STDEV(D$2:D474)*SQRT(252)</f>
        <v>0.14410499979088631</v>
      </c>
      <c r="W474" s="183">
        <f>STDEV(L$2:L474)*SQRT(252)</f>
        <v>0.30967830740703384</v>
      </c>
      <c r="X474" s="173">
        <f t="shared" si="602"/>
        <v>-0.15129424499146302</v>
      </c>
      <c r="Y474" s="173">
        <f t="shared" si="603"/>
        <v>-3.4240568013389899E-2</v>
      </c>
      <c r="Z474" s="794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4">
        <v>2465.1</v>
      </c>
      <c r="D475" s="170">
        <f t="shared" ref="D475" si="1191">(C475-C474)/C474</f>
        <v>-1.7845989113948854E-4</v>
      </c>
      <c r="E475" s="208">
        <f t="shared" ref="E475" si="1192">(C475-$C$2)/$C$2</f>
        <v>0.17249481554764931</v>
      </c>
      <c r="F475" s="218">
        <v>6397.86</v>
      </c>
      <c r="G475" s="170">
        <f t="shared" ref="G475" si="1193">(F475-F474)/F474</f>
        <v>7.1168142949415436E-4</v>
      </c>
      <c r="H475" s="202">
        <f t="shared" ref="H475" si="1194">(F475-F$2)/F$2</f>
        <v>0.25652728951037962</v>
      </c>
      <c r="I475" s="220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1">
        <f t="shared" ref="M475" si="1197">I475-J475</f>
        <v>-7042.210000000021</v>
      </c>
      <c r="N475" s="183">
        <f t="shared" ref="N475" si="1198">M475/J475</f>
        <v>-2.0120600000000061E-2</v>
      </c>
      <c r="O475" s="182">
        <f t="shared" si="998"/>
        <v>-9.7726717420213056E-3</v>
      </c>
      <c r="P475" s="181" t="b">
        <f t="shared" ref="P475" si="1199">L475&gt;D475</f>
        <v>1</v>
      </c>
      <c r="Q475" s="183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3">
        <f>STDEV(D$2:D475)*SQRT(252)</f>
        <v>0.14395283952494337</v>
      </c>
      <c r="W475" s="183">
        <f>STDEV(L$2:L475)*SQRT(252)</f>
        <v>0.30935175432104961</v>
      </c>
      <c r="X475" s="173">
        <f t="shared" ref="X475:X538" si="1202">N475/V475</f>
        <v>-0.13977216473394868</v>
      </c>
      <c r="Y475" s="173">
        <f t="shared" ref="Y475:Y538" si="1203">O475/W475</f>
        <v>-3.1590807569428198E-2</v>
      </c>
      <c r="Z475" s="794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4">
        <v>2461.4299999999998</v>
      </c>
      <c r="D476" s="170">
        <f t="shared" ref="D476" si="1205">(C476-C475)/C475</f>
        <v>-1.4887834164942894E-3</v>
      </c>
      <c r="E476" s="208">
        <f t="shared" ref="E476" si="1206">(C476-$C$2)/$C$2</f>
        <v>0.17074922471033646</v>
      </c>
      <c r="F476" s="218">
        <v>6360.39</v>
      </c>
      <c r="G476" s="170">
        <f t="shared" ref="G476" si="1207">(F476-F475)/F475</f>
        <v>-5.8566458159446041E-3</v>
      </c>
      <c r="H476" s="202">
        <f t="shared" ref="H476" si="1208">(F476-F$2)/F$2</f>
        <v>0.24916825421764843</v>
      </c>
      <c r="I476" s="220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1">
        <f t="shared" ref="M476" si="1211">I476-J476</f>
        <v>-14657.130000000005</v>
      </c>
      <c r="N476" s="183">
        <f t="shared" ref="N476" si="1212">M476/J476</f>
        <v>-4.1877514285714297E-2</v>
      </c>
      <c r="O476" s="182">
        <f t="shared" si="998"/>
        <v>-2.0313097068867393E-2</v>
      </c>
      <c r="P476" s="181" t="b">
        <f t="shared" ref="P476" si="1213">L476&gt;D476</f>
        <v>0</v>
      </c>
      <c r="Q476" s="183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3">
        <f>STDEV(D$2:D476)*SQRT(252)</f>
        <v>0.1438070269592682</v>
      </c>
      <c r="W476" s="183">
        <f>STDEV(L$2:L476)*SQRT(252)</f>
        <v>0.30946102397648323</v>
      </c>
      <c r="X476" s="173">
        <f t="shared" si="1202"/>
        <v>-0.29120631426151139</v>
      </c>
      <c r="Y476" s="173">
        <f t="shared" si="1203"/>
        <v>-6.5640243827316494E-2</v>
      </c>
      <c r="Z476" s="794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4">
        <v>2488.11</v>
      </c>
      <c r="D477" s="170">
        <f t="shared" ref="D477" si="1216">(C477-C476)/C476</f>
        <v>1.0839227603466397E-2</v>
      </c>
      <c r="E477" s="208">
        <f t="shared" ref="E477" si="1217">(C477-$C$2)/$C$2</f>
        <v>0.18343924202355361</v>
      </c>
      <c r="F477" s="218">
        <v>6432.26</v>
      </c>
      <c r="G477" s="170">
        <f t="shared" ref="G477" si="1218">(F477-F476)/F476</f>
        <v>1.1299621564086461E-2</v>
      </c>
      <c r="H477" s="202">
        <f t="shared" ref="H477" si="1219">(F477-F$2)/F$2</f>
        <v>0.26328338276017843</v>
      </c>
      <c r="I477" s="220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1">
        <f t="shared" ref="M477" si="1222">I477-J477</f>
        <v>-10248.409999999974</v>
      </c>
      <c r="N477" s="183">
        <f t="shared" ref="N477" si="1223">M477/J477</f>
        <v>-2.9281171428571354E-2</v>
      </c>
      <c r="O477" s="182">
        <f t="shared" si="998"/>
        <v>-1.4146756434240326E-2</v>
      </c>
      <c r="P477" s="181" t="b">
        <f t="shared" ref="P477" si="1224">L477&gt;D477</f>
        <v>1</v>
      </c>
      <c r="Q477" s="183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3">
        <f>STDEV(D$2:D477)*SQRT(252)</f>
        <v>0.14385736210567479</v>
      </c>
      <c r="W477" s="183">
        <f>STDEV(L$2:L477)*SQRT(252)</f>
        <v>0.30927640165645359</v>
      </c>
      <c r="X477" s="173">
        <f t="shared" si="1202"/>
        <v>-0.20354308601225415</v>
      </c>
      <c r="Y477" s="173">
        <f t="shared" si="1203"/>
        <v>-4.574146736857939E-2</v>
      </c>
      <c r="Z477" s="794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4">
        <v>2496.48</v>
      </c>
      <c r="D478" s="170">
        <f t="shared" ref="D478" si="1227">(C478-C477)/C477</f>
        <v>3.3639991801005143E-3</v>
      </c>
      <c r="E478" s="208">
        <f t="shared" ref="E478" si="1228">(C478-$C$2)/$C$2</f>
        <v>0.18742033066341962</v>
      </c>
      <c r="F478" s="218">
        <v>6454.28</v>
      </c>
      <c r="G478" s="170">
        <f t="shared" ref="G478" si="1229">(F478-F477)/F477</f>
        <v>3.4233690802298921E-3</v>
      </c>
      <c r="H478" s="202">
        <f t="shared" ref="H478" si="1230">(F478-F$2)/F$2</f>
        <v>0.26760806803228782</v>
      </c>
      <c r="I478" s="220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1">
        <f t="shared" ref="M478" si="1233">I478-J478</f>
        <v>-7270.75</v>
      </c>
      <c r="N478" s="183">
        <f t="shared" ref="N478" si="1234">M478/J478</f>
        <v>-2.0773571428571429E-2</v>
      </c>
      <c r="O478" s="182">
        <f t="shared" si="998"/>
        <v>-1.0023179609360257E-2</v>
      </c>
      <c r="P478" s="181" t="b">
        <f t="shared" ref="P478" si="1235">L478&gt;D478</f>
        <v>1</v>
      </c>
      <c r="Q478" s="183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3">
        <f>STDEV(D$2:D478)*SQRT(252)</f>
        <v>0.14372208387906182</v>
      </c>
      <c r="W478" s="183">
        <f>STDEV(L$2:L478)*SQRT(252)</f>
        <v>0.30901192178328862</v>
      </c>
      <c r="X478" s="173">
        <f t="shared" si="1202"/>
        <v>-0.14453987075536573</v>
      </c>
      <c r="Y478" s="173">
        <f t="shared" si="1203"/>
        <v>-3.2436223015335816E-2</v>
      </c>
      <c r="Z478" s="794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4">
        <v>2498.37</v>
      </c>
      <c r="D479" s="170">
        <f t="shared" ref="D479" si="1238">(C479-C478)/C478</f>
        <v>7.5706594885593817E-4</v>
      </c>
      <c r="E479" s="208">
        <f t="shared" ref="E479" si="1239">(C479-$C$2)/$C$2</f>
        <v>0.18831928616274415</v>
      </c>
      <c r="F479" s="218">
        <v>6460.18</v>
      </c>
      <c r="G479" s="170">
        <f t="shared" ref="G479" si="1240">(F479-F478)/F478</f>
        <v>9.1412210192314957E-4</v>
      </c>
      <c r="H479" s="202">
        <f t="shared" ref="H479" si="1241">(F479-F$2)/F$2</f>
        <v>0.26876681658385226</v>
      </c>
      <c r="I479" s="220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1">
        <f t="shared" ref="M479" si="1244">I479-J479</f>
        <v>-3836.890000000014</v>
      </c>
      <c r="N479" s="183">
        <f t="shared" ref="N479" si="1245">M479/J479</f>
        <v>-1.0962542857142897E-2</v>
      </c>
      <c r="O479" s="182">
        <f t="shared" si="998"/>
        <v>-5.2824126366377878E-3</v>
      </c>
      <c r="P479" s="181" t="b">
        <f t="shared" ref="P479" si="1246">L479&gt;D479</f>
        <v>1</v>
      </c>
      <c r="Q479" s="183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3">
        <f>STDEV(D$2:D479)*SQRT(252)</f>
        <v>0.14357126818301891</v>
      </c>
      <c r="W479" s="183">
        <f>STDEV(L$2:L479)*SQRT(252)</f>
        <v>0.30876753627425929</v>
      </c>
      <c r="X479" s="173">
        <f t="shared" si="1202"/>
        <v>-7.6356105200438062E-2</v>
      </c>
      <c r="Y479" s="173">
        <f t="shared" si="1203"/>
        <v>-1.7108057085203882E-2</v>
      </c>
      <c r="Z479" s="794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4">
        <v>2495.62</v>
      </c>
      <c r="D480" s="170">
        <f t="shared" ref="D480" si="1249">(C480-C479)/C479</f>
        <v>-1.1007176679194836E-3</v>
      </c>
      <c r="E480" s="208">
        <f t="shared" ref="E480" si="1250">(C480-$C$2)/$C$2</f>
        <v>0.18701128212933535</v>
      </c>
      <c r="F480" s="218">
        <v>6429.08</v>
      </c>
      <c r="G480" s="170">
        <f t="shared" ref="G480" si="1251">(F480-F479)/F479</f>
        <v>-4.8141073468541684E-3</v>
      </c>
      <c r="H480" s="202">
        <f t="shared" ref="H480" si="1252">(F480-F$2)/F$2</f>
        <v>0.26265883693069114</v>
      </c>
      <c r="I480" s="220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1">
        <f t="shared" ref="M480" si="1255">I480-J480</f>
        <v>-5060.570000000007</v>
      </c>
      <c r="N480" s="183">
        <f t="shared" ref="N480" si="1256">M480/J480</f>
        <v>-1.4458771428571448E-2</v>
      </c>
      <c r="O480" s="182">
        <f t="shared" si="998"/>
        <v>-6.9579265669113587E-3</v>
      </c>
      <c r="P480" s="181" t="b">
        <f t="shared" ref="P480" si="1257">L480&gt;D480</f>
        <v>0</v>
      </c>
      <c r="Q480" s="183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3">
        <f>STDEV(D$2:D480)*SQRT(252)</f>
        <v>0.14342484838502698</v>
      </c>
      <c r="W480" s="183">
        <f>STDEV(L$2:L480)*SQRT(252)</f>
        <v>0.30845659017030708</v>
      </c>
      <c r="X480" s="173">
        <f t="shared" si="1202"/>
        <v>-0.10081078412407714</v>
      </c>
      <c r="Y480" s="173">
        <f t="shared" si="1203"/>
        <v>-2.2557231029071877E-2</v>
      </c>
      <c r="Z480" s="794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4">
        <v>2500.23</v>
      </c>
      <c r="D481" s="170">
        <f t="shared" ref="D481" si="1260">(C481-C480)/C480</f>
        <v>1.8472363580994413E-3</v>
      </c>
      <c r="E481" s="208">
        <f t="shared" ref="E481" si="1261">(C481-$C$2)/$C$2</f>
        <v>0.1892039725271589</v>
      </c>
      <c r="F481" s="218">
        <v>6448.66</v>
      </c>
      <c r="G481" s="170">
        <f t="shared" ref="G481" si="1262">(F481-F480)/F480</f>
        <v>3.0455368419742682E-3</v>
      </c>
      <c r="H481" s="202">
        <f t="shared" ref="H481" si="1263">(F481-F$2)/F$2</f>
        <v>0.26650431093740795</v>
      </c>
      <c r="I481" s="220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1">
        <f t="shared" ref="M481" si="1266">I481-J481</f>
        <v>-3144.820000000007</v>
      </c>
      <c r="N481" s="183">
        <f t="shared" ref="N481" si="1267">M481/J481</f>
        <v>-8.9852000000000196E-3</v>
      </c>
      <c r="O481" s="182">
        <f t="shared" si="998"/>
        <v>-4.3182161842105363E-3</v>
      </c>
      <c r="P481" s="181" t="b">
        <f t="shared" ref="P481" si="1268">L481&gt;D481</f>
        <v>1</v>
      </c>
      <c r="Q481" s="183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3">
        <f>STDEV(D$2:D481)*SQRT(252)</f>
        <v>0.14327859255827297</v>
      </c>
      <c r="W481" s="183">
        <f>STDEV(L$2:L481)*SQRT(252)</f>
        <v>0.30815698264983843</v>
      </c>
      <c r="X481" s="173">
        <f t="shared" si="1202"/>
        <v>-6.2711392117741807E-2</v>
      </c>
      <c r="Y481" s="173">
        <f t="shared" si="1203"/>
        <v>-1.4013040194897561E-2</v>
      </c>
      <c r="Z481" s="794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4">
        <v>2503.87</v>
      </c>
      <c r="D482" s="170">
        <f t="shared" ref="D482" si="1271">(C482-C481)/C481</f>
        <v>1.4558660603223993E-3</v>
      </c>
      <c r="E482" s="208">
        <f t="shared" ref="E482" si="1272">(C482-$C$2)/$C$2</f>
        <v>0.19093529422956176</v>
      </c>
      <c r="F482" s="218">
        <v>6454.63</v>
      </c>
      <c r="G482" s="170">
        <f t="shared" ref="G482" si="1273">(F482-F481)/F481</f>
        <v>9.2577372663472024E-4</v>
      </c>
      <c r="H482" s="202">
        <f t="shared" ref="H482" si="1274">(F482-F$2)/F$2</f>
        <v>0.26767680735314342</v>
      </c>
      <c r="I482" s="220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1">
        <f t="shared" ref="M482" si="1277">I482-J482</f>
        <v>-2722.6300000000047</v>
      </c>
      <c r="N482" s="183">
        <f t="shared" ref="N482" si="1278">M482/J482</f>
        <v>-7.7789428571428702E-3</v>
      </c>
      <c r="O482" s="182">
        <f t="shared" si="998"/>
        <v>-3.7237993166073834E-3</v>
      </c>
      <c r="P482" s="181" t="b">
        <f t="shared" ref="P482" si="1279">L482&gt;D482</f>
        <v>0</v>
      </c>
      <c r="Q482" s="183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3">
        <f>STDEV(D$2:D482)*SQRT(252)</f>
        <v>0.143130989675923</v>
      </c>
      <c r="W482" s="183">
        <f>STDEV(L$2:L482)*SQRT(252)</f>
        <v>0.30783578900658637</v>
      </c>
      <c r="X482" s="173">
        <f t="shared" si="1202"/>
        <v>-5.4348418010355011E-2</v>
      </c>
      <c r="Y482" s="173">
        <f t="shared" si="1203"/>
        <v>-1.2096706911903963E-2</v>
      </c>
      <c r="Z482" s="794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4">
        <v>2506.65</v>
      </c>
      <c r="D483" s="170">
        <f t="shared" ref="D483" si="1282">(C483-C482)/C482</f>
        <v>1.1102812845715632E-3</v>
      </c>
      <c r="E483" s="208">
        <f t="shared" ref="E483" si="1283">(C483-$C$2)/$C$2</f>
        <v>0.19225756739788058</v>
      </c>
      <c r="F483" s="218">
        <v>6461.32</v>
      </c>
      <c r="G483" s="170">
        <f t="shared" ref="G483" si="1284">(F483-F482)/F482</f>
        <v>1.036465297003794E-3</v>
      </c>
      <c r="H483" s="202">
        <f t="shared" ref="H483" si="1285">(F483-F$2)/F$2</f>
        <v>0.26899071037178152</v>
      </c>
      <c r="I483" s="220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1">
        <f t="shared" ref="M483" si="1288">I483-J483</f>
        <v>-4290.4400000000023</v>
      </c>
      <c r="N483" s="183">
        <f t="shared" ref="N483" si="1289">M483/J483</f>
        <v>-1.2258400000000006E-2</v>
      </c>
      <c r="O483" s="182">
        <f t="shared" si="998"/>
        <v>-5.8604458115183271E-3</v>
      </c>
      <c r="P483" s="181" t="b">
        <f t="shared" ref="P483" si="1290">L483&gt;D483</f>
        <v>0</v>
      </c>
      <c r="Q483" s="183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3">
        <f>STDEV(D$2:D483)*SQRT(252)</f>
        <v>0.14298272953663635</v>
      </c>
      <c r="W483" s="183">
        <f>STDEV(L$2:L483)*SQRT(252)</f>
        <v>0.3075351311503991</v>
      </c>
      <c r="X483" s="173">
        <f t="shared" si="1202"/>
        <v>-8.5733431161412021E-2</v>
      </c>
      <c r="Y483" s="173">
        <f t="shared" si="1203"/>
        <v>-1.9056183238630692E-2</v>
      </c>
      <c r="Z483" s="794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4">
        <v>2508.2399999999998</v>
      </c>
      <c r="D484" s="170">
        <f t="shared" ref="D484:D490" si="1293">(C484-C483)/C483</f>
        <v>6.3431272814301587E-4</v>
      </c>
      <c r="E484" s="208">
        <f t="shared" ref="E484" si="1294">(C484-$C$2)/$C$2</f>
        <v>0.19301383154810586</v>
      </c>
      <c r="F484" s="218">
        <v>6456.04</v>
      </c>
      <c r="G484" s="170">
        <f t="shared" ref="G484:G490" si="1295">(F484-F483)/F483</f>
        <v>-8.1717048528779659E-4</v>
      </c>
      <c r="H484" s="202">
        <f t="shared" ref="H484:H489" si="1296">(F484-F$2)/F$2</f>
        <v>0.26795372861716132</v>
      </c>
      <c r="I484" s="220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1">
        <f t="shared" ref="M484" si="1299">I484-J484</f>
        <v>-2457.6900000000023</v>
      </c>
      <c r="N484" s="183">
        <f t="shared" ref="N484" si="1300">M484/J484</f>
        <v>-7.0219714285714354E-3</v>
      </c>
      <c r="O484" s="182">
        <f t="shared" si="998"/>
        <v>-3.3526471428571456E-3</v>
      </c>
      <c r="P484" s="181" t="b">
        <f t="shared" ref="P484" si="1301">L484&gt;D484</f>
        <v>1</v>
      </c>
      <c r="Q484" s="183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3">
        <f>STDEV(D$2:D484)*SQRT(252)</f>
        <v>0.14283411686318409</v>
      </c>
      <c r="W484" s="183">
        <f>STDEV(L$2:L484)*SQRT(252)</f>
        <v>0.30723621311065613</v>
      </c>
      <c r="X484" s="173">
        <f t="shared" si="1202"/>
        <v>-4.9161723982916079E-2</v>
      </c>
      <c r="Y484" s="173">
        <f t="shared" si="1203"/>
        <v>-1.0912278565449038E-2</v>
      </c>
      <c r="Z484" s="794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4">
        <v>2500.6</v>
      </c>
      <c r="D485" s="170">
        <f t="shared" si="1293"/>
        <v>-3.0459605141453265E-3</v>
      </c>
      <c r="E485" s="208">
        <f t="shared" ref="E485" si="1304">(C485-$C$2)/$C$2</f>
        <v>0.18937995852438111</v>
      </c>
      <c r="F485" s="218">
        <v>6422.69</v>
      </c>
      <c r="G485" s="170">
        <f t="shared" si="1295"/>
        <v>-5.1657052930279808E-3</v>
      </c>
      <c r="H485" s="202">
        <f t="shared" si="1296"/>
        <v>0.26140385332992905</v>
      </c>
      <c r="I485" s="220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1">
        <f t="shared" ref="M485" si="1305">I485-J485</f>
        <v>-1533.4199999999837</v>
      </c>
      <c r="N485" s="183">
        <f t="shared" ref="N485" si="1306">M485/J485</f>
        <v>-4.3811999999999532E-3</v>
      </c>
      <c r="O485" s="182">
        <f t="shared" si="998"/>
        <v>-2.0890774151435805E-3</v>
      </c>
      <c r="P485" s="181" t="b">
        <f t="shared" ref="P485" si="1307">L485&gt;D485</f>
        <v>1</v>
      </c>
      <c r="Q485" s="183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3">
        <f>STDEV(D$2:D485)*SQRT(252)</f>
        <v>0.14270766261353252</v>
      </c>
      <c r="W485" s="183">
        <f>STDEV(L$2:L485)*SQRT(252)</f>
        <v>0.30692186377022179</v>
      </c>
      <c r="X485" s="173">
        <f t="shared" si="1202"/>
        <v>-3.0700523852490721E-2</v>
      </c>
      <c r="Y485" s="173">
        <f t="shared" si="1203"/>
        <v>-6.8065447976934489E-3</v>
      </c>
      <c r="Z485" s="794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4">
        <v>2502.2199999999998</v>
      </c>
      <c r="D486" s="170">
        <f t="shared" si="1293"/>
        <v>6.4784451731580062E-4</v>
      </c>
      <c r="E486" s="208">
        <f t="shared" ref="E486" si="1310">(C486-$C$2)/$C$2</f>
        <v>0.19015049180951643</v>
      </c>
      <c r="F486" s="218">
        <v>6426.92</v>
      </c>
      <c r="G486" s="170">
        <f t="shared" si="1295"/>
        <v>6.586025481535732E-4</v>
      </c>
      <c r="H486" s="202">
        <f t="shared" si="1296"/>
        <v>0.26223461712198287</v>
      </c>
      <c r="I486" s="220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1">
        <f t="shared" ref="M486" si="1311">I486-J486</f>
        <v>-736.0800000000163</v>
      </c>
      <c r="N486" s="183">
        <f t="shared" ref="N486" si="1312">M486/J486</f>
        <v>-2.1030857142857609E-3</v>
      </c>
      <c r="O486" s="182">
        <f t="shared" si="998"/>
        <v>-1.0015020301732387E-3</v>
      </c>
      <c r="P486" s="181" t="b">
        <f t="shared" ref="P486" si="1313">L486&gt;D486</f>
        <v>1</v>
      </c>
      <c r="Q486" s="183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3">
        <f>STDEV(D$2:D486)*SQRT(252)</f>
        <v>0.14255996830243736</v>
      </c>
      <c r="W486" s="183">
        <f>STDEV(L$2:L486)*SQRT(252)</f>
        <v>0.30660714220309959</v>
      </c>
      <c r="X486" s="173">
        <f t="shared" si="1202"/>
        <v>-1.4752288032388712E-2</v>
      </c>
      <c r="Y486" s="173">
        <f t="shared" si="1203"/>
        <v>-3.2664015031647043E-3</v>
      </c>
      <c r="Z486" s="794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4">
        <v>2496.66</v>
      </c>
      <c r="D487" s="170">
        <f t="shared" si="1293"/>
        <v>-2.222026840165911E-3</v>
      </c>
      <c r="E487" s="208">
        <f t="shared" ref="E487" si="1315">(C487-$C$2)/$C$2</f>
        <v>0.18750594547287902</v>
      </c>
      <c r="F487" s="218">
        <v>6370.59</v>
      </c>
      <c r="G487" s="170">
        <f t="shared" si="1295"/>
        <v>-8.764695997460669E-3</v>
      </c>
      <c r="H487" s="202">
        <f t="shared" si="1296"/>
        <v>0.25117151442543756</v>
      </c>
      <c r="I487" s="220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1">
        <f t="shared" ref="M487" si="1316">I487-J487</f>
        <v>3035.890000000014</v>
      </c>
      <c r="N487" s="183">
        <f t="shared" ref="N487" si="1317">M487/J487</f>
        <v>8.6739714285714691E-3</v>
      </c>
      <c r="O487" s="182">
        <f t="shared" si="998"/>
        <v>4.1252188337053764E-3</v>
      </c>
      <c r="P487" s="181" t="b">
        <f t="shared" ref="P487" si="1318">L487&gt;D487</f>
        <v>1</v>
      </c>
      <c r="Q487" s="183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3">
        <f>STDEV(D$2:D487)*SQRT(252)</f>
        <v>0.14242515955078755</v>
      </c>
      <c r="W487" s="183">
        <f>STDEV(L$2:L487)*SQRT(252)</f>
        <v>0.30638265374051055</v>
      </c>
      <c r="X487" s="173">
        <f t="shared" si="1202"/>
        <v>6.090196041155501E-2</v>
      </c>
      <c r="Y487" s="173">
        <f t="shared" si="1203"/>
        <v>1.3464270197226024E-2</v>
      </c>
      <c r="Z487" s="794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4">
        <v>2496.84</v>
      </c>
      <c r="D488" s="170">
        <f t="shared" si="1293"/>
        <v>7.2096320684550985E-5</v>
      </c>
      <c r="E488" s="208">
        <f t="shared" ref="E488" si="1321">(C488-$C$2)/$C$2</f>
        <v>0.18759156028233864</v>
      </c>
      <c r="F488" s="218">
        <v>6380.16</v>
      </c>
      <c r="G488" s="170">
        <f t="shared" si="1295"/>
        <v>1.5022156503557299E-3</v>
      </c>
      <c r="H488" s="202">
        <f t="shared" si="1296"/>
        <v>0.25305104385568672</v>
      </c>
      <c r="I488" s="220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1">
        <f t="shared" ref="M488" si="1322">I488-J488</f>
        <v>4979.1699999999837</v>
      </c>
      <c r="N488" s="183">
        <f t="shared" ref="N488" si="1323">M488/J488</f>
        <v>1.4226199999999953E-2</v>
      </c>
      <c r="O488" s="182">
        <f t="shared" si="998"/>
        <v>6.7394546692606779E-3</v>
      </c>
      <c r="P488" s="181" t="b">
        <f t="shared" ref="P488" si="1324">L488&gt;D488</f>
        <v>1</v>
      </c>
      <c r="Q488" s="183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3">
        <f>STDEV(D$2:D488)*SQRT(252)</f>
        <v>0.1422784431195839</v>
      </c>
      <c r="W488" s="183">
        <f>STDEV(L$2:L488)*SQRT(252)</f>
        <v>0.30608885692923749</v>
      </c>
      <c r="X488" s="173">
        <f t="shared" si="1202"/>
        <v>9.9988443000061114E-2</v>
      </c>
      <c r="Y488" s="173">
        <f t="shared" si="1203"/>
        <v>2.2017968039975806E-2</v>
      </c>
      <c r="Z488" s="794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4">
        <v>2507.2399999999998</v>
      </c>
      <c r="D489" s="170">
        <f t="shared" si="1293"/>
        <v>4.1652648948269158E-3</v>
      </c>
      <c r="E489" s="208">
        <f t="shared" ref="E489" si="1327">(C489-$C$2)/$C$2</f>
        <v>0.19253819371777539</v>
      </c>
      <c r="F489" s="218">
        <v>6453.26</v>
      </c>
      <c r="G489" s="170">
        <f t="shared" si="1295"/>
        <v>1.1457392918045999E-2</v>
      </c>
      <c r="H489" s="202">
        <f t="shared" si="1296"/>
        <v>0.26740774201150902</v>
      </c>
      <c r="I489" s="220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1">
        <f t="shared" ref="M489" si="1328">I489-J489</f>
        <v>8361.960000000021</v>
      </c>
      <c r="N489" s="183">
        <f t="shared" ref="N489" si="1329">M489/J489</f>
        <v>2.3891314285714345E-2</v>
      </c>
      <c r="O489" s="182">
        <f t="shared" si="998"/>
        <v>1.1303500703182855E-2</v>
      </c>
      <c r="P489" s="181" t="b">
        <f t="shared" ref="P489" si="1330">L489&gt;D489</f>
        <v>1</v>
      </c>
      <c r="Q489" s="183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3">
        <f>STDEV(D$2:D489)*SQRT(252)</f>
        <v>0.14215788029055842</v>
      </c>
      <c r="W489" s="183">
        <f>STDEV(L$2:L489)*SQRT(252)</f>
        <v>0.30584441738354512</v>
      </c>
      <c r="X489" s="173">
        <f t="shared" si="1202"/>
        <v>0.16806183545282585</v>
      </c>
      <c r="Y489" s="173">
        <f t="shared" si="1203"/>
        <v>3.6958335875091897E-2</v>
      </c>
      <c r="Z489" s="794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4">
        <v>2510.06</v>
      </c>
      <c r="D490" s="170">
        <f t="shared" si="1293"/>
        <v>1.1247427450105151E-3</v>
      </c>
      <c r="E490" s="208">
        <f t="shared" ref="E490" si="1333">(C490-$C$2)/$C$2</f>
        <v>0.19387949239930741</v>
      </c>
      <c r="F490" s="218">
        <v>6453.45</v>
      </c>
      <c r="G490" s="170">
        <f t="shared" si="1295"/>
        <v>2.9442483333942816E-5</v>
      </c>
      <c r="H490" s="202">
        <f t="shared" ref="H490" si="1334">(F490-F$2)/F$2</f>
        <v>0.2674450576428305</v>
      </c>
      <c r="I490" s="220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1">
        <f t="shared" ref="M490" si="1337">I490-J490</f>
        <v>6533.2800000000279</v>
      </c>
      <c r="N490" s="183">
        <f t="shared" ref="N490" si="1338">M490/J490</f>
        <v>1.8666514285714364E-2</v>
      </c>
      <c r="O490" s="182">
        <f t="shared" si="998"/>
        <v>8.8201091110700798E-3</v>
      </c>
      <c r="P490" s="181" t="b">
        <f t="shared" ref="P490" si="1339">L490&gt;D490</f>
        <v>0</v>
      </c>
      <c r="Q490" s="183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3">
        <f>STDEV(D$2:D490)*SQRT(252)</f>
        <v>0.14201280348305981</v>
      </c>
      <c r="W490" s="183">
        <f>STDEV(L$2:L490)*SQRT(252)</f>
        <v>0.30555594359067673</v>
      </c>
      <c r="X490" s="173">
        <f t="shared" si="1202"/>
        <v>0.13144247439591616</v>
      </c>
      <c r="Y490" s="173">
        <f t="shared" si="1203"/>
        <v>2.8865774978625563E-2</v>
      </c>
      <c r="Z490" s="794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4">
        <v>2519.36</v>
      </c>
      <c r="D491" s="170">
        <f t="shared" ref="D491" si="1342">(C491-C490)/C490</f>
        <v>3.7050907149630613E-3</v>
      </c>
      <c r="E491" s="208">
        <f t="shared" ref="E491" si="1343">(C491-$C$2)/$C$2</f>
        <v>0.19830292422138091</v>
      </c>
      <c r="F491" s="218">
        <v>6495.95</v>
      </c>
      <c r="G491" s="170">
        <f t="shared" ref="G491" si="1344">(F491-F490)/F490</f>
        <v>6.5856247433543303E-3</v>
      </c>
      <c r="H491" s="202">
        <f t="shared" ref="H491" si="1345">(F491-F$2)/F$2</f>
        <v>0.27579197517528525</v>
      </c>
      <c r="I491" s="465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5">
        <f t="shared" ref="M491" si="1348">I491-J491</f>
        <v>6859.3400000000256</v>
      </c>
      <c r="N491" s="183">
        <f t="shared" ref="N491" si="1349">M491/J491</f>
        <v>1.9598114285714358E-2</v>
      </c>
      <c r="O491" s="182">
        <f t="shared" si="998"/>
        <v>9.2483349390919505E-3</v>
      </c>
      <c r="P491" s="181" t="b">
        <f t="shared" ref="P491" si="1350">L491&gt;D491</f>
        <v>0</v>
      </c>
      <c r="Q491" s="183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3">
        <f>STDEV(D$2:D491)*SQRT(252)</f>
        <v>0.14188702615366891</v>
      </c>
      <c r="W491" s="183">
        <f>STDEV(L$2:L491)*SQRT(252)</f>
        <v>0.30524293675127467</v>
      </c>
      <c r="X491" s="173">
        <f t="shared" si="1202"/>
        <v>0.13812478009433277</v>
      </c>
      <c r="Y491" s="173">
        <f t="shared" si="1203"/>
        <v>3.0298276636710187E-2</v>
      </c>
      <c r="Z491" s="794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4">
        <v>2529.12</v>
      </c>
      <c r="D492" s="170">
        <f t="shared" ref="D492" si="1353">(C492-C491)/C491</f>
        <v>3.8739997459671357E-3</v>
      </c>
      <c r="E492" s="208">
        <f t="shared" ref="E492" si="1354">(C492-$C$2)/$C$2</f>
        <v>0.2029451494454062</v>
      </c>
      <c r="F492" s="218">
        <v>6516.71</v>
      </c>
      <c r="G492" s="170">
        <f t="shared" ref="G492" si="1355">(F492-F491)/F491</f>
        <v>3.1958374063840115E-3</v>
      </c>
      <c r="H492" s="202">
        <f t="shared" ref="H492" si="1356">(F492-F$2)/F$2</f>
        <v>0.27986919889231499</v>
      </c>
      <c r="I492" s="220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1">
        <f t="shared" ref="M492" si="1359">I492-J492</f>
        <v>7811.2700000000186</v>
      </c>
      <c r="N492" s="183">
        <f t="shared" ref="N492" si="1360">M492/J492</f>
        <v>2.2317914285714339E-2</v>
      </c>
      <c r="O492" s="182">
        <f t="shared" si="998"/>
        <v>1.0491143105350272E-2</v>
      </c>
      <c r="P492" s="181" t="b">
        <f t="shared" ref="P492" si="1361">L492&gt;D492</f>
        <v>0</v>
      </c>
      <c r="Q492" s="183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3">
        <f>STDEV(D$2:D492)*SQRT(252)</f>
        <v>0.14176364260850624</v>
      </c>
      <c r="W492" s="183">
        <f>STDEV(L$2:L492)*SQRT(252)</f>
        <v>0.30493499881552349</v>
      </c>
      <c r="X492" s="173">
        <f t="shared" si="1202"/>
        <v>0.15743045166628075</v>
      </c>
      <c r="Y492" s="173">
        <f t="shared" si="1203"/>
        <v>3.4404522754362801E-2</v>
      </c>
      <c r="Z492" s="794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4">
        <v>2534.58</v>
      </c>
      <c r="D493" s="170">
        <f t="shared" ref="D493" si="1364">(C493-C492)/C492</f>
        <v>2.1588536724236242E-3</v>
      </c>
      <c r="E493" s="208">
        <f t="shared" ref="E493" si="1365">(C493-$C$2)/$C$2</f>
        <v>0.20554213199901061</v>
      </c>
      <c r="F493" s="218">
        <v>6531.71</v>
      </c>
      <c r="G493" s="170">
        <f t="shared" ref="G493" si="1366">(F493-F492)/F492</f>
        <v>2.3017749754093708E-3</v>
      </c>
      <c r="H493" s="202">
        <f t="shared" ref="H493" si="1367">(F493-F$2)/F$2</f>
        <v>0.28281516978612259</v>
      </c>
      <c r="I493" s="220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1">
        <f t="shared" ref="M493" si="1370">I493-J493</f>
        <v>10621.390000000014</v>
      </c>
      <c r="N493" s="183">
        <f t="shared" ref="N493" si="1371">M493/J493</f>
        <v>3.0346828571428612E-2</v>
      </c>
      <c r="O493" s="182">
        <f t="shared" si="998"/>
        <v>1.4247016883951542E-2</v>
      </c>
      <c r="P493" s="181" t="b">
        <f t="shared" ref="P493" si="1372">L493&gt;D493</f>
        <v>1</v>
      </c>
      <c r="Q493" s="183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3">
        <f>STDEV(D$2:D493)*SQRT(252)</f>
        <v>0.14162441046518581</v>
      </c>
      <c r="W493" s="183">
        <f>STDEV(L$2:L493)*SQRT(252)</f>
        <v>0.30467040638109993</v>
      </c>
      <c r="X493" s="173">
        <f t="shared" si="1202"/>
        <v>0.21427682185401567</v>
      </c>
      <c r="Y493" s="173">
        <f t="shared" si="1203"/>
        <v>4.6762063480922801E-2</v>
      </c>
      <c r="Z493" s="794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4">
        <v>2537.7399999999998</v>
      </c>
      <c r="D494" s="170">
        <f t="shared" ref="D494" si="1375">(C494-C493)/C493</f>
        <v>1.2467548864111035E-3</v>
      </c>
      <c r="E494" s="208">
        <f t="shared" ref="E494" si="1376">(C494-$C$2)/$C$2</f>
        <v>0.20704514754285483</v>
      </c>
      <c r="F494" s="218">
        <v>6534.62</v>
      </c>
      <c r="G494" s="170">
        <f t="shared" ref="G494" si="1377">(F494-F493)/F493</f>
        <v>4.4551886106392573E-4</v>
      </c>
      <c r="H494" s="202">
        <f t="shared" ref="H494" si="1378">(F494-F$2)/F$2</f>
        <v>0.28338668813952123</v>
      </c>
      <c r="I494" s="220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1">
        <f t="shared" ref="M494" si="1381">I494-J494</f>
        <v>10384.520000000019</v>
      </c>
      <c r="N494" s="183">
        <f t="shared" ref="N494" si="1382">M494/J494</f>
        <v>2.9670057142857195E-2</v>
      </c>
      <c r="O494" s="182">
        <f t="shared" si="998"/>
        <v>1.3911409976159935E-2</v>
      </c>
      <c r="P494" s="181" t="b">
        <f t="shared" ref="P494" si="1383">L494&gt;D494</f>
        <v>0</v>
      </c>
      <c r="Q494" s="183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3">
        <f>STDEV(D$2:D494)*SQRT(252)</f>
        <v>0.14148135258004679</v>
      </c>
      <c r="W494" s="183">
        <f>STDEV(L$2:L494)*SQRT(252)</f>
        <v>0.30436097081382762</v>
      </c>
      <c r="X494" s="173">
        <f t="shared" si="1202"/>
        <v>0.20971001903639971</v>
      </c>
      <c r="Y494" s="173">
        <f t="shared" si="1203"/>
        <v>4.5706944418538162E-2</v>
      </c>
      <c r="Z494" s="794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4">
        <v>2552.0700000000002</v>
      </c>
      <c r="D495" s="170">
        <f t="shared" ref="D495" si="1386">(C495-C494)/C494</f>
        <v>5.6467565629262188E-3</v>
      </c>
      <c r="E495" s="208">
        <f t="shared" ref="E495" si="1387">(C495-$C$2)/$C$2</f>
        <v>0.2138610376514907</v>
      </c>
      <c r="F495" s="218">
        <v>6585.35</v>
      </c>
      <c r="G495" s="170">
        <f t="shared" ref="G495" si="1388">(F495-F494)/F494</f>
        <v>7.7632670300645601E-3</v>
      </c>
      <c r="H495" s="202">
        <f t="shared" ref="H495" si="1389">(F495-F$2)/F$2</f>
        <v>0.29334996170237848</v>
      </c>
      <c r="I495" s="220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1">
        <f t="shared" ref="M495" si="1392">I495-J495</f>
        <v>10856.840000000026</v>
      </c>
      <c r="N495" s="183">
        <f t="shared" ref="N495" si="1393">M495/J495</f>
        <v>3.101954285714293E-2</v>
      </c>
      <c r="O495" s="182">
        <f t="shared" si="998"/>
        <v>1.4525497472527507E-2</v>
      </c>
      <c r="P495" s="181" t="b">
        <f t="shared" ref="P495" si="1394">L495&gt;D495</f>
        <v>0</v>
      </c>
      <c r="Q495" s="183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3">
        <f>STDEV(D$2:D495)*SQRT(252)</f>
        <v>0.14138684968311818</v>
      </c>
      <c r="W495" s="183">
        <f>STDEV(L$2:L495)*SQRT(252)</f>
        <v>0.30405217201951462</v>
      </c>
      <c r="X495" s="173">
        <f t="shared" si="1202"/>
        <v>0.21939482297445032</v>
      </c>
      <c r="Y495" s="173">
        <f t="shared" si="1203"/>
        <v>4.7773042948679324E-2</v>
      </c>
      <c r="Z495" s="794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4">
        <v>2549.33</v>
      </c>
      <c r="D496" s="170">
        <f t="shared" ref="D496" si="1397">(C496-C495)/C495</f>
        <v>-1.0736382622734627E-3</v>
      </c>
      <c r="E496" s="208">
        <f t="shared" ref="E496" si="1398">(C496-$C$2)/$C$2</f>
        <v>0.21255778999638508</v>
      </c>
      <c r="F496" s="218">
        <v>6590.18</v>
      </c>
      <c r="G496" s="170">
        <f t="shared" ref="G496" si="1399">(F496-F495)/F495</f>
        <v>7.334462101482726E-4</v>
      </c>
      <c r="H496" s="202">
        <f t="shared" ref="H496" si="1400">(F496-F$2)/F$2</f>
        <v>0.29429856433018453</v>
      </c>
      <c r="I496" s="220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1">
        <f t="shared" ref="M496" si="1403">I496-J496</f>
        <v>7118.359999999986</v>
      </c>
      <c r="N496" s="183">
        <f t="shared" ref="N496" si="1404">M496/J496</f>
        <v>2.0338171428571389E-2</v>
      </c>
      <c r="O496" s="182">
        <f t="shared" si="998"/>
        <v>9.5115456008779756E-3</v>
      </c>
      <c r="P496" s="181" t="b">
        <f t="shared" ref="P496" si="1405">L496&gt;D496</f>
        <v>0</v>
      </c>
      <c r="Q496" s="183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3">
        <f>STDEV(D$2:D496)*SQRT(252)</f>
        <v>0.14124747997458517</v>
      </c>
      <c r="W496" s="183">
        <f>STDEV(L$2:L496)*SQRT(252)</f>
        <v>0.30384122519704199</v>
      </c>
      <c r="X496" s="173">
        <f t="shared" si="1202"/>
        <v>0.14398962326429371</v>
      </c>
      <c r="Y496" s="173">
        <f t="shared" si="1203"/>
        <v>3.1304328748377408E-2</v>
      </c>
      <c r="Z496" s="794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4">
        <v>2544.73</v>
      </c>
      <c r="D497" s="170">
        <f t="shared" ref="D497" si="1408">(C497-C496)/C496</f>
        <v>-1.8043956647432499E-3</v>
      </c>
      <c r="E497" s="208">
        <f t="shared" ref="E497" si="1409">(C497-$C$2)/$C$2</f>
        <v>0.21036985597686494</v>
      </c>
      <c r="F497" s="218">
        <v>6579.73</v>
      </c>
      <c r="G497" s="170">
        <f t="shared" ref="G497" si="1410">(F497-F496)/F496</f>
        <v>-1.5856926517941433E-3</v>
      </c>
      <c r="H497" s="202">
        <f t="shared" ref="H497" si="1411">(F497-F$2)/F$2</f>
        <v>0.29224620460749845</v>
      </c>
      <c r="I497" s="220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1">
        <f t="shared" ref="M497" si="1414">I497-J497</f>
        <v>4927.6900000000023</v>
      </c>
      <c r="N497" s="183">
        <f t="shared" ref="N497" si="1415">M497/J497</f>
        <v>1.4079114285714293E-2</v>
      </c>
      <c r="O497" s="182">
        <f t="shared" si="998"/>
        <v>6.5591792000728897E-3</v>
      </c>
      <c r="P497" s="181" t="b">
        <f t="shared" ref="P497" si="1416">L497&gt;D497</f>
        <v>0</v>
      </c>
      <c r="Q497" s="183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3">
        <f>STDEV(D$2:D497)*SQRT(252)</f>
        <v>0.14111344767392758</v>
      </c>
      <c r="W497" s="183">
        <f>STDEV(L$2:L497)*SQRT(252)</f>
        <v>0.30356932879528697</v>
      </c>
      <c r="X497" s="173">
        <f t="shared" si="1202"/>
        <v>9.9771598793667482E-2</v>
      </c>
      <c r="Y497" s="173">
        <f t="shared" si="1203"/>
        <v>2.1606857405861626E-2</v>
      </c>
      <c r="Z497" s="794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4">
        <v>2550.64</v>
      </c>
      <c r="D498" s="170">
        <f t="shared" ref="D498" si="1419">(C498-C497)/C497</f>
        <v>2.3224467821732972E-3</v>
      </c>
      <c r="E498" s="208">
        <f t="shared" ref="E498" si="1420">(C498-$C$2)/$C$2</f>
        <v>0.21318087555411799</v>
      </c>
      <c r="F498" s="218">
        <v>6587.25</v>
      </c>
      <c r="G498" s="170">
        <f t="shared" ref="G498" si="1421">(F498-F497)/F497</f>
        <v>1.142904040135452E-3</v>
      </c>
      <c r="H498" s="202">
        <f t="shared" ref="H498" si="1422">(F498-F$2)/F$2</f>
        <v>0.29372311801559403</v>
      </c>
      <c r="I498" s="220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1">
        <f t="shared" ref="M498" si="1425">I498-J498</f>
        <v>6097.0300000000279</v>
      </c>
      <c r="N498" s="183">
        <f t="shared" ref="N498" si="1426">M498/J498</f>
        <v>1.7420085714285796E-2</v>
      </c>
      <c r="O498" s="182">
        <f t="shared" si="998"/>
        <v>8.1053328753412576E-3</v>
      </c>
      <c r="P498" s="181" t="b">
        <f t="shared" ref="P498" si="1427">L498&gt;D498</f>
        <v>1</v>
      </c>
      <c r="Q498" s="183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3">
        <f>STDEV(D$2:D498)*SQRT(252)</f>
        <v>0.14097732351097575</v>
      </c>
      <c r="W498" s="183">
        <f>STDEV(L$2:L498)*SQRT(252)</f>
        <v>0.30326962638945343</v>
      </c>
      <c r="X498" s="173">
        <f t="shared" si="1202"/>
        <v>0.12356657993247801</v>
      </c>
      <c r="Y498" s="173">
        <f t="shared" si="1203"/>
        <v>2.6726490785900642E-2</v>
      </c>
      <c r="Z498" s="794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4">
        <v>2555.2399999999998</v>
      </c>
      <c r="D499" s="170">
        <f t="shared" ref="D499" si="1430">(C499-C498)/C498</f>
        <v>1.8034689332872963E-3</v>
      </c>
      <c r="E499" s="208">
        <f t="shared" ref="E499" si="1431">(C499-$C$2)/$C$2</f>
        <v>0.2153688095736381</v>
      </c>
      <c r="F499" s="218">
        <v>6603.54</v>
      </c>
      <c r="G499" s="170">
        <f t="shared" ref="G499" si="1432">(F499-F498)/F498</f>
        <v>2.4729591255835083E-3</v>
      </c>
      <c r="H499" s="202">
        <f t="shared" ref="H499" si="1433">(F499-F$2)/F$2</f>
        <v>0.29692244240626908</v>
      </c>
      <c r="I499" s="220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1">
        <f t="shared" ref="M499" si="1436">I499-J499</f>
        <v>6596.9699999999721</v>
      </c>
      <c r="N499" s="183">
        <f t="shared" ref="N499" si="1437">M499/J499</f>
        <v>1.8848485714285636E-2</v>
      </c>
      <c r="O499" s="182">
        <f t="shared" si="998"/>
        <v>8.7587905943292983E-3</v>
      </c>
      <c r="P499" s="181" t="b">
        <f t="shared" ref="P499" si="1438">L499&gt;D499</f>
        <v>0</v>
      </c>
      <c r="Q499" s="183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3">
        <f>STDEV(D$2:D499)*SQRT(252)</f>
        <v>0.14083853845440183</v>
      </c>
      <c r="W499" s="183">
        <f>STDEV(L$2:L499)*SQRT(252)</f>
        <v>0.30296461457562501</v>
      </c>
      <c r="X499" s="173">
        <f t="shared" si="1202"/>
        <v>0.13383045522293643</v>
      </c>
      <c r="Y499" s="173">
        <f t="shared" si="1203"/>
        <v>2.8910275896734991E-2</v>
      </c>
      <c r="Z499" s="794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4">
        <v>2550.9299999999998</v>
      </c>
      <c r="D500" s="170">
        <f t="shared" ref="D500" si="1441">(C500-C499)/C499</f>
        <v>-1.6867300136190518E-3</v>
      </c>
      <c r="E500" s="208">
        <f t="shared" ref="E500" si="1442">(C500-$C$2)/$C$2</f>
        <v>0.2133188105249138</v>
      </c>
      <c r="F500" s="218">
        <v>6591.51</v>
      </c>
      <c r="G500" s="170">
        <f t="shared" ref="G500" si="1443">(F500-F499)/F499</f>
        <v>-1.821750152191059E-3</v>
      </c>
      <c r="H500" s="202">
        <f t="shared" ref="H500" si="1444">(F500-F$2)/F$2</f>
        <v>0.29455977374943543</v>
      </c>
      <c r="I500" s="220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1">
        <f t="shared" ref="M500" si="1447">I500-J500</f>
        <v>5844.1900000000023</v>
      </c>
      <c r="N500" s="183">
        <f t="shared" ref="N500" si="1448">M500/J500</f>
        <v>1.6697685714285721E-2</v>
      </c>
      <c r="O500" s="182">
        <f t="shared" si="998"/>
        <v>7.7494659557088433E-3</v>
      </c>
      <c r="P500" s="181" t="b">
        <f t="shared" ref="P500" si="1449">L500&gt;D500</f>
        <v>0</v>
      </c>
      <c r="Q500" s="183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3">
        <f>STDEV(D$2:D500)*SQRT(252)</f>
        <v>0.14070484863788504</v>
      </c>
      <c r="W500" s="183">
        <f>STDEV(L$2:L500)*SQRT(252)</f>
        <v>0.30266491141400748</v>
      </c>
      <c r="X500" s="173">
        <f t="shared" si="1202"/>
        <v>0.11867171512517329</v>
      </c>
      <c r="Y500" s="173">
        <f t="shared" si="1203"/>
        <v>2.5604110894468866E-2</v>
      </c>
      <c r="Z500" s="794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4">
        <v>2553.17</v>
      </c>
      <c r="D501" s="170">
        <f t="shared" ref="D501" si="1452">(C501-C500)/C500</f>
        <v>8.7811112025819467E-4</v>
      </c>
      <c r="E501" s="208">
        <f t="shared" ref="E501" si="1453">(C501-$C$2)/$C$2</f>
        <v>0.21438423926485417</v>
      </c>
      <c r="F501" s="218">
        <v>6605.8</v>
      </c>
      <c r="G501" s="170">
        <f t="shared" ref="G501" si="1454">(F501-F500)/F500</f>
        <v>2.1679402746866746E-3</v>
      </c>
      <c r="H501" s="202">
        <f t="shared" ref="H501" si="1455">(F501-F$2)/F$2</f>
        <v>0.29736630202093611</v>
      </c>
      <c r="I501" s="220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1">
        <f t="shared" ref="M501" si="1458">I501-J501</f>
        <v>7661.2299999999814</v>
      </c>
      <c r="N501" s="183">
        <f t="shared" ref="N501" si="1459">M501/J501</f>
        <v>2.1889228571428519E-2</v>
      </c>
      <c r="O501" s="182">
        <f t="shared" si="998"/>
        <v>1.0145990781363284E-2</v>
      </c>
      <c r="P501" s="181" t="b">
        <f t="shared" ref="P501" si="1460">L501&gt;D501</f>
        <v>1</v>
      </c>
      <c r="Q501" s="183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3">
        <f>STDEV(D$2:D501)*SQRT(252)</f>
        <v>0.14056387251664079</v>
      </c>
      <c r="W501" s="183">
        <f>STDEV(L$2:L501)*SQRT(252)</f>
        <v>0.30237946520340636</v>
      </c>
      <c r="X501" s="173">
        <f t="shared" si="1202"/>
        <v>0.1557244274757523</v>
      </c>
      <c r="Y501" s="173">
        <f t="shared" si="1203"/>
        <v>3.3553835325881735E-2</v>
      </c>
      <c r="Z501" s="794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4">
        <v>2557.64</v>
      </c>
      <c r="D502" s="170">
        <f t="shared" ref="D502" si="1463">(C502-C501)/C501</f>
        <v>1.7507647356031129E-3</v>
      </c>
      <c r="E502" s="208">
        <f t="shared" ref="E502" si="1464">(C502-$C$2)/$C$2</f>
        <v>0.2165103403664313</v>
      </c>
      <c r="F502" s="218">
        <v>6624</v>
      </c>
      <c r="G502" s="170">
        <f t="shared" ref="G502" si="1465">(F502-F501)/F501</f>
        <v>2.7551545611432101E-3</v>
      </c>
      <c r="H502" s="202">
        <f t="shared" ref="H502" si="1466">(F502-F$2)/F$2</f>
        <v>0.30094074670542259</v>
      </c>
      <c r="I502" s="220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1">
        <f t="shared" ref="M502" si="1469">I502-J502</f>
        <v>6269.4099999999744</v>
      </c>
      <c r="N502" s="183">
        <f t="shared" ref="N502" si="1470">M502/J502</f>
        <v>1.7912599999999928E-2</v>
      </c>
      <c r="O502" s="182">
        <f t="shared" si="998"/>
        <v>8.271273261694025E-3</v>
      </c>
      <c r="P502" s="181" t="b">
        <f t="shared" ref="P502" si="1471">L502&gt;D502</f>
        <v>0</v>
      </c>
      <c r="Q502" s="183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3">
        <f>STDEV(D$2:D502)*SQRT(252)</f>
        <v>0.14042609448007151</v>
      </c>
      <c r="W502" s="183">
        <f>STDEV(L$2:L502)*SQRT(252)</f>
        <v>0.30209167628759925</v>
      </c>
      <c r="X502" s="173">
        <f t="shared" si="1202"/>
        <v>0.12755891322279839</v>
      </c>
      <c r="Y502" s="173">
        <f t="shared" si="1203"/>
        <v>2.7380010476751947E-2</v>
      </c>
      <c r="Z502" s="794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4">
        <v>2559.36</v>
      </c>
      <c r="D503" s="170">
        <f t="shared" ref="D503" si="1474">(C503-C502)/C502</f>
        <v>6.7249495628792747E-4</v>
      </c>
      <c r="E503" s="208">
        <f t="shared" ref="E503" si="1475">(C503-$C$2)/$C$2</f>
        <v>0.21732843743459981</v>
      </c>
      <c r="F503" s="218">
        <v>6623.65</v>
      </c>
      <c r="G503" s="170">
        <f t="shared" ref="G503" si="1476">(F503-F502)/F502</f>
        <v>-5.2838164251262654E-5</v>
      </c>
      <c r="H503" s="202">
        <f t="shared" ref="H503" si="1477">(F503-F$2)/F$2</f>
        <v>0.30087200738456704</v>
      </c>
      <c r="I503" s="220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1">
        <f t="shared" ref="M503" si="1480">I503-J503</f>
        <v>6984.929999999993</v>
      </c>
      <c r="N503" s="183">
        <f t="shared" ref="N503" si="1481">M503/J503</f>
        <v>1.9956942857142838E-2</v>
      </c>
      <c r="O503" s="182">
        <f t="shared" si="998"/>
        <v>9.2036280032467433E-3</v>
      </c>
      <c r="P503" s="181" t="b">
        <f t="shared" ref="P503" si="1482">L503&gt;D503</f>
        <v>1</v>
      </c>
      <c r="Q503" s="183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3">
        <f>STDEV(D$2:D503)*SQRT(252)</f>
        <v>0.14028570263636367</v>
      </c>
      <c r="W503" s="183">
        <f>STDEV(L$2:L503)*SQRT(252)</f>
        <v>0.30179161775372321</v>
      </c>
      <c r="X503" s="173">
        <f t="shared" si="1202"/>
        <v>0.14225927861567961</v>
      </c>
      <c r="Y503" s="173">
        <f t="shared" si="1203"/>
        <v>3.049663231785767E-2</v>
      </c>
      <c r="Z503" s="794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4">
        <v>2561.2600000000002</v>
      </c>
      <c r="D504" s="170">
        <f t="shared" ref="D504" si="1485">(C504-C503)/C503</f>
        <v>7.4237309327335383E-4</v>
      </c>
      <c r="E504" s="208">
        <f t="shared" ref="E504" si="1486">(C504-$C$2)/$C$2</f>
        <v>0.21823214931222776</v>
      </c>
      <c r="F504" s="218">
        <v>6624.22</v>
      </c>
      <c r="G504" s="170">
        <f t="shared" ref="G504" si="1487">(F504-F503)/F503</f>
        <v>8.6055271640352141E-5</v>
      </c>
      <c r="H504" s="202">
        <f t="shared" ref="H504" si="1488">(F504-F$2)/F$2</f>
        <v>0.30098395427853181</v>
      </c>
      <c r="I504" s="220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1">
        <f t="shared" ref="M504" si="1491">I504-J504</f>
        <v>6309.25</v>
      </c>
      <c r="N504" s="183">
        <f t="shared" ref="N504" si="1492">M504/J504</f>
        <v>1.8026428571428572E-2</v>
      </c>
      <c r="O504" s="182">
        <f t="shared" si="998"/>
        <v>8.3028411547468924E-3</v>
      </c>
      <c r="P504" s="181" t="b">
        <f t="shared" ref="P504" si="1493">L504&gt;D504</f>
        <v>0</v>
      </c>
      <c r="Q504" s="183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3">
        <f>STDEV(D$2:D504)*SQRT(252)</f>
        <v>0.14014580009075686</v>
      </c>
      <c r="W504" s="183">
        <f>STDEV(L$2:L504)*SQRT(252)</f>
        <v>0.30149462610170669</v>
      </c>
      <c r="X504" s="173">
        <f t="shared" si="1202"/>
        <v>0.12862624894755931</v>
      </c>
      <c r="Y504" s="173">
        <f t="shared" si="1203"/>
        <v>2.7538935808248864E-2</v>
      </c>
      <c r="Z504" s="794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4">
        <v>2562.1</v>
      </c>
      <c r="D505" s="170">
        <f t="shared" ref="D505" si="1496">(C505-C504)/C504</f>
        <v>3.2796358042513869E-4</v>
      </c>
      <c r="E505" s="208">
        <f t="shared" ref="E505" si="1497">(C505-$C$2)/$C$2</f>
        <v>0.21863168508970521</v>
      </c>
      <c r="F505" s="218">
        <v>6605.06</v>
      </c>
      <c r="G505" s="170">
        <f t="shared" ref="G505" si="1498">(F505-F504)/F504</f>
        <v>-2.8924160127531775E-3</v>
      </c>
      <c r="H505" s="202">
        <f t="shared" ref="H505" si="1499">(F505-F$2)/F$2</f>
        <v>0.29722096745684168</v>
      </c>
      <c r="I505" s="220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1">
        <f t="shared" ref="M505" si="1502">I505-J505</f>
        <v>7443.9500000000116</v>
      </c>
      <c r="N505" s="183">
        <f t="shared" ref="N505" si="1503">M505/J505</f>
        <v>2.1268428571428605E-2</v>
      </c>
      <c r="O505" s="182">
        <f t="shared" si="998"/>
        <v>9.783745007196849E-3</v>
      </c>
      <c r="P505" s="181" t="b">
        <f t="shared" ref="P505" si="1504">L505&gt;D505</f>
        <v>1</v>
      </c>
      <c r="Q505" s="183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3">
        <f>STDEV(D$2:D505)*SQRT(252)</f>
        <v>0.14000616246662231</v>
      </c>
      <c r="W505" s="183">
        <f>STDEV(L$2:L505)*SQRT(252)</f>
        <v>0.3012006871665695</v>
      </c>
      <c r="X505" s="173">
        <f t="shared" si="1202"/>
        <v>0.15191066019325422</v>
      </c>
      <c r="Y505" s="173">
        <f t="shared" si="1203"/>
        <v>3.2482479038257503E-2</v>
      </c>
      <c r="Z505" s="794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4">
        <v>2575.21</v>
      </c>
      <c r="D506" s="170">
        <f t="shared" ref="D506" si="1507">(C506-C505)/C505</f>
        <v>5.1168962960072319E-3</v>
      </c>
      <c r="E506" s="208">
        <f t="shared" ref="E506" si="1508">(C506-$C$2)/$C$2</f>
        <v>0.22486729704533778</v>
      </c>
      <c r="F506" s="218">
        <v>6629.05</v>
      </c>
      <c r="G506" s="170">
        <f t="shared" ref="G506" si="1509">(F506-F505)/F505</f>
        <v>3.6320639025231838E-3</v>
      </c>
      <c r="H506" s="202">
        <f t="shared" ref="H506" si="1510">(F506-F$2)/F$2</f>
        <v>0.30193255690633786</v>
      </c>
      <c r="I506" s="220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1">
        <f t="shared" ref="M506" si="1513">I506-J506</f>
        <v>10239.919999999984</v>
      </c>
      <c r="N506" s="183">
        <f t="shared" ref="N506" si="1514">M506/J506</f>
        <v>2.9256914285714239E-2</v>
      </c>
      <c r="O506" s="182">
        <f t="shared" si="998"/>
        <v>1.3441620053908334E-2</v>
      </c>
      <c r="P506" s="181" t="b">
        <f t="shared" ref="P506" si="1515">L506&gt;D506</f>
        <v>1</v>
      </c>
      <c r="Q506" s="183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3">
        <f>STDEV(D$2:D506)*SQRT(252)</f>
        <v>0.13990614860228603</v>
      </c>
      <c r="W506" s="183">
        <f>STDEV(L$2:L506)*SQRT(252)</f>
        <v>0.30094697841501933</v>
      </c>
      <c r="X506" s="173">
        <f t="shared" si="1202"/>
        <v>0.20911814511371796</v>
      </c>
      <c r="Y506" s="173">
        <f t="shared" si="1203"/>
        <v>4.466441273044363E-2</v>
      </c>
      <c r="Z506" s="794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4">
        <v>2564.98</v>
      </c>
      <c r="D507" s="170">
        <f t="shared" ref="D507" si="1518">(C507-C506)/C506</f>
        <v>-3.9724915637948041E-3</v>
      </c>
      <c r="E507" s="208">
        <f t="shared" ref="E507" si="1519">(C507-$C$2)/$C$2</f>
        <v>0.22000152204105702</v>
      </c>
      <c r="F507" s="218">
        <v>6586.82</v>
      </c>
      <c r="G507" s="170">
        <f t="shared" ref="G507" si="1520">(F507-F506)/F506</f>
        <v>-6.3704452372512609E-3</v>
      </c>
      <c r="H507" s="202">
        <f t="shared" ref="H507" si="1521">(F507-F$2)/F$2</f>
        <v>0.29363866684997153</v>
      </c>
      <c r="I507" s="220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1">
        <f t="shared" ref="M507" si="1524">I507-J507</f>
        <v>7804.679999999993</v>
      </c>
      <c r="N507" s="183">
        <f t="shared" ref="N507" si="1525">M507/J507</f>
        <v>2.2299085714285693E-2</v>
      </c>
      <c r="O507" s="182">
        <f t="shared" si="998"/>
        <v>1.0206442427497305E-2</v>
      </c>
      <c r="P507" s="181" t="b">
        <f t="shared" ref="P507" si="1526">L507&gt;D507</f>
        <v>0</v>
      </c>
      <c r="Q507" s="183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3">
        <f>STDEV(D$2:D507)*SQRT(252)</f>
        <v>0.13980205559585135</v>
      </c>
      <c r="W507" s="183">
        <f>STDEV(L$2:L507)*SQRT(252)</f>
        <v>0.30069091329485875</v>
      </c>
      <c r="X507" s="173">
        <f t="shared" si="1202"/>
        <v>0.15950470555847407</v>
      </c>
      <c r="Y507" s="173">
        <f t="shared" si="1203"/>
        <v>3.3943301829971913E-2</v>
      </c>
      <c r="Z507" s="794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4">
        <v>2569.13</v>
      </c>
      <c r="D508" s="170">
        <f t="shared" ref="D508" si="1529">(C508-C507)/C507</f>
        <v>1.6179463387629108E-3</v>
      </c>
      <c r="E508" s="208">
        <f t="shared" ref="E508" si="1530">(C508-$C$2)/$C$2</f>
        <v>0.22197541903692855</v>
      </c>
      <c r="F508" s="218">
        <v>6598.63</v>
      </c>
      <c r="G508" s="170">
        <f t="shared" ref="G508" si="1531">(F508-F507)/F507</f>
        <v>1.792974455048172E-3</v>
      </c>
      <c r="H508" s="202">
        <f t="shared" ref="H508" si="1532">(F508-F$2)/F$2</f>
        <v>0.29595812793369608</v>
      </c>
      <c r="I508" s="220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1">
        <f t="shared" ref="M508" si="1535">I508-J508</f>
        <v>8838.6199999999953</v>
      </c>
      <c r="N508" s="183">
        <f t="shared" ref="N508" si="1536">M508/J508</f>
        <v>2.9462066666666651E-2</v>
      </c>
      <c r="O508" s="182">
        <f t="shared" si="998"/>
        <v>1.3468109949937416E-2</v>
      </c>
      <c r="P508" s="181" t="b">
        <f t="shared" ref="P508" si="1537">L508&gt;D508</f>
        <v>1</v>
      </c>
      <c r="Q508" s="183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3">
        <f>STDEV(D$2:D508)*SQRT(252)</f>
        <v>0.13966607476231604</v>
      </c>
      <c r="W508" s="183">
        <f>STDEV(L$2:L508)*SQRT(252)</f>
        <v>0.30039821437301584</v>
      </c>
      <c r="X508" s="173">
        <f t="shared" si="1202"/>
        <v>0.2109464787122087</v>
      </c>
      <c r="Y508" s="173">
        <f t="shared" si="1203"/>
        <v>4.4834187773212103E-2</v>
      </c>
      <c r="Z508" s="794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4">
        <v>2557.15</v>
      </c>
      <c r="D509" s="170">
        <f t="shared" ref="D509" si="1540">(C509-C508)/C508</f>
        <v>-4.6630571438580444E-3</v>
      </c>
      <c r="E509" s="208">
        <f t="shared" ref="E509" si="1541">(C509-$C$2)/$C$2</f>
        <v>0.21627727782956946</v>
      </c>
      <c r="F509" s="218">
        <v>6563.89</v>
      </c>
      <c r="G509" s="170">
        <f t="shared" ref="G509" si="1542">(F509-F508)/F508</f>
        <v>-5.2647291937871618E-3</v>
      </c>
      <c r="H509" s="202">
        <f t="shared" ref="H509" si="1543">(F509-F$2)/F$2</f>
        <v>0.28913525934363782</v>
      </c>
      <c r="I509" s="220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1">
        <f t="shared" ref="M509" si="1546">I509-J509</f>
        <v>6704.960000000021</v>
      </c>
      <c r="N509" s="183">
        <f t="shared" ref="N509" si="1547">M509/J509</f>
        <v>2.2349866666666735E-2</v>
      </c>
      <c r="O509" s="182">
        <f t="shared" si="998"/>
        <v>1.0204111000000031E-2</v>
      </c>
      <c r="P509" s="181" t="b">
        <f t="shared" ref="P509" si="1548">L509&gt;D509</f>
        <v>0</v>
      </c>
      <c r="Q509" s="183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3">
        <f>STDEV(D$2:D509)*SQRT(252)</f>
        <v>0.13957427800139766</v>
      </c>
      <c r="W509" s="183">
        <f>STDEV(L$2:L509)*SQRT(252)</f>
        <v>0.30014545244323337</v>
      </c>
      <c r="X509" s="173">
        <f t="shared" si="1202"/>
        <v>0.16012883596247535</v>
      </c>
      <c r="Y509" s="173">
        <f t="shared" si="1203"/>
        <v>3.399722007092524E-2</v>
      </c>
      <c r="Z509" s="794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4">
        <v>2560.4</v>
      </c>
      <c r="D510" s="170">
        <f t="shared" ref="D510" si="1551">(C510-C509)/C509</f>
        <v>1.270946170541423E-3</v>
      </c>
      <c r="E510" s="208">
        <f t="shared" ref="E510" si="1552">(C510-$C$2)/$C$2</f>
        <v>0.21782310077814351</v>
      </c>
      <c r="F510" s="218">
        <v>6556.77</v>
      </c>
      <c r="G510" s="170">
        <f t="shared" ref="G510" si="1553">(F510-F509)/F509</f>
        <v>-1.0847226263694075E-3</v>
      </c>
      <c r="H510" s="202">
        <f t="shared" ref="H510" si="1554">(F510-F$2)/F$2</f>
        <v>0.28773690515937717</v>
      </c>
      <c r="I510" s="220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1">
        <f t="shared" ref="M510" si="1557">I510-J510</f>
        <v>5919.1199999999953</v>
      </c>
      <c r="N510" s="183">
        <f t="shared" ref="N510" si="1558">M510/J510</f>
        <v>1.9730399999999985E-2</v>
      </c>
      <c r="O510" s="182">
        <f t="shared" si="998"/>
        <v>8.9969146067415667E-3</v>
      </c>
      <c r="P510" s="181" t="b">
        <f t="shared" ref="P510" si="1559">L510&gt;D510</f>
        <v>0</v>
      </c>
      <c r="Q510" s="183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3">
        <f>STDEV(D$2:D510)*SQRT(252)</f>
        <v>0.13943783652554134</v>
      </c>
      <c r="W510" s="183">
        <f>STDEV(L$2:L510)*SQRT(252)</f>
        <v>0.29985648816309529</v>
      </c>
      <c r="X510" s="173">
        <f t="shared" si="1202"/>
        <v>0.14149961367469938</v>
      </c>
      <c r="Y510" s="173">
        <f t="shared" si="1203"/>
        <v>3.0004068485748572E-2</v>
      </c>
      <c r="Z510" s="794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4">
        <v>2581.0700000000002</v>
      </c>
      <c r="D511" s="170">
        <f t="shared" ref="D511" si="1562">(C511-C510)/C510</f>
        <v>8.0729573504140263E-3</v>
      </c>
      <c r="E511" s="208">
        <f t="shared" ref="E511" si="1563">(C511-$C$2)/$C$2</f>
        <v>0.22765453473107441</v>
      </c>
      <c r="F511" s="218">
        <v>6701.26</v>
      </c>
      <c r="G511" s="170">
        <f t="shared" ref="G511" si="1564">(F511-F510)/F510</f>
        <v>2.2036765053524796E-2</v>
      </c>
      <c r="H511" s="202">
        <f t="shared" ref="H511" si="1565">(F511-F$2)/F$2</f>
        <v>0.31611446078912747</v>
      </c>
      <c r="I511" s="220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1">
        <f t="shared" ref="M511" si="1568">I511-J511</f>
        <v>5278.4099999999744</v>
      </c>
      <c r="N511" s="183">
        <f t="shared" ref="N511" si="1569">M511/J511</f>
        <v>1.7594699999999915E-2</v>
      </c>
      <c r="O511" s="182">
        <f t="shared" si="998"/>
        <v>8.0130475997505848E-3</v>
      </c>
      <c r="P511" s="181" t="b">
        <f t="shared" ref="P511" si="1570">L511&gt;D511</f>
        <v>0</v>
      </c>
      <c r="Q511" s="183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3">
        <f>STDEV(D$2:D511)*SQRT(252)</f>
        <v>0.13940439146779132</v>
      </c>
      <c r="W511" s="183">
        <f>STDEV(L$2:L511)*SQRT(252)</f>
        <v>0.2995662631727638</v>
      </c>
      <c r="X511" s="173">
        <f t="shared" si="1202"/>
        <v>0.12621338406017921</v>
      </c>
      <c r="Y511" s="173">
        <f t="shared" si="1203"/>
        <v>2.6748831844022953E-2</v>
      </c>
      <c r="Z511" s="794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4">
        <v>2572.83</v>
      </c>
      <c r="D512" s="170">
        <f t="shared" ref="D512" si="1573">(C512-C511)/C511</f>
        <v>-3.1924744388955881E-3</v>
      </c>
      <c r="E512" s="208">
        <f t="shared" ref="E512" si="1574">(C512-$C$2)/$C$2</f>
        <v>0.22373527900915122</v>
      </c>
      <c r="F512" s="218">
        <v>6698.96</v>
      </c>
      <c r="G512" s="170">
        <f t="shared" ref="G512" si="1575">(F512-F511)/F511</f>
        <v>-3.4321903642004365E-4</v>
      </c>
      <c r="H512" s="202">
        <f t="shared" ref="H512" si="1576">(F512-F$2)/F$2</f>
        <v>0.31566274525207694</v>
      </c>
      <c r="I512" s="220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1">
        <f t="shared" ref="M512" si="1579">I512-J512</f>
        <v>7777.6199999999953</v>
      </c>
      <c r="N512" s="183">
        <f t="shared" ref="N512" si="1580">M512/J512</f>
        <v>2.5925399999999984E-2</v>
      </c>
      <c r="O512" s="182">
        <f t="shared" si="998"/>
        <v>1.176304639751552E-2</v>
      </c>
      <c r="P512" s="181" t="b">
        <f t="shared" ref="P512" si="1581">L512&gt;D512</f>
        <v>1</v>
      </c>
      <c r="Q512" s="183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3">
        <f>STDEV(D$2:D512)*SQRT(252)</f>
        <v>0.13929080890854997</v>
      </c>
      <c r="W512" s="183">
        <f>STDEV(L$2:L512)*SQRT(252)</f>
        <v>0.29932223329084218</v>
      </c>
      <c r="X512" s="173">
        <f t="shared" si="1202"/>
        <v>0.1861242690967575</v>
      </c>
      <c r="Y512" s="173">
        <f t="shared" si="1203"/>
        <v>3.9298939701835414E-2</v>
      </c>
      <c r="Z512" s="794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4">
        <v>2575.2600000000002</v>
      </c>
      <c r="D513" s="170">
        <f t="shared" ref="D513" si="1585">(C513-C512)/C512</f>
        <v>9.4448525553584618E-4</v>
      </c>
      <c r="E513" s="208">
        <f t="shared" ref="E513" si="1586">(C513-$C$2)/$C$2</f>
        <v>0.22489107893685439</v>
      </c>
      <c r="F513" s="218">
        <v>6727.66</v>
      </c>
      <c r="G513" s="170">
        <f t="shared" ref="G513" si="1587">(F513-F512)/F512</f>
        <v>4.2842471070135991E-3</v>
      </c>
      <c r="H513" s="202">
        <f t="shared" ref="H513" si="1588">(F513-F$2)/F$2</f>
        <v>0.32129936956222876</v>
      </c>
      <c r="I513" s="465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5">
        <f t="shared" ref="M513" si="1591">I513-J513</f>
        <v>9994</v>
      </c>
      <c r="N513" s="183">
        <f t="shared" ref="N513" si="1592">M513/J513</f>
        <v>3.3313333333333334E-2</v>
      </c>
      <c r="O513" s="182">
        <f t="shared" si="998"/>
        <v>1.5096395781637717E-2</v>
      </c>
      <c r="P513" s="181" t="b">
        <f t="shared" ref="P513" si="1593">L513&gt;D513</f>
        <v>1</v>
      </c>
      <c r="Q513" s="183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3">
        <f>STDEV(D$2:D513)*SQRT(252)</f>
        <v>0.13915464346541059</v>
      </c>
      <c r="W513" s="183">
        <f>STDEV(L$2:L513)*SQRT(252)</f>
        <v>0.29906689628726874</v>
      </c>
      <c r="X513" s="173">
        <f t="shared" si="1202"/>
        <v>0.23939792811595229</v>
      </c>
      <c r="Y513" s="173">
        <f t="shared" si="1203"/>
        <v>5.0478324311550929E-2</v>
      </c>
      <c r="Z513" s="794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4">
        <v>2579.36</v>
      </c>
      <c r="D514" s="170">
        <f t="shared" ref="D514" si="1596">(C514-C513)/C513</f>
        <v>1.5920722567818041E-3</v>
      </c>
      <c r="E514" s="208">
        <f t="shared" ref="E514" si="1597">(C514-$C$2)/$C$2</f>
        <v>0.22684119404120928</v>
      </c>
      <c r="F514" s="218">
        <v>6716.53</v>
      </c>
      <c r="G514" s="170">
        <f t="shared" ref="G514" si="1598">(F514-F513)/F513</f>
        <v>-1.6543642217353596E-3</v>
      </c>
      <c r="H514" s="202">
        <f t="shared" ref="H514" si="1599">(F514-F$2)/F$2</f>
        <v>0.3191134591590235</v>
      </c>
      <c r="I514" s="220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1">
        <f t="shared" ref="M514" si="1602">I514-J514</f>
        <v>14097.479999999981</v>
      </c>
      <c r="N514" s="183">
        <f t="shared" ref="N514" si="1603">M514/J514</f>
        <v>4.6991599999999939E-2</v>
      </c>
      <c r="O514" s="182">
        <f t="shared" si="998"/>
        <v>2.1268502973977668E-2</v>
      </c>
      <c r="P514" s="181" t="b">
        <f t="shared" ref="P514" si="1604">L514&gt;D514</f>
        <v>1</v>
      </c>
      <c r="Q514" s="183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3">
        <f>STDEV(D$2:D514)*SQRT(252)</f>
        <v>0.13902078631505016</v>
      </c>
      <c r="W514" s="183">
        <f>STDEV(L$2:L514)*SQRT(252)</f>
        <v>0.29890977574603156</v>
      </c>
      <c r="X514" s="173">
        <f t="shared" si="1202"/>
        <v>0.338018516838965</v>
      </c>
      <c r="Y514" s="173">
        <f t="shared" si="1203"/>
        <v>7.1153587803861038E-2</v>
      </c>
      <c r="Z514" s="794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4">
        <v>2579.85</v>
      </c>
      <c r="D515" s="170">
        <f t="shared" ref="D515" si="1606">(C515-C514)/C514</f>
        <v>1.8996960486313726E-4</v>
      </c>
      <c r="E515" s="208">
        <f t="shared" ref="E515" si="1607">(C515-$C$2)/$C$2</f>
        <v>0.22707425657807112</v>
      </c>
      <c r="F515" s="218">
        <v>6714.94</v>
      </c>
      <c r="G515" s="170">
        <f t="shared" ref="G515" si="1608">(F515-F514)/F514</f>
        <v>-2.3672938258299233E-4</v>
      </c>
      <c r="H515" s="202">
        <f t="shared" ref="H515" si="1609">(F515-F$2)/F$2</f>
        <v>0.31880118624427989</v>
      </c>
      <c r="I515" s="220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1">
        <f t="shared" ref="M515" si="1612">I515-J515</f>
        <v>15145.059999999998</v>
      </c>
      <c r="N515" s="183">
        <f t="shared" ref="N515" si="1613">M515/J515</f>
        <v>5.0483533333333323E-2</v>
      </c>
      <c r="O515" s="182">
        <f t="shared" si="998"/>
        <v>2.2820681373762371E-2</v>
      </c>
      <c r="P515" s="181" t="b">
        <f t="shared" ref="P515" si="1614">L515&gt;D515</f>
        <v>1</v>
      </c>
      <c r="Q515" s="183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3">
        <f>STDEV(D$2:D515)*SQRT(252)</f>
        <v>0.13888506589975202</v>
      </c>
      <c r="W515" s="183">
        <f>STDEV(L$2:L515)*SQRT(252)</f>
        <v>0.29862468189332236</v>
      </c>
      <c r="X515" s="173">
        <f t="shared" si="1202"/>
        <v>0.36349144529169614</v>
      </c>
      <c r="Y515" s="173">
        <f t="shared" si="1203"/>
        <v>7.6419273949748734E-2</v>
      </c>
      <c r="Z515" s="794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4">
        <v>2587.84</v>
      </c>
      <c r="D516" s="170">
        <f t="shared" ref="D516" si="1616">(C516-C515)/C515</f>
        <v>3.0970792875555696E-3</v>
      </c>
      <c r="E516" s="208">
        <f t="shared" ref="E516" si="1617">(C516-$C$2)/$C$2</f>
        <v>0.23087460284241171</v>
      </c>
      <c r="F516" s="218">
        <v>6764.43</v>
      </c>
      <c r="G516" s="170">
        <f t="shared" ref="G516" si="1618">(F516-F515)/F515</f>
        <v>7.3701328679036142E-3</v>
      </c>
      <c r="H516" s="202">
        <f t="shared" ref="H516" si="1619">(F516-F$2)/F$2</f>
        <v>0.32852092621324913</v>
      </c>
      <c r="I516" s="220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1">
        <f t="shared" ref="M516" si="1622">I516-J516</f>
        <v>16040.119999999995</v>
      </c>
      <c r="N516" s="183">
        <f t="shared" ref="N516" si="1623">M516/J516</f>
        <v>5.3467066666666653E-2</v>
      </c>
      <c r="O516" s="182">
        <f t="shared" si="998"/>
        <v>2.4139488380716927E-2</v>
      </c>
      <c r="P516" s="181" t="b">
        <f t="shared" ref="P516" si="1624">L516&gt;D516</f>
        <v>0</v>
      </c>
      <c r="Q516" s="183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3">
        <f>STDEV(D$2:D516)*SQRT(252)</f>
        <v>0.13876213440493015</v>
      </c>
      <c r="W516" s="183">
        <f>STDEV(L$2:L516)*SQRT(252)</f>
        <v>0.29833824227628286</v>
      </c>
      <c r="X516" s="173">
        <f t="shared" si="1202"/>
        <v>0.3853145304802042</v>
      </c>
      <c r="Y516" s="173">
        <f t="shared" si="1203"/>
        <v>8.0913154802199336E-2</v>
      </c>
      <c r="Z516" s="794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4">
        <v>2591.13</v>
      </c>
      <c r="D517" s="170">
        <f t="shared" ref="D517" si="1627">(C517-C516)/C516</f>
        <v>1.2713305304810048E-3</v>
      </c>
      <c r="E517" s="208">
        <f t="shared" ref="E517" si="1628">(C517-$C$2)/$C$2</f>
        <v>0.23243945130419896</v>
      </c>
      <c r="F517" s="218">
        <v>6786.43</v>
      </c>
      <c r="G517" s="170">
        <f t="shared" ref="G517" si="1629">(F517-F516)/F516</f>
        <v>3.2523065505888891E-3</v>
      </c>
      <c r="H517" s="202">
        <f t="shared" ref="H517" si="1630">(F517-F$2)/F$2</f>
        <v>0.33284168352416688</v>
      </c>
      <c r="I517" s="220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1">
        <f t="shared" ref="M517" si="1633">I517-J517</f>
        <v>19399.580000000016</v>
      </c>
      <c r="N517" s="183">
        <f t="shared" ref="N517" si="1634">M517/J517</f>
        <v>6.4665266666666721E-2</v>
      </c>
      <c r="O517" s="182">
        <f t="shared" si="998"/>
        <v>2.9087424445812832E-2</v>
      </c>
      <c r="P517" s="181" t="b">
        <f t="shared" ref="P517" si="1635">L517&gt;D517</f>
        <v>1</v>
      </c>
      <c r="Q517" s="183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3">
        <f>STDEV(D$2:D517)*SQRT(252)</f>
        <v>0.1386282991301003</v>
      </c>
      <c r="W517" s="183">
        <f>STDEV(L$2:L517)*SQRT(252)</f>
        <v>0.29813314270213698</v>
      </c>
      <c r="X517" s="173">
        <f t="shared" si="1202"/>
        <v>0.46646512344481317</v>
      </c>
      <c r="Y517" s="173">
        <f t="shared" si="1203"/>
        <v>9.7565215937343477E-2</v>
      </c>
      <c r="Z517" s="794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4">
        <v>2590.64</v>
      </c>
      <c r="D518" s="170">
        <f t="shared" ref="D518" si="1638">(C518-C517)/C517</f>
        <v>-1.891066831846478E-4</v>
      </c>
      <c r="E518" s="208">
        <f t="shared" ref="E518" si="1639">(C518-$C$2)/$C$2</f>
        <v>0.2322063887673369</v>
      </c>
      <c r="F518" s="218">
        <v>6767.78</v>
      </c>
      <c r="G518" s="170">
        <f t="shared" ref="G518" si="1640">(F518-F517)/F517</f>
        <v>-2.7481311971096064E-3</v>
      </c>
      <c r="H518" s="202">
        <f t="shared" ref="H518" si="1641">(F518-F$2)/F$2</f>
        <v>0.32917885971286603</v>
      </c>
      <c r="I518" s="220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1">
        <f t="shared" ref="M518" si="1644">I518-J518</f>
        <v>18506.809999999998</v>
      </c>
      <c r="N518" s="183">
        <f t="shared" ref="N518" si="1645">M518/J518</f>
        <v>6.1689366666666662E-2</v>
      </c>
      <c r="O518" s="182">
        <f t="shared" si="998"/>
        <v>2.7714687792127921E-2</v>
      </c>
      <c r="P518" s="181" t="b">
        <f t="shared" ref="P518" si="1646">L518&gt;D518</f>
        <v>0</v>
      </c>
      <c r="Q518" s="183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3">
        <f>STDEV(D$2:D518)*SQRT(252)</f>
        <v>0.1384943496004884</v>
      </c>
      <c r="W518" s="183">
        <f>STDEV(L$2:L518)*SQRT(252)</f>
        <v>0.29785222799898087</v>
      </c>
      <c r="X518" s="173">
        <f t="shared" si="1202"/>
        <v>0.44542876185649899</v>
      </c>
      <c r="Y518" s="173">
        <f t="shared" si="1203"/>
        <v>9.3048448817454374E-2</v>
      </c>
      <c r="Z518" s="794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4">
        <v>2594.38</v>
      </c>
      <c r="D519" s="170">
        <f t="shared" ref="D519" si="1649">(C519-C518)/C518</f>
        <v>1.4436587098169706E-3</v>
      </c>
      <c r="E519" s="208">
        <f t="shared" ref="E519" si="1650">(C519-$C$2)/$C$2</f>
        <v>0.23398527425277299</v>
      </c>
      <c r="F519" s="218">
        <v>6789.11</v>
      </c>
      <c r="G519" s="170">
        <f t="shared" ref="G519" si="1651">(F519-F518)/F518</f>
        <v>3.1516981934991872E-3</v>
      </c>
      <c r="H519" s="202">
        <f t="shared" ref="H519" si="1652">(F519-F$2)/F$2</f>
        <v>0.33336803032386036</v>
      </c>
      <c r="I519" s="220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1">
        <f t="shared" ref="M519" si="1655">I519-J519</f>
        <v>17938.409999999974</v>
      </c>
      <c r="N519" s="183">
        <f t="shared" ref="N519" si="1656">M519/J519</f>
        <v>5.9794699999999916E-2</v>
      </c>
      <c r="O519" s="182">
        <f t="shared" ref="O519:O546" si="1657">N519/(A519/365.25)</f>
        <v>2.6830484244471708E-2</v>
      </c>
      <c r="P519" s="181" t="b">
        <f t="shared" ref="P519" si="1658">L519&gt;D519</f>
        <v>0</v>
      </c>
      <c r="Q519" s="183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3">
        <f>STDEV(D$2:D519)*SQRT(252)</f>
        <v>0.13836184953741584</v>
      </c>
      <c r="W519" s="183">
        <f>STDEV(L$2:L519)*SQRT(252)</f>
        <v>0.29756756692220915</v>
      </c>
      <c r="X519" s="173">
        <f t="shared" si="1202"/>
        <v>0.43216175701547138</v>
      </c>
      <c r="Y519" s="173">
        <f t="shared" si="1203"/>
        <v>9.0166023542094562E-2</v>
      </c>
      <c r="Z519" s="794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4">
        <v>2584.62</v>
      </c>
      <c r="D520" s="170">
        <f t="shared" ref="D520" si="1661">(C520-C519)/C519</f>
        <v>-3.761977813581749E-3</v>
      </c>
      <c r="E520" s="208">
        <f t="shared" ref="E520" si="1662">(C520-$C$2)/$C$2</f>
        <v>0.22934304902874747</v>
      </c>
      <c r="F520" s="218">
        <v>6750.05</v>
      </c>
      <c r="G520" s="170">
        <f t="shared" ref="G520" si="1663">(F520-F519)/F519</f>
        <v>-5.7533314381413014E-3</v>
      </c>
      <c r="H520" s="202">
        <f t="shared" ref="H520" si="1664">(F520-F$2)/F$2</f>
        <v>0.32569672211638556</v>
      </c>
      <c r="I520" s="220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1">
        <f t="shared" ref="M520" si="1667">I520-J520</f>
        <v>18455.090000000026</v>
      </c>
      <c r="N520" s="183">
        <f t="shared" ref="N520" si="1668">M520/J520</f>
        <v>6.1516966666666749E-2</v>
      </c>
      <c r="O520" s="182">
        <f t="shared" si="1657"/>
        <v>2.7569413588957092E-2</v>
      </c>
      <c r="P520" s="181" t="b">
        <f t="shared" ref="P520" si="1669">L520&gt;D520</f>
        <v>1</v>
      </c>
      <c r="Q520" s="183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3">
        <f>STDEV(D$2:D520)*SQRT(252)</f>
        <v>0.13825910776296965</v>
      </c>
      <c r="W520" s="183">
        <f>STDEV(L$2:L520)*SQRT(252)</f>
        <v>0.29728077984751194</v>
      </c>
      <c r="X520" s="173">
        <f t="shared" si="1202"/>
        <v>0.44493970532582172</v>
      </c>
      <c r="Y520" s="173">
        <f t="shared" si="1203"/>
        <v>9.2738634509431206E-2</v>
      </c>
      <c r="Z520" s="794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4">
        <v>2582.3000000000002</v>
      </c>
      <c r="D521" s="170">
        <f t="shared" ref="D521" si="1672">(C521-C520)/C520</f>
        <v>-8.9761744473064085E-4</v>
      </c>
      <c r="E521" s="208">
        <f t="shared" ref="E521" si="1673">(C521-$C$2)/$C$2</f>
        <v>0.2282395692623809</v>
      </c>
      <c r="F521" s="218">
        <v>6750.93</v>
      </c>
      <c r="G521" s="170">
        <f t="shared" ref="G521" si="1674">(F521-F520)/F520</f>
        <v>1.3036940467109267E-4</v>
      </c>
      <c r="H521" s="202">
        <f t="shared" ref="H521" si="1675">(F521-F$2)/F$2</f>
        <v>0.32586955240882232</v>
      </c>
      <c r="I521" s="220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1">
        <f t="shared" ref="M521" si="1678">I521-J521</f>
        <v>18102.549999999988</v>
      </c>
      <c r="N521" s="183">
        <f t="shared" ref="N521" si="1679">M521/J521</f>
        <v>6.0341833333333296E-2</v>
      </c>
      <c r="O521" s="182">
        <f t="shared" si="1657"/>
        <v>2.7009625765931359E-2</v>
      </c>
      <c r="P521" s="181" t="b">
        <f t="shared" ref="P521" si="1680">L521&gt;D521</f>
        <v>0</v>
      </c>
      <c r="Q521" s="183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3">
        <f>STDEV(D$2:D521)*SQRT(252)</f>
        <v>0.13812871674554664</v>
      </c>
      <c r="W521" s="183">
        <f>STDEV(L$2:L521)*SQRT(252)</f>
        <v>0.29699567117525927</v>
      </c>
      <c r="X521" s="173">
        <f t="shared" si="1202"/>
        <v>0.43685219666879122</v>
      </c>
      <c r="Y521" s="173">
        <f t="shared" si="1203"/>
        <v>9.0942826402317448E-2</v>
      </c>
      <c r="Z521" s="794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4">
        <v>2584.84</v>
      </c>
      <c r="D522" s="170">
        <f t="shared" ref="D522" si="1683">(C522-C521)/C521</f>
        <v>9.836192541532601E-4</v>
      </c>
      <c r="E522" s="208">
        <f t="shared" ref="E522" si="1684">(C522-$C$2)/$C$2</f>
        <v>0.22944768935142029</v>
      </c>
      <c r="F522" s="218">
        <v>6757.59</v>
      </c>
      <c r="G522" s="170">
        <f t="shared" ref="G522" si="1685">(F522-F521)/F521</f>
        <v>9.865307446529374E-4</v>
      </c>
      <c r="H522" s="202">
        <f t="shared" ref="H522" si="1686">(F522-F$2)/F$2</f>
        <v>0.32717756348567284</v>
      </c>
      <c r="I522" s="220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1">
        <f t="shared" ref="M522" si="1689">I522-J522</f>
        <v>17452.710000000021</v>
      </c>
      <c r="N522" s="183">
        <f t="shared" ref="N522" si="1690">M522/J522</f>
        <v>5.8175700000000073E-2</v>
      </c>
      <c r="O522" s="182">
        <f t="shared" si="1657"/>
        <v>2.5944657417582447E-2</v>
      </c>
      <c r="P522" s="181" t="b">
        <f t="shared" ref="P522" si="1691">L522&gt;D522</f>
        <v>0</v>
      </c>
      <c r="Q522" s="183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3">
        <f>STDEV(D$2:D522)*SQRT(252)</f>
        <v>0.13799611122091809</v>
      </c>
      <c r="W522" s="183">
        <f>STDEV(L$2:L522)*SQRT(252)</f>
        <v>0.2967144709504862</v>
      </c>
      <c r="X522" s="173">
        <f t="shared" si="1202"/>
        <v>0.4215749232735011</v>
      </c>
      <c r="Y522" s="173">
        <f t="shared" si="1203"/>
        <v>8.7439811528140551E-2</v>
      </c>
      <c r="Z522" s="794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4">
        <v>2578.87</v>
      </c>
      <c r="D523" s="170">
        <f t="shared" ref="D523" si="1694">(C523-C522)/C522</f>
        <v>-2.309620711533501E-3</v>
      </c>
      <c r="E523" s="208">
        <f t="shared" ref="E523" si="1695">(C523-$C$2)/$C$2</f>
        <v>0.22660813150434725</v>
      </c>
      <c r="F523" s="218">
        <v>6737.87</v>
      </c>
      <c r="G523" s="170">
        <f t="shared" ref="G523" si="1696">(F523-F522)/F522</f>
        <v>-2.9182001275603071E-3</v>
      </c>
      <c r="H523" s="202">
        <f t="shared" ref="H523" si="1697">(F523-F$2)/F$2</f>
        <v>0.32330459375061377</v>
      </c>
      <c r="I523" s="220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1">
        <f t="shared" ref="M523" si="1700">I523-J523</f>
        <v>15348.650000000023</v>
      </c>
      <c r="N523" s="183">
        <f t="shared" ref="N523" si="1701">M523/J523</f>
        <v>5.1162166666666745E-2</v>
      </c>
      <c r="O523" s="182">
        <f t="shared" si="1657"/>
        <v>2.2789001676829301E-2</v>
      </c>
      <c r="P523" s="181" t="b">
        <f t="shared" ref="P523" si="1702">L523&gt;D523</f>
        <v>0</v>
      </c>
      <c r="Q523" s="183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3">
        <f>STDEV(D$2:D523)*SQRT(252)</f>
        <v>0.13787657219144886</v>
      </c>
      <c r="W523" s="183">
        <f>STDEV(L$2:L523)*SQRT(252)</f>
        <v>0.29646980505097381</v>
      </c>
      <c r="X523" s="173">
        <f t="shared" si="1202"/>
        <v>0.37107222680025281</v>
      </c>
      <c r="Y523" s="173">
        <f t="shared" si="1203"/>
        <v>7.6867867447449001E-2</v>
      </c>
      <c r="Z523" s="794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4">
        <v>2564.62</v>
      </c>
      <c r="D524" s="170">
        <f t="shared" ref="D524" si="1705">(C524-C523)/C523</f>
        <v>-5.5256759743608636E-3</v>
      </c>
      <c r="E524" s="208">
        <f t="shared" ref="E524" si="1706">(C524-$C$2)/$C$2</f>
        <v>0.219830292422138</v>
      </c>
      <c r="F524" s="218">
        <v>6706.2</v>
      </c>
      <c r="G524" s="170">
        <f t="shared" ref="G524" si="1707">(F524-F523)/F523</f>
        <v>-4.7002984622736971E-3</v>
      </c>
      <c r="H524" s="202">
        <f t="shared" ref="H524" si="1708">(F524-F$2)/F$2</f>
        <v>0.31708466720348805</v>
      </c>
      <c r="I524" s="220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1">
        <f t="shared" ref="M524" si="1711">I524-J524</f>
        <v>13226.950000000012</v>
      </c>
      <c r="N524" s="183">
        <f t="shared" ref="N524" si="1712">M524/J524</f>
        <v>4.408983333333337E-2</v>
      </c>
      <c r="O524" s="182">
        <f t="shared" si="1657"/>
        <v>1.9614874086479918E-2</v>
      </c>
      <c r="P524" s="181" t="b">
        <f t="shared" ref="P524" si="1713">L524&gt;D524</f>
        <v>0</v>
      </c>
      <c r="Q524" s="183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3">
        <f>STDEV(D$2:D524)*SQRT(252)</f>
        <v>0.13780632580778587</v>
      </c>
      <c r="W524" s="183">
        <f>STDEV(L$2:L524)*SQRT(252)</f>
        <v>0.29622688136541453</v>
      </c>
      <c r="X524" s="173">
        <f t="shared" si="1202"/>
        <v>0.31994056205250304</v>
      </c>
      <c r="Y524" s="173">
        <f t="shared" si="1203"/>
        <v>6.6215712753913566E-2</v>
      </c>
      <c r="Z524" s="794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4">
        <v>2585.64</v>
      </c>
      <c r="D525" s="170">
        <f t="shared" ref="D525" si="1716">(C525-C524)/C524</f>
        <v>8.1961460177336146E-3</v>
      </c>
      <c r="E525" s="208">
        <f t="shared" ref="E525" si="1717">(C525-$C$2)/$C$2</f>
        <v>0.22982819961568454</v>
      </c>
      <c r="F525" s="218">
        <v>6793.29</v>
      </c>
      <c r="G525" s="170">
        <f t="shared" ref="G525" si="1718">(F525-F524)/F524</f>
        <v>1.2986490113626219E-2</v>
      </c>
      <c r="H525" s="202">
        <f t="shared" ref="H525" si="1719">(F525-F$2)/F$2</f>
        <v>0.33418897421293481</v>
      </c>
      <c r="I525" s="220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1">
        <f t="shared" ref="M525" si="1722">I525-J525</f>
        <v>14306.150000000023</v>
      </c>
      <c r="N525" s="183">
        <f t="shared" ref="N525" si="1723">M525/J525</f>
        <v>4.7687166666666746E-2</v>
      </c>
      <c r="O525" s="182">
        <f t="shared" si="1657"/>
        <v>2.1189461830900279E-2</v>
      </c>
      <c r="P525" s="181" t="b">
        <f t="shared" ref="P525" si="1724">L525&gt;D525</f>
        <v>0</v>
      </c>
      <c r="Q525" s="183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3">
        <f>STDEV(D$2:D525)*SQRT(252)</f>
        <v>0.13778008469132433</v>
      </c>
      <c r="W525" s="183">
        <f>STDEV(L$2:L525)*SQRT(252)</f>
        <v>0.29595048173151545</v>
      </c>
      <c r="X525" s="173">
        <f t="shared" si="1202"/>
        <v>0.34611073707424922</v>
      </c>
      <c r="Y525" s="173">
        <f t="shared" si="1203"/>
        <v>7.1597997431621804E-2</v>
      </c>
      <c r="Z525" s="794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4">
        <v>2578.85</v>
      </c>
      <c r="D526" s="170">
        <f t="shared" ref="D526:D535" si="1727">(C526-C525)/C525</f>
        <v>-2.626042295137747E-3</v>
      </c>
      <c r="E526" s="208">
        <f t="shared" ref="E526" si="1728">(C526-$C$2)/$C$2</f>
        <v>0.22659861874774065</v>
      </c>
      <c r="F526" s="218">
        <v>6782.79</v>
      </c>
      <c r="G526" s="170">
        <f t="shared" ref="G526:G535" si="1729">(F526-F525)/F525</f>
        <v>-1.5456428328541841E-3</v>
      </c>
      <c r="H526" s="202">
        <f t="shared" ref="H526:H531" si="1730">(F526-F$2)/F$2</f>
        <v>0.33212679458726951</v>
      </c>
      <c r="I526" s="220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1">
        <f t="shared" ref="M526" si="1732">I526-J526</f>
        <v>21104.700000000012</v>
      </c>
      <c r="N526" s="183">
        <f t="shared" ref="N526" si="1733">M526/J526</f>
        <v>7.0349000000000037E-2</v>
      </c>
      <c r="O526" s="182">
        <f t="shared" si="1657"/>
        <v>3.1221108444714474E-2</v>
      </c>
      <c r="P526" s="181" t="b">
        <f t="shared" ref="P526" si="1734">L526&gt;D526</f>
        <v>1</v>
      </c>
      <c r="Q526" s="183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3">
        <f>STDEV(D$2:D526)*SQRT(252)</f>
        <v>0.13766464845192211</v>
      </c>
      <c r="W526" s="183">
        <f>STDEV(L$2:L526)*SQRT(252)</f>
        <v>0.2960330501805109</v>
      </c>
      <c r="X526" s="173">
        <f t="shared" si="1202"/>
        <v>0.51101717682131487</v>
      </c>
      <c r="Y526" s="173">
        <f t="shared" si="1203"/>
        <v>0.10546494192346734</v>
      </c>
      <c r="Z526" s="794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4">
        <v>2582.14</v>
      </c>
      <c r="D527" s="170">
        <f t="shared" si="1727"/>
        <v>1.2757624522558365E-3</v>
      </c>
      <c r="E527" s="208">
        <f t="shared" ref="E527" si="1737">(C527-$C$2)/$C$2</f>
        <v>0.22816346720952788</v>
      </c>
      <c r="F527" s="218">
        <v>6790.71</v>
      </c>
      <c r="G527" s="170">
        <f t="shared" si="1729"/>
        <v>1.1676610952130425E-3</v>
      </c>
      <c r="H527" s="202">
        <f t="shared" si="1730"/>
        <v>0.33368226721919991</v>
      </c>
      <c r="I527" s="220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1">
        <f t="shared" ref="M527" si="1738">I527-J527</f>
        <v>17244.770000000019</v>
      </c>
      <c r="N527" s="183">
        <f t="shared" ref="N527" si="1739">M527/J527</f>
        <v>5.7482566666666728E-2</v>
      </c>
      <c r="O527" s="182">
        <f t="shared" si="1657"/>
        <v>2.5418289921307534E-2</v>
      </c>
      <c r="P527" s="181" t="b">
        <f t="shared" ref="P527" si="1740">L527&gt;D527</f>
        <v>0</v>
      </c>
      <c r="Q527" s="183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3">
        <f>STDEV(D$2:D527)*SQRT(252)</f>
        <v>0.13753448250442588</v>
      </c>
      <c r="W527" s="183">
        <f>STDEV(L$2:L527)*SQRT(252)</f>
        <v>0.29587683509559043</v>
      </c>
      <c r="X527" s="173">
        <f t="shared" si="1202"/>
        <v>0.4179502159745061</v>
      </c>
      <c r="Y527" s="173">
        <f t="shared" si="1203"/>
        <v>8.5908347346947647E-2</v>
      </c>
      <c r="Z527" s="794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4">
        <v>2599.0300000000002</v>
      </c>
      <c r="D528" s="170">
        <f t="shared" si="1727"/>
        <v>6.5410860758906677E-3</v>
      </c>
      <c r="E528" s="208">
        <f t="shared" ref="E528" si="1743">(C528-$C$2)/$C$2</f>
        <v>0.23619699016380974</v>
      </c>
      <c r="F528" s="218">
        <v>6862.47</v>
      </c>
      <c r="G528" s="170">
        <f t="shared" si="1729"/>
        <v>1.0567378079758997E-2</v>
      </c>
      <c r="H528" s="202">
        <f t="shared" si="1730"/>
        <v>0.34777579197517539</v>
      </c>
      <c r="I528" s="220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1">
        <f t="shared" ref="M528" si="1744">I528-J528</f>
        <v>14456.469999999972</v>
      </c>
      <c r="N528" s="183">
        <f t="shared" ref="N528" si="1745">M528/J528</f>
        <v>4.818823333333324E-2</v>
      </c>
      <c r="O528" s="182">
        <f t="shared" si="1657"/>
        <v>2.1282650816203105E-2</v>
      </c>
      <c r="P528" s="181" t="b">
        <f t="shared" ref="P528" si="1746">L528&gt;D528</f>
        <v>0</v>
      </c>
      <c r="Q528" s="183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3">
        <f>STDEV(D$2:D528)*SQRT(252)</f>
        <v>0.1374685486648749</v>
      </c>
      <c r="W528" s="183">
        <f>STDEV(L$2:L528)*SQRT(252)</f>
        <v>0.29566388479473038</v>
      </c>
      <c r="X528" s="173">
        <f t="shared" si="1202"/>
        <v>0.35054006026358808</v>
      </c>
      <c r="Y528" s="173">
        <f t="shared" si="1203"/>
        <v>7.1982585329888854E-2</v>
      </c>
      <c r="Z528" s="794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4">
        <v>2597.08</v>
      </c>
      <c r="D529" s="170">
        <f t="shared" si="1727"/>
        <v>-7.5027991212116545E-4</v>
      </c>
      <c r="E529" s="208">
        <f t="shared" ref="E529" si="1749">(C529-$C$2)/$C$2</f>
        <v>0.23526949639466518</v>
      </c>
      <c r="F529" s="218">
        <v>6867.36</v>
      </c>
      <c r="G529" s="170">
        <f t="shared" si="1729"/>
        <v>7.1257142107716582E-4</v>
      </c>
      <c r="H529" s="202">
        <f t="shared" si="1730"/>
        <v>0.34873617848655653</v>
      </c>
      <c r="I529" s="220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1">
        <f t="shared" ref="M529" si="1750">I529-J529</f>
        <v>18417.020000000019</v>
      </c>
      <c r="N529" s="183">
        <f t="shared" ref="N529" si="1751">M529/J529</f>
        <v>6.1390066666666729E-2</v>
      </c>
      <c r="O529" s="182">
        <f t="shared" si="1657"/>
        <v>2.7080581944444473E-2</v>
      </c>
      <c r="P529" s="181" t="b">
        <f t="shared" ref="P529" si="1752">L529&gt;D529</f>
        <v>1</v>
      </c>
      <c r="Q529" s="183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3">
        <f>STDEV(D$2:D529)*SQRT(252)</f>
        <v>0.13734028165816675</v>
      </c>
      <c r="W529" s="183">
        <f>STDEV(L$2:L529)*SQRT(252)</f>
        <v>0.29550266839423467</v>
      </c>
      <c r="X529" s="173">
        <f t="shared" si="1202"/>
        <v>0.44699243314109116</v>
      </c>
      <c r="Y529" s="173">
        <f t="shared" si="1203"/>
        <v>9.1642427770959586E-2</v>
      </c>
      <c r="Z529" s="794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4">
        <v>2602.42</v>
      </c>
      <c r="D530" s="170">
        <f t="shared" si="1727"/>
        <v>2.0561553744975689E-3</v>
      </c>
      <c r="E530" s="208">
        <f t="shared" ref="E530" si="1755">(C530-$C$2)/$C$2</f>
        <v>0.23780940240862997</v>
      </c>
      <c r="F530" s="218">
        <v>6889.16</v>
      </c>
      <c r="G530" s="170">
        <f t="shared" si="1729"/>
        <v>3.1744367559004018E-3</v>
      </c>
      <c r="H530" s="202">
        <f t="shared" si="1730"/>
        <v>0.35301765618555692</v>
      </c>
      <c r="I530" s="220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1">
        <f t="shared" ref="M530" si="1756">I530-J530</f>
        <v>19044.729999999981</v>
      </c>
      <c r="N530" s="183">
        <f t="shared" ref="N530" si="1757">M530/J530</f>
        <v>6.3482433333333269E-2</v>
      </c>
      <c r="O530" s="182">
        <f t="shared" si="1657"/>
        <v>2.7936094909638529E-2</v>
      </c>
      <c r="P530" s="181" t="b">
        <f t="shared" ref="P530" si="1758">L530&gt;D530</f>
        <v>0</v>
      </c>
      <c r="Q530" s="183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3">
        <f>STDEV(D$2:D530)*SQRT(252)</f>
        <v>0.13721446818561206</v>
      </c>
      <c r="W530" s="183">
        <f>STDEV(L$2:L530)*SQRT(252)</f>
        <v>0.29522406153940112</v>
      </c>
      <c r="X530" s="173">
        <f t="shared" si="1202"/>
        <v>0.46265116334131495</v>
      </c>
      <c r="Y530" s="173">
        <f t="shared" si="1203"/>
        <v>9.4626754892436604E-2</v>
      </c>
      <c r="Z530" s="794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4">
        <v>2601.42</v>
      </c>
      <c r="D531" s="170">
        <f t="shared" si="1727"/>
        <v>-3.8425772934422574E-4</v>
      </c>
      <c r="E531" s="208">
        <f t="shared" ref="E531" si="1761">(C531-$C$2)/$C$2</f>
        <v>0.23733376457829949</v>
      </c>
      <c r="F531" s="218">
        <v>6878.52</v>
      </c>
      <c r="G531" s="170">
        <f t="shared" si="1729"/>
        <v>-1.5444553472410887E-3</v>
      </c>
      <c r="H531" s="202">
        <f t="shared" si="1730"/>
        <v>0.35092798083154952</v>
      </c>
      <c r="I531" s="220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1">
        <f t="shared" ref="M531" si="1762">I531-J531</f>
        <v>16554.359999999986</v>
      </c>
      <c r="N531" s="183">
        <f t="shared" ref="N531" si="1763">M531/J531</f>
        <v>5.5181199999999951E-2</v>
      </c>
      <c r="O531" s="182">
        <f t="shared" si="1657"/>
        <v>2.4195598199279689E-2</v>
      </c>
      <c r="P531" s="181" t="b">
        <f t="shared" ref="P531" si="1764">L531&gt;D531</f>
        <v>0</v>
      </c>
      <c r="Q531" s="183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3">
        <f>STDEV(D$2:D531)*SQRT(252)</f>
        <v>0.13708565300302389</v>
      </c>
      <c r="W531" s="183">
        <f>STDEV(L$2:L531)*SQRT(252)</f>
        <v>0.29499933504599252</v>
      </c>
      <c r="X531" s="173">
        <f t="shared" si="1202"/>
        <v>0.40253081771279697</v>
      </c>
      <c r="Y531" s="173">
        <f t="shared" si="1203"/>
        <v>8.2019161824576386E-2</v>
      </c>
      <c r="Z531" s="794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4">
        <v>2627.04</v>
      </c>
      <c r="D532" s="170">
        <f t="shared" si="1727"/>
        <v>9.8484673755102562E-3</v>
      </c>
      <c r="E532" s="208">
        <f t="shared" ref="E532" si="1767">(C532-$C$2)/$C$2</f>
        <v>0.24951960579136617</v>
      </c>
      <c r="F532" s="218">
        <v>6912.35</v>
      </c>
      <c r="G532" s="170">
        <f t="shared" si="1729"/>
        <v>4.9182091496426444E-3</v>
      </c>
      <c r="H532" s="202">
        <f t="shared" ref="H532" si="1768">(F532-F$2)/F$2</f>
        <v>0.35757212718738351</v>
      </c>
      <c r="I532" s="220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1">
        <f t="shared" ref="M532" si="1770">I532-J532</f>
        <v>20874.510000000009</v>
      </c>
      <c r="N532" s="183">
        <f t="shared" ref="N532" si="1771">M532/J532</f>
        <v>6.9581700000000038E-2</v>
      </c>
      <c r="O532" s="182">
        <f t="shared" si="1657"/>
        <v>3.0473280485611525E-2</v>
      </c>
      <c r="P532" s="181" t="b">
        <f t="shared" ref="P532" si="1772">L532&gt;D532</f>
        <v>1</v>
      </c>
      <c r="Q532" s="183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3">
        <f>STDEV(D$2:D532)*SQRT(252)</f>
        <v>0.13710959839796619</v>
      </c>
      <c r="W532" s="183">
        <f>STDEV(L$2:L532)*SQRT(252)</f>
        <v>0.29486126793955258</v>
      </c>
      <c r="X532" s="173">
        <f t="shared" si="1202"/>
        <v>0.50748963466464492</v>
      </c>
      <c r="Y532" s="173">
        <f t="shared" si="1203"/>
        <v>0.10334785812512559</v>
      </c>
      <c r="Z532" s="794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4">
        <v>2626.07</v>
      </c>
      <c r="D533" s="170">
        <f t="shared" si="1727"/>
        <v>-3.6923685973559592E-4</v>
      </c>
      <c r="E533" s="208">
        <f t="shared" ref="E533" si="1775">(C533-$C$2)/$C$2</f>
        <v>0.24905823709594571</v>
      </c>
      <c r="F533" s="218">
        <v>6824.38</v>
      </c>
      <c r="G533" s="170">
        <f t="shared" si="1729"/>
        <v>-1.2726496777506962E-2</v>
      </c>
      <c r="H533" s="202">
        <f t="shared" ref="H533" si="1776">(F533-F$2)/F$2</f>
        <v>0.3402949898855</v>
      </c>
      <c r="I533" s="220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1">
        <f t="shared" ref="M533" si="1778">I533-J533</f>
        <v>25656.669999999984</v>
      </c>
      <c r="N533" s="183">
        <f t="shared" ref="N533" si="1779">M533/J533</f>
        <v>8.5522233333333281E-2</v>
      </c>
      <c r="O533" s="182">
        <f t="shared" si="1657"/>
        <v>3.7409575718562849E-2</v>
      </c>
      <c r="P533" s="181" t="b">
        <f t="shared" ref="P533" si="1780">L533&gt;D533</f>
        <v>1</v>
      </c>
      <c r="Q533" s="183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3">
        <f>STDEV(D$2:D533)*SQRT(252)</f>
        <v>0.13698137278007791</v>
      </c>
      <c r="W533" s="183">
        <f>STDEV(L$2:L533)*SQRT(252)</f>
        <v>0.29475108064348648</v>
      </c>
      <c r="X533" s="173">
        <f t="shared" si="1202"/>
        <v>0.62433476608997263</v>
      </c>
      <c r="Y533" s="173">
        <f t="shared" si="1203"/>
        <v>0.12691921480624277</v>
      </c>
      <c r="Z533" s="794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4">
        <v>2647.58</v>
      </c>
      <c r="D534" s="170">
        <f t="shared" si="1727"/>
        <v>8.1909469282996118E-3</v>
      </c>
      <c r="E534" s="208">
        <f t="shared" ref="E534:E535" si="1783">(C534-$C$2)/$C$2</f>
        <v>0.25928920682635409</v>
      </c>
      <c r="F534" s="218">
        <v>6873.97</v>
      </c>
      <c r="G534" s="170">
        <f t="shared" si="1729"/>
        <v>7.2665941814494713E-3</v>
      </c>
      <c r="H534" s="202">
        <f t="shared" ref="H534:H535" si="1784">(F534-F$2)/F$2</f>
        <v>0.35003436966042784</v>
      </c>
      <c r="I534" s="465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5">
        <f t="shared" ref="M534:M535" si="1786">I534-J534</f>
        <v>29885.270000000019</v>
      </c>
      <c r="N534" s="183">
        <f t="shared" ref="N534:N535" si="1787">M534/J534</f>
        <v>9.9617566666666726E-2</v>
      </c>
      <c r="O534" s="182">
        <f t="shared" si="1657"/>
        <v>4.3523105532296678E-2</v>
      </c>
      <c r="P534" s="181" t="b">
        <f t="shared" ref="P534:P535" si="1788">L534&gt;D534</f>
        <v>1</v>
      </c>
      <c r="Q534" s="183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3">
        <f>STDEV(D$2:D534)*SQRT(252)</f>
        <v>0.13695583195186545</v>
      </c>
      <c r="W534" s="183">
        <f>STDEV(L$2:L534)*SQRT(252)</f>
        <v>0.29459910800633998</v>
      </c>
      <c r="X534" s="173">
        <f t="shared" si="1202"/>
        <v>0.72737002321798427</v>
      </c>
      <c r="Y534" s="173">
        <f t="shared" si="1203"/>
        <v>0.14773671864396828</v>
      </c>
      <c r="Z534" s="794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4">
        <v>2642.22</v>
      </c>
      <c r="D535" s="170">
        <f t="shared" si="1727"/>
        <v>-2.0244902892453212E-3</v>
      </c>
      <c r="E535" s="208">
        <f t="shared" si="1783"/>
        <v>0.25673978805578268</v>
      </c>
      <c r="F535" s="218">
        <v>6847.58</v>
      </c>
      <c r="G535" s="170">
        <f t="shared" si="1729"/>
        <v>-3.839120624617263E-3</v>
      </c>
      <c r="H535" s="202">
        <f t="shared" si="1784"/>
        <v>0.34485142486792236</v>
      </c>
      <c r="I535" s="220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1">
        <f t="shared" si="1786"/>
        <v>30901.760000000009</v>
      </c>
      <c r="N535" s="183">
        <f t="shared" si="1787"/>
        <v>0.1030058666666667</v>
      </c>
      <c r="O535" s="182">
        <f t="shared" si="1657"/>
        <v>4.4949692712066919E-2</v>
      </c>
      <c r="P535" s="181" t="b">
        <f t="shared" si="1788"/>
        <v>1</v>
      </c>
      <c r="Q535" s="183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3">
        <f>STDEV(D$2:D535)*SQRT(252)</f>
        <v>0.13683780831243603</v>
      </c>
      <c r="W535" s="183">
        <f>STDEV(L$2:L535)*SQRT(252)</f>
        <v>0.29432742820874164</v>
      </c>
      <c r="X535" s="173">
        <f t="shared" si="1202"/>
        <v>0.75275881671151679</v>
      </c>
      <c r="Y535" s="173">
        <f t="shared" si="1203"/>
        <v>0.15272002675940854</v>
      </c>
      <c r="Z535" s="794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4">
        <v>2639.44</v>
      </c>
      <c r="D536" s="170">
        <f t="shared" ref="D536" si="1791">(C536-C535)/C535</f>
        <v>-1.0521455442770646E-3</v>
      </c>
      <c r="E536" s="208">
        <f t="shared" ref="E536" si="1792">(C536-$C$2)/$C$2</f>
        <v>0.25541751488746406</v>
      </c>
      <c r="F536" s="218">
        <v>6775.36</v>
      </c>
      <c r="G536" s="170">
        <f t="shared" ref="G536" si="1793">(F536-F535)/F535</f>
        <v>-1.0546791713276845E-2</v>
      </c>
      <c r="H536" s="202">
        <f t="shared" ref="H536" si="1794">(F536-F$2)/F$2</f>
        <v>0.33066755700453676</v>
      </c>
      <c r="I536" s="220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1">
        <f t="shared" ref="M536" si="1797">I536-J536</f>
        <v>32631.359999999986</v>
      </c>
      <c r="N536" s="183">
        <f t="shared" ref="N536" si="1798">M536/J536</f>
        <v>0.10877119999999996</v>
      </c>
      <c r="O536" s="182">
        <f t="shared" si="1657"/>
        <v>4.7296048571428558E-2</v>
      </c>
      <c r="P536" s="181" t="b">
        <f t="shared" ref="P536" si="1799">L536&gt;D536</f>
        <v>1</v>
      </c>
      <c r="Q536" s="183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3">
        <f>STDEV(D$2:D536)*SQRT(252)</f>
        <v>0.13671335945296428</v>
      </c>
      <c r="W536" s="183">
        <f>STDEV(L$2:L536)*SQRT(252)</f>
        <v>0.29406904488179125</v>
      </c>
      <c r="X536" s="173">
        <f t="shared" si="1202"/>
        <v>0.79561500379501882</v>
      </c>
      <c r="Y536" s="173">
        <f t="shared" si="1203"/>
        <v>0.16083314240177998</v>
      </c>
      <c r="Z536" s="794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4">
        <v>2629.57</v>
      </c>
      <c r="D537" s="170">
        <f t="shared" ref="D537:D543" si="1802">(C537-C536)/C536</f>
        <v>-3.7394295759706191E-3</v>
      </c>
      <c r="E537" s="208">
        <f t="shared" ref="E537" si="1803">(C537-$C$2)/$C$2</f>
        <v>0.25072296950210238</v>
      </c>
      <c r="F537" s="218">
        <v>6762.21</v>
      </c>
      <c r="G537" s="170">
        <f t="shared" ref="G537:G543" si="1804">(F537-F536)/F536</f>
        <v>-1.9408562792234858E-3</v>
      </c>
      <c r="H537" s="202">
        <f t="shared" ref="H537:H542" si="1805">(F537-F$2)/F$2</f>
        <v>0.32808492252096555</v>
      </c>
      <c r="I537" s="220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1">
        <f t="shared" ref="M537" si="1808">I537-J537</f>
        <v>31089.059999999998</v>
      </c>
      <c r="N537" s="183">
        <f t="shared" ref="N537" si="1809">M537/J537</f>
        <v>0.10363019999999999</v>
      </c>
      <c r="O537" s="182">
        <f t="shared" si="1657"/>
        <v>4.5007051783590962E-2</v>
      </c>
      <c r="P537" s="181" t="b">
        <f t="shared" ref="P537" si="1810">L537&gt;D537</f>
        <v>0</v>
      </c>
      <c r="Q537" s="183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3">
        <f>STDEV(D$2:D537)*SQRT(252)</f>
        <v>0.13661573923542011</v>
      </c>
      <c r="W537" s="183">
        <f>STDEV(L$2:L537)*SQRT(252)</f>
        <v>0.29381487860209421</v>
      </c>
      <c r="X537" s="173">
        <f t="shared" si="1202"/>
        <v>0.75855242287582614</v>
      </c>
      <c r="Y537" s="173">
        <f t="shared" si="1203"/>
        <v>0.15318166322183716</v>
      </c>
      <c r="Z537" s="794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4">
        <v>2629.27</v>
      </c>
      <c r="D538" s="170">
        <f t="shared" si="1802"/>
        <v>-1.1408709408769566E-4</v>
      </c>
      <c r="E538" s="208">
        <f t="shared" ref="E538" si="1813">(C538-$C$2)/$C$2</f>
        <v>0.25058027815300316</v>
      </c>
      <c r="F538" s="218">
        <v>6776.37</v>
      </c>
      <c r="G538" s="170">
        <f t="shared" si="1804"/>
        <v>2.0939899825648499E-3</v>
      </c>
      <c r="H538" s="202">
        <f t="shared" si="1805"/>
        <v>0.33086591904471985</v>
      </c>
      <c r="I538" s="220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1">
        <f t="shared" ref="M538" si="1814">I538-J538</f>
        <v>27613.659999999974</v>
      </c>
      <c r="N538" s="183">
        <f t="shared" ref="N538" si="1815">M538/J538</f>
        <v>9.2045533333333249E-2</v>
      </c>
      <c r="O538" s="182">
        <f t="shared" si="1657"/>
        <v>3.9928302909738686E-2</v>
      </c>
      <c r="P538" s="181" t="b">
        <f t="shared" ref="P538" si="1816">L538&gt;D538</f>
        <v>0</v>
      </c>
      <c r="Q538" s="183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3">
        <f>STDEV(D$2:D538)*SQRT(252)</f>
        <v>0.13648855933627946</v>
      </c>
      <c r="W538" s="183">
        <f>STDEV(L$2:L538)*SQRT(252)</f>
        <v>0.29363715283343611</v>
      </c>
      <c r="X538" s="173">
        <f t="shared" si="1202"/>
        <v>0.67438277450458084</v>
      </c>
      <c r="Y538" s="173">
        <f t="shared" si="1203"/>
        <v>0.13597837509474753</v>
      </c>
      <c r="Z538" s="794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4">
        <v>2636.98</v>
      </c>
      <c r="D539" s="170">
        <f t="shared" si="1802"/>
        <v>2.9323728639508444E-3</v>
      </c>
      <c r="E539" s="208">
        <f t="shared" ref="E539" si="1818">(C539-$C$2)/$C$2</f>
        <v>0.25424744582485109</v>
      </c>
      <c r="F539" s="218">
        <v>6812.84</v>
      </c>
      <c r="G539" s="170">
        <f t="shared" si="1804"/>
        <v>5.3819375270240935E-3</v>
      </c>
      <c r="H539" s="202">
        <f t="shared" si="1805"/>
        <v>0.33802855627786405</v>
      </c>
      <c r="I539" s="220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1">
        <f t="shared" ref="M539" si="1819">I539-J539</f>
        <v>29288.359999999986</v>
      </c>
      <c r="N539" s="183">
        <f t="shared" ref="N539" si="1820">M539/J539</f>
        <v>0.10099434482758615</v>
      </c>
      <c r="O539" s="182">
        <f t="shared" si="1657"/>
        <v>4.3758225917290443E-2</v>
      </c>
      <c r="P539" s="181" t="b">
        <f t="shared" ref="P539" si="1821">L539&gt;D539</f>
        <v>1</v>
      </c>
      <c r="Q539" s="183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3">
        <f>STDEV(D$2:D539)*SQRT(252)</f>
        <v>0.13637174643805675</v>
      </c>
      <c r="W539" s="183">
        <f>STDEV(L$2:L539)*SQRT(252)</f>
        <v>0.29338020197975673</v>
      </c>
      <c r="X539" s="173">
        <f t="shared" ref="X539:X597" si="1823">N539/V539</f>
        <v>0.74058115016852233</v>
      </c>
      <c r="Y539" s="173">
        <f t="shared" ref="Y539:Y564" si="1824">O539/W539</f>
        <v>0.14915193875389643</v>
      </c>
      <c r="Z539" s="794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4">
        <v>2651.5</v>
      </c>
      <c r="D540" s="170">
        <f t="shared" si="1802"/>
        <v>5.5062988721947008E-3</v>
      </c>
      <c r="E540" s="208">
        <f t="shared" ref="E540" si="1826">(C540-$C$2)/$C$2</f>
        <v>0.26115370712124958</v>
      </c>
      <c r="F540" s="218">
        <v>6840.8</v>
      </c>
      <c r="G540" s="170">
        <f t="shared" si="1804"/>
        <v>4.1040153592334528E-3</v>
      </c>
      <c r="H540" s="202">
        <f t="shared" si="1805"/>
        <v>0.34351984602392138</v>
      </c>
      <c r="I540" s="220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1">
        <f t="shared" ref="M540" si="1827">I540-J540</f>
        <v>32861.359999999986</v>
      </c>
      <c r="N540" s="183">
        <f t="shared" ref="N540" si="1828">M540/J540</f>
        <v>0.11331503448275858</v>
      </c>
      <c r="O540" s="182">
        <f t="shared" si="1657"/>
        <v>4.9038289508089535E-2</v>
      </c>
      <c r="P540" s="181" t="b">
        <f t="shared" ref="P540" si="1829">L540&gt;D540</f>
        <v>1</v>
      </c>
      <c r="Q540" s="183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3">
        <f>STDEV(D$2:D540)*SQRT(252)</f>
        <v>0.13628850101154497</v>
      </c>
      <c r="W540" s="183">
        <f>STDEV(L$2:L540)*SQRT(252)</f>
        <v>0.2931982547993664</v>
      </c>
      <c r="X540" s="173">
        <f t="shared" si="1823"/>
        <v>0.83143503407642361</v>
      </c>
      <c r="Y540" s="173">
        <f t="shared" si="1824"/>
        <v>0.16725300613281655</v>
      </c>
      <c r="Z540" s="794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4">
        <v>2659.99</v>
      </c>
      <c r="D541" s="170">
        <f t="shared" si="1802"/>
        <v>3.2019611540636552E-3</v>
      </c>
      <c r="E541" s="208">
        <f t="shared" ref="E541" si="1831">(C541-$C$2)/$C$2</f>
        <v>0.26519187230075519</v>
      </c>
      <c r="F541" s="218">
        <v>6875.07</v>
      </c>
      <c r="G541" s="170">
        <f t="shared" si="1804"/>
        <v>5.0096479943865522E-3</v>
      </c>
      <c r="H541" s="202">
        <f t="shared" si="1805"/>
        <v>0.35025040752597364</v>
      </c>
      <c r="I541" s="220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1">
        <f t="shared" ref="M541" si="1832">I541-J541</f>
        <v>32942.159999999974</v>
      </c>
      <c r="N541" s="183">
        <f t="shared" ref="N541" si="1833">M541/J541</f>
        <v>0.11359365517241371</v>
      </c>
      <c r="O541" s="182">
        <f t="shared" si="1657"/>
        <v>4.8984749175589266E-2</v>
      </c>
      <c r="P541" s="181" t="b">
        <f t="shared" ref="P541" si="1834">L541&gt;D541</f>
        <v>0</v>
      </c>
      <c r="Q541" s="183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3">
        <f>STDEV(D$2:D541)*SQRT(252)</f>
        <v>0.13617461101801917</v>
      </c>
      <c r="W541" s="183">
        <f>STDEV(L$2:L541)*SQRT(252)</f>
        <v>0.29292569594123619</v>
      </c>
      <c r="X541" s="173">
        <f t="shared" si="1823"/>
        <v>0.83417646155334013</v>
      </c>
      <c r="Y541" s="173">
        <f t="shared" si="1824"/>
        <v>0.16722585233838994</v>
      </c>
      <c r="Z541" s="794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4">
        <v>2664.11</v>
      </c>
      <c r="D542" s="170">
        <f t="shared" si="1802"/>
        <v>1.5488780033008943E-3</v>
      </c>
      <c r="E542" s="208">
        <f t="shared" ref="E542" si="1837">(C542-$C$2)/$C$2</f>
        <v>0.2671515001617169</v>
      </c>
      <c r="F542" s="218">
        <v>6862.31</v>
      </c>
      <c r="G542" s="170">
        <f t="shared" si="1804"/>
        <v>-1.8559811027377626E-3</v>
      </c>
      <c r="H542" s="202">
        <f t="shared" si="1805"/>
        <v>0.34774436828564148</v>
      </c>
      <c r="I542" s="220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1">
        <f t="shared" ref="M542" si="1838">I542-J542</f>
        <v>33980.06</v>
      </c>
      <c r="N542" s="183">
        <f t="shared" ref="N542" si="1839">M542/J542</f>
        <v>0.11717262068965516</v>
      </c>
      <c r="O542" s="182">
        <f t="shared" si="1657"/>
        <v>5.0468513805302533E-2</v>
      </c>
      <c r="P542" s="181" t="b">
        <f t="shared" ref="P542" si="1840">L542&gt;D542</f>
        <v>1</v>
      </c>
      <c r="Q542" s="183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3">
        <f>STDEV(D$2:D542)*SQRT(252)</f>
        <v>0.13605021547233165</v>
      </c>
      <c r="W542" s="183">
        <f>STDEV(L$2:L542)*SQRT(252)</f>
        <v>0.29265963822651819</v>
      </c>
      <c r="X542" s="173">
        <f t="shared" si="1823"/>
        <v>0.86124538857113675</v>
      </c>
      <c r="Y542" s="173">
        <f t="shared" si="1824"/>
        <v>0.17244781040233489</v>
      </c>
      <c r="Z542" s="794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4">
        <v>2662.85</v>
      </c>
      <c r="D543" s="170">
        <f t="shared" si="1802"/>
        <v>-4.7295344411462672E-4</v>
      </c>
      <c r="E543" s="208">
        <f t="shared" ref="E543" si="1843">(C543-$C$2)/$C$2</f>
        <v>0.26655219649550038</v>
      </c>
      <c r="F543" s="218">
        <v>6875.79</v>
      </c>
      <c r="G543" s="170">
        <f t="shared" si="1804"/>
        <v>1.9643531114157714E-3</v>
      </c>
      <c r="H543" s="202">
        <f t="shared" ref="H543" si="1844">(F543-F$2)/F$2</f>
        <v>0.35039181412887643</v>
      </c>
      <c r="I543" s="220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1">
        <f t="shared" ref="M543" si="1847">I543-J543</f>
        <v>34790.590000000026</v>
      </c>
      <c r="N543" s="183">
        <f t="shared" ref="N543" si="1848">M543/J543</f>
        <v>0.11996755172413802</v>
      </c>
      <c r="O543" s="182">
        <f t="shared" si="1657"/>
        <v>5.1611482057999307E-2</v>
      </c>
      <c r="P543" s="181" t="b">
        <f t="shared" ref="P543" si="1849">L543&gt;D543</f>
        <v>1</v>
      </c>
      <c r="Q543" s="183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3">
        <f>STDEV(D$2:D543)*SQRT(252)</f>
        <v>0.13592572490380506</v>
      </c>
      <c r="W543" s="183">
        <f>STDEV(L$2:L543)*SQRT(252)</f>
        <v>0.29239165383062016</v>
      </c>
      <c r="X543" s="173">
        <f t="shared" si="1823"/>
        <v>0.88259637246032219</v>
      </c>
      <c r="Y543" s="173">
        <f t="shared" si="1824"/>
        <v>0.17651489494258057</v>
      </c>
      <c r="Z543" s="794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4">
        <v>2652.01</v>
      </c>
      <c r="D544" s="170">
        <f t="shared" ref="D544" si="1852">(C544-C543)/C543</f>
        <v>-4.070826370242293E-3</v>
      </c>
      <c r="E544" s="208">
        <f t="shared" ref="E544" si="1853">(C544-$C$2)/$C$2</f>
        <v>0.26139628241471818</v>
      </c>
      <c r="F544" s="218">
        <v>6856.52</v>
      </c>
      <c r="G544" s="170">
        <f t="shared" ref="G544" si="1854">(F544-F543)/F543</f>
        <v>-2.8025870481791222E-3</v>
      </c>
      <c r="H544" s="202">
        <f t="shared" ref="H544" si="1855">(F544-F$2)/F$2</f>
        <v>0.34660722352063172</v>
      </c>
      <c r="I544" s="220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1">
        <f t="shared" ref="M544" si="1858">I544-J544</f>
        <v>32223.390000000014</v>
      </c>
      <c r="N544" s="183">
        <f t="shared" ref="N544" si="1859">M544/J544</f>
        <v>0.11111513793103453</v>
      </c>
      <c r="O544" s="182">
        <f t="shared" si="1657"/>
        <v>4.7746828387423952E-2</v>
      </c>
      <c r="P544" s="181" t="b">
        <f t="shared" ref="P544" si="1860">L544&gt;D544</f>
        <v>0</v>
      </c>
      <c r="Q544" s="183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3">
        <f>STDEV(D$2:D544)*SQRT(252)</f>
        <v>0.1358353877857523</v>
      </c>
      <c r="W544" s="183">
        <f>STDEV(L$2:L544)*SQRT(252)</f>
        <v>0.29217784159777338</v>
      </c>
      <c r="X544" s="173">
        <f t="shared" si="1823"/>
        <v>0.81801318303218584</v>
      </c>
      <c r="Y544" s="173">
        <f t="shared" si="1824"/>
        <v>0.163417007006146</v>
      </c>
      <c r="Z544" s="794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4">
        <v>2675.81</v>
      </c>
      <c r="D545" s="170">
        <f t="shared" ref="D545" si="1863">(C545-C544)/C544</f>
        <v>8.9743251345205059E-3</v>
      </c>
      <c r="E545" s="208">
        <f t="shared" ref="E545" si="1864">(C545-$C$2)/$C$2</f>
        <v>0.27271646277658335</v>
      </c>
      <c r="F545" s="218">
        <v>6936.58</v>
      </c>
      <c r="G545" s="170">
        <f t="shared" ref="G545" si="1865">(F545-F544)/F544</f>
        <v>1.1676477280019526E-2</v>
      </c>
      <c r="H545" s="202">
        <f t="shared" ref="H545" si="1866">(F545-F$2)/F$2</f>
        <v>0.36233085217118061</v>
      </c>
      <c r="I545" s="220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1">
        <f t="shared" ref="M545" si="1869">I545-J545</f>
        <v>33833.19</v>
      </c>
      <c r="N545" s="183">
        <f t="shared" ref="N545" si="1870">M545/J545</f>
        <v>0.11666617241379311</v>
      </c>
      <c r="O545" s="182">
        <f t="shared" si="1657"/>
        <v>5.0073230874427652E-2</v>
      </c>
      <c r="P545" s="181" t="b">
        <f t="shared" ref="P545" si="1871">L545&gt;D545</f>
        <v>0</v>
      </c>
      <c r="Q545" s="183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3">
        <f>STDEV(D$2:D545)*SQRT(252)</f>
        <v>0.13583377183481007</v>
      </c>
      <c r="W545" s="183">
        <f>STDEV(L$2:L545)*SQRT(252)</f>
        <v>0.29192417621615652</v>
      </c>
      <c r="X545" s="173">
        <f t="shared" si="1823"/>
        <v>0.85888929415633819</v>
      </c>
      <c r="Y545" s="173">
        <f t="shared" si="1824"/>
        <v>0.17152820819249553</v>
      </c>
      <c r="Z545" s="794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4">
        <v>2690.16</v>
      </c>
      <c r="D546" s="170">
        <f t="shared" ref="D546" si="1874">(C546-C545)/C545</f>
        <v>5.3628620866204664E-3</v>
      </c>
      <c r="E546" s="208">
        <f t="shared" ref="E546" si="1875">(C546-$C$2)/$C$2</f>
        <v>0.27954186564182559</v>
      </c>
      <c r="F546" s="218">
        <v>6994.75</v>
      </c>
      <c r="G546" s="170">
        <f t="shared" ref="G546" si="1876">(F546-F545)/F545</f>
        <v>8.3859769511776799E-3</v>
      </c>
      <c r="H546" s="202">
        <f t="shared" ref="H546" si="1877">(F546-F$2)/F$2</f>
        <v>0.37375532729736632</v>
      </c>
      <c r="I546" s="220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1">
        <f t="shared" ref="M546" si="1880">I546-J546</f>
        <v>38097.890000000014</v>
      </c>
      <c r="N546" s="183">
        <f t="shared" ref="N546" si="1881">M546/J546</f>
        <v>0.13137203448275867</v>
      </c>
      <c r="O546" s="182">
        <f t="shared" si="1657"/>
        <v>5.6186926926027642E-2</v>
      </c>
      <c r="P546" s="181" t="b">
        <f t="shared" ref="P546" si="1882">L546&gt;D546</f>
        <v>1</v>
      </c>
      <c r="Q546" s="183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3">
        <f>STDEV(D$2:D546)*SQRT(252)</f>
        <v>0.13574931194663536</v>
      </c>
      <c r="W546" s="183">
        <f>STDEV(L$2:L546)*SQRT(252)</f>
        <v>0.29178232228521001</v>
      </c>
      <c r="X546" s="173">
        <f t="shared" si="1823"/>
        <v>0.96775469870817865</v>
      </c>
      <c r="Y546" s="173">
        <f t="shared" si="1824"/>
        <v>0.19256453401966658</v>
      </c>
      <c r="Z546" s="794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4">
        <v>2681.47</v>
      </c>
      <c r="D547" s="170">
        <f t="shared" ref="D547" si="1886">(C547-C546)/C546</f>
        <v>-3.2302911350997913E-3</v>
      </c>
      <c r="E547" s="208">
        <f t="shared" ref="E547" si="1887">(C547-$C$2)/$C$2</f>
        <v>0.27540857289625376</v>
      </c>
      <c r="F547" s="218">
        <v>6963.85</v>
      </c>
      <c r="G547" s="170">
        <f t="shared" ref="G547" si="1888">(F547-F546)/F546</f>
        <v>-4.4175989134707652E-3</v>
      </c>
      <c r="H547" s="202">
        <f t="shared" ref="H547" si="1889">(F547-F$2)/F$2</f>
        <v>0.36768662725612283</v>
      </c>
      <c r="I547" s="220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1">
        <f t="shared" ref="M547" si="1892">I547-J547</f>
        <v>40798.900000000023</v>
      </c>
      <c r="N547" s="183">
        <f t="shared" ref="N547" si="1893">M547/J547</f>
        <v>0.14068586206896561</v>
      </c>
      <c r="O547" s="182">
        <f t="shared" ref="O547" si="1894">N547/(A547/365.25)</f>
        <v>6.0100013006654608E-2</v>
      </c>
      <c r="P547" s="181" t="b">
        <f t="shared" ref="P547" si="1895">L547&gt;D547</f>
        <v>1</v>
      </c>
      <c r="Q547" s="183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3">
        <f>STDEV(D$2:D547)*SQRT(252)</f>
        <v>0.13564807194101525</v>
      </c>
      <c r="W547" s="183">
        <f>STDEV(L$2:L547)*SQRT(252)</f>
        <v>0.29156092168419684</v>
      </c>
      <c r="X547" s="173">
        <f t="shared" si="1823"/>
        <v>1.0371386784630523</v>
      </c>
      <c r="Y547" s="173">
        <f t="shared" si="1824"/>
        <v>0.2061319214505424</v>
      </c>
      <c r="Z547" s="794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4">
        <v>2679.25</v>
      </c>
      <c r="D548" s="170">
        <f t="shared" ref="D548" si="1899">(C548-C547)/C547</f>
        <v>-8.2790409737934793E-4</v>
      </c>
      <c r="E548" s="208">
        <f t="shared" ref="E548" si="1900">(C548-$C$2)/$C$2</f>
        <v>0.27435265691292021</v>
      </c>
      <c r="F548" s="218">
        <v>6960.95</v>
      </c>
      <c r="G548" s="170">
        <f t="shared" ref="G548" si="1901">(F548-F547)/F547</f>
        <v>-4.1643631037436841E-4</v>
      </c>
      <c r="H548" s="202">
        <f t="shared" ref="H548" si="1902">(F548-F$2)/F$2</f>
        <v>0.36711707288331991</v>
      </c>
      <c r="I548" s="220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1">
        <f t="shared" ref="M548" si="1905">I548-J548</f>
        <v>42590.039999999979</v>
      </c>
      <c r="N548" s="183">
        <f t="shared" ref="N548" si="1906">M548/J548</f>
        <v>0.14686220689655166</v>
      </c>
      <c r="O548" s="182">
        <f t="shared" ref="O548" si="1907">N548/(A548/365.25)</f>
        <v>6.2665211529165307E-2</v>
      </c>
      <c r="P548" s="181" t="b">
        <f t="shared" ref="P548" si="1908">L548&gt;D548</f>
        <v>1</v>
      </c>
      <c r="Q548" s="183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3">
        <f>STDEV(D$2:D548)*SQRT(252)</f>
        <v>0.13552649245745849</v>
      </c>
      <c r="W548" s="183">
        <f>STDEV(L$2:L548)*SQRT(252)</f>
        <v>0.29131201485323877</v>
      </c>
      <c r="X548" s="173">
        <f t="shared" si="1823"/>
        <v>1.0836420557600679</v>
      </c>
      <c r="Y548" s="173">
        <f t="shared" si="1824"/>
        <v>0.21511372114444255</v>
      </c>
      <c r="Z548" s="794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4">
        <v>2684.59</v>
      </c>
      <c r="D549" s="170">
        <f t="shared" ref="D549" si="1912">(C549-C548)/C548</f>
        <v>1.9930950825791344E-3</v>
      </c>
      <c r="E549" s="208">
        <f t="shared" ref="E549" si="1913">(C549-$C$2)/$C$2</f>
        <v>0.27689256292688497</v>
      </c>
      <c r="F549" s="218">
        <v>6965.36</v>
      </c>
      <c r="G549" s="170">
        <f t="shared" ref="G549" si="1914">(F549-F548)/F548</f>
        <v>6.3353421587568576E-4</v>
      </c>
      <c r="H549" s="202">
        <f t="shared" ref="H549" si="1915">(F549-F$2)/F$2</f>
        <v>0.36798318832609933</v>
      </c>
      <c r="I549" s="220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1">
        <f t="shared" ref="M549" si="1918">I549-J549</f>
        <v>48086.81</v>
      </c>
      <c r="N549" s="183">
        <f t="shared" ref="N549" si="1919">M549/J549</f>
        <v>0.16581658620689654</v>
      </c>
      <c r="O549" s="182">
        <f t="shared" ref="O549" si="1920">N549/(A549/365.25)</f>
        <v>7.0670371192612547E-2</v>
      </c>
      <c r="P549" s="181" t="b">
        <f t="shared" ref="P549" si="1921">L549&gt;D549</f>
        <v>1</v>
      </c>
      <c r="Q549" s="183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3">
        <f>STDEV(D$2:D549)*SQRT(252)</f>
        <v>0.13540621962900054</v>
      </c>
      <c r="W549" s="183">
        <f>STDEV(L$2:L549)*SQRT(252)</f>
        <v>0.291246718230385</v>
      </c>
      <c r="X549" s="173">
        <f t="shared" si="1823"/>
        <v>1.224586187113246</v>
      </c>
      <c r="Y549" s="173">
        <f t="shared" si="1824"/>
        <v>0.24264778543087354</v>
      </c>
      <c r="Z549" s="794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4">
        <f>C551+0.84</f>
        <v>2681.34</v>
      </c>
      <c r="D550" s="170">
        <f t="shared" ref="D550" si="1925">(C550-C549)/C549</f>
        <v>-1.2106131662562999E-3</v>
      </c>
      <c r="E550" s="208">
        <f t="shared" ref="E550" si="1926">(C550-$C$2)/$C$2</f>
        <v>0.27534673997831094</v>
      </c>
      <c r="F550" s="218">
        <f>F551+23.71</f>
        <v>6960.95</v>
      </c>
      <c r="G550" s="170">
        <f t="shared" ref="G550" si="1927">(F550-F549)/F549</f>
        <v>-6.3313310439085059E-4</v>
      </c>
      <c r="H550" s="202">
        <f t="shared" ref="H550" si="1928">(F550-F$2)/F$2</f>
        <v>0.36711707288331991</v>
      </c>
      <c r="I550" s="220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1">
        <f t="shared" ref="M550" si="1931">I550-J550</f>
        <v>48627.130000000005</v>
      </c>
      <c r="N550" s="183">
        <f t="shared" ref="N550" si="1932">M550/J550</f>
        <v>0.16767975862068968</v>
      </c>
      <c r="O550" s="182">
        <f t="shared" ref="O550" si="1933">N550/(A550/365.25)</f>
        <v>7.1381155986255135E-2</v>
      </c>
      <c r="P550" s="181" t="b">
        <f t="shared" ref="P550" si="1934">L550&gt;D550</f>
        <v>1</v>
      </c>
      <c r="Q550" s="183">
        <f>COUNTIF(P$2:P550, TRUE)/(COUNTIF(P$2:P550,FALSE) + COUNTIF(P$2:P550, TRUE))</f>
        <v>0.48451730418943534</v>
      </c>
      <c r="R550" s="172"/>
      <c r="S550" s="172"/>
      <c r="T550" s="172"/>
      <c r="U550" s="172"/>
      <c r="V550" s="183">
        <f>STDEV(D$2:D550)*SQRT(252)</f>
        <v>0.13528726740433272</v>
      </c>
      <c r="W550" s="183">
        <f>STDEV(L$2:L550)*SQRT(252)</f>
        <v>0.29098117176035337</v>
      </c>
      <c r="X550" s="173">
        <f t="shared" si="1823"/>
        <v>1.2394348842862322</v>
      </c>
      <c r="Y550" s="173">
        <f t="shared" si="1824"/>
        <v>0.24531194081878024</v>
      </c>
      <c r="Z550" s="794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4">
        <v>2680.5</v>
      </c>
      <c r="D551" s="170">
        <f t="shared" ref="D551" si="1936">(C551-C550)/C550</f>
        <v>-3.1327619772208878E-4</v>
      </c>
      <c r="E551" s="208">
        <f t="shared" ref="E551" si="1937">(C551-$C$2)/$C$2</f>
        <v>0.2749472042008333</v>
      </c>
      <c r="F551" s="218">
        <v>6937.24</v>
      </c>
      <c r="G551" s="170">
        <f t="shared" ref="G551" si="1938">(F551-F550)/F550</f>
        <v>-3.406144276284133E-3</v>
      </c>
      <c r="H551" s="202">
        <f t="shared" ref="H551" si="1939">(F551-F$2)/F$2</f>
        <v>0.36246047489050809</v>
      </c>
      <c r="I551" s="220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1">
        <f t="shared" ref="M551" si="1942">I551-J551</f>
        <v>50189.130000000005</v>
      </c>
      <c r="N551" s="183">
        <f t="shared" ref="N551" si="1943">M551/J551</f>
        <v>0.1730659655172414</v>
      </c>
      <c r="O551" s="182">
        <f t="shared" ref="O551" si="1944">N551/(A551/365.25)</f>
        <v>7.33321855048404E-2</v>
      </c>
      <c r="P551" s="181" t="b">
        <f t="shared" ref="P551" si="1945">L551&gt;D551</f>
        <v>1</v>
      </c>
      <c r="Q551" s="183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3">
        <f>STDEV(D$2:D551)*SQRT(252)</f>
        <v>0.1351648425652329</v>
      </c>
      <c r="W551" s="183">
        <f>STDEV(L$2:L551)*SQRT(252)</f>
        <v>0.29072829644289788</v>
      </c>
      <c r="X551" s="173">
        <f t="shared" si="1823"/>
        <v>1.2804066666501444</v>
      </c>
      <c r="Y551" s="173">
        <f t="shared" si="1824"/>
        <v>0.25223614764049507</v>
      </c>
      <c r="Z551" s="794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4">
        <v>2682.62</v>
      </c>
      <c r="D552" s="170">
        <f t="shared" ref="D552" si="1949">(C552-C551)/C551</f>
        <v>7.9089722066774519E-4</v>
      </c>
      <c r="E552" s="208">
        <f t="shared" ref="E552" si="1950">(C552-$C$2)/$C$2</f>
        <v>0.27595555640113384</v>
      </c>
      <c r="F552" s="218">
        <v>6939.33</v>
      </c>
      <c r="G552" s="170">
        <f t="shared" ref="G552" si="1951">(F552-F551)/F551</f>
        <v>3.0127255219657178E-4</v>
      </c>
      <c r="H552" s="202">
        <f t="shared" ref="H552" si="1952">(F552-F$2)/F$2</f>
        <v>0.36287094683504528</v>
      </c>
      <c r="I552" s="220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1">
        <f t="shared" ref="M552" si="1955">I552-J552</f>
        <v>48273.530000000028</v>
      </c>
      <c r="N552" s="183">
        <f t="shared" ref="N552" si="1956">M552/J552</f>
        <v>0.16646044827586218</v>
      </c>
      <c r="O552" s="182">
        <f t="shared" ref="O552" si="1957">N552/(A552/365.25)</f>
        <v>7.0451539667159516E-2</v>
      </c>
      <c r="P552" s="181" t="b">
        <f t="shared" ref="P552" si="1958">L552&gt;D552</f>
        <v>0</v>
      </c>
      <c r="Q552" s="183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3">
        <f>STDEV(D$2:D552)*SQRT(252)</f>
        <v>0.13504185089620829</v>
      </c>
      <c r="W552" s="183">
        <f>STDEV(L$2:L552)*SQRT(252)</f>
        <v>0.29049404453363842</v>
      </c>
      <c r="X552" s="173">
        <f t="shared" si="1823"/>
        <v>1.2326582253660154</v>
      </c>
      <c r="Y552" s="173">
        <f t="shared" si="1824"/>
        <v>0.24252318074287207</v>
      </c>
      <c r="Z552" s="794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4">
        <v>2687.54</v>
      </c>
      <c r="D553" s="170">
        <f t="shared" ref="D553" si="1962">(C553-C552)/C552</f>
        <v>1.8340279279212386E-3</v>
      </c>
      <c r="E553" s="208">
        <f t="shared" ref="E553" si="1963">(C553-$C$2)/$C$2</f>
        <v>0.27829569452635977</v>
      </c>
      <c r="F553" s="218">
        <v>6950.16</v>
      </c>
      <c r="G553" s="170">
        <f t="shared" ref="G553" si="1964">(F553-F552)/F552</f>
        <v>1.560669401801028E-3</v>
      </c>
      <c r="H553" s="202">
        <f t="shared" ref="H553" si="1965">(F553-F$2)/F$2</f>
        <v>0.36499793782037437</v>
      </c>
      <c r="I553" s="220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1">
        <f t="shared" ref="M553" si="1967">I553-J553</f>
        <v>48405.590000000026</v>
      </c>
      <c r="N553" s="183">
        <f t="shared" ref="N553" si="1968">M553/J553</f>
        <v>0.16691582758620699</v>
      </c>
      <c r="O553" s="182">
        <f t="shared" ref="O553" si="1969">N553/(A553/365.25)</f>
        <v>7.0562506974377437E-2</v>
      </c>
      <c r="P553" s="181" t="b">
        <f t="shared" ref="P553" si="1970">L553&gt;D553</f>
        <v>0</v>
      </c>
      <c r="Q553" s="183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3">
        <f>STDEV(D$2:D553)*SQRT(252)</f>
        <v>0.13492214065501756</v>
      </c>
      <c r="W553" s="183">
        <f>STDEV(L$2:L553)*SQRT(252)</f>
        <v>0.29022987077746648</v>
      </c>
      <c r="X553" s="173">
        <f t="shared" si="1823"/>
        <v>1.2371270332346274</v>
      </c>
      <c r="Y553" s="173">
        <f t="shared" si="1824"/>
        <v>0.24312627361668496</v>
      </c>
      <c r="Z553" s="794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4">
        <v>2673.61</v>
      </c>
      <c r="D554" s="170">
        <f t="shared" ref="D554" si="1974">(C554-C553)/C553</f>
        <v>-5.1831786689685872E-3</v>
      </c>
      <c r="E554" s="208">
        <f t="shared" ref="E554" si="1975">(C554-$C$2)/$C$2</f>
        <v>0.2716700595498564</v>
      </c>
      <c r="F554" s="218">
        <v>6903.38</v>
      </c>
      <c r="G554" s="170">
        <f t="shared" ref="G554" si="1976">(F554-F553)/F553</f>
        <v>-6.7307802985830181E-3</v>
      </c>
      <c r="H554" s="202">
        <f t="shared" ref="H554" si="1977">(F554-F$2)/F$2</f>
        <v>0.35581043659288653</v>
      </c>
      <c r="I554" s="465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5">
        <f t="shared" ref="M554" si="1979">I554-J554</f>
        <v>47203.380000000005</v>
      </c>
      <c r="N554" s="183">
        <f t="shared" ref="N554" si="1980">M554/J554</f>
        <v>0.16277027586206899</v>
      </c>
      <c r="O554" s="182">
        <f t="shared" ref="O554" si="1981">N554/(A554/365.25)</f>
        <v>6.8730454634243585E-2</v>
      </c>
      <c r="P554" s="181" t="b">
        <f t="shared" ref="P554" si="1982">L554&gt;D554</f>
        <v>1</v>
      </c>
      <c r="Q554" s="183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3">
        <f>STDEV(D$2:D554)*SQRT(252)</f>
        <v>0.13485398052483238</v>
      </c>
      <c r="W554" s="183">
        <f>STDEV(L$2:L554)*SQRT(252)</f>
        <v>0.28997990122526646</v>
      </c>
      <c r="X554" s="173">
        <f t="shared" si="1823"/>
        <v>1.207011281599478</v>
      </c>
      <c r="Y554" s="173">
        <f t="shared" si="1824"/>
        <v>0.237017994501803</v>
      </c>
      <c r="Z554" s="794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4">
        <v>2695.81</v>
      </c>
      <c r="D555" s="170">
        <f t="shared" ref="D555" si="1986">(C555-C554)/C554</f>
        <v>8.3033800741319098E-3</v>
      </c>
      <c r="E555" s="208">
        <f t="shared" ref="E555" si="1987">(C555-$C$2)/$C$2</f>
        <v>0.28222921938319279</v>
      </c>
      <c r="F555" s="218">
        <v>7006.89</v>
      </c>
      <c r="G555" s="170">
        <f t="shared" ref="G555" si="1988">(F555-F554)/F554</f>
        <v>1.4994104337295675E-2</v>
      </c>
      <c r="H555" s="202">
        <f t="shared" ref="H555" si="1989">(F555-F$2)/F$2</f>
        <v>0.37613959974075467</v>
      </c>
      <c r="I555" s="220">
        <v>343412.47999999998</v>
      </c>
      <c r="J555" s="172">
        <v>290000</v>
      </c>
      <c r="K555" s="172">
        <f t="shared" ref="K555" si="1990">I555-I554-J555+J554</f>
        <v>6209.0999999999767</v>
      </c>
      <c r="L555" s="170">
        <f t="shared" si="1954"/>
        <v>1.8413516495593776E-2</v>
      </c>
      <c r="M555" s="181">
        <f t="shared" ref="M555" si="1991">I555-J555</f>
        <v>53412.479999999981</v>
      </c>
      <c r="N555" s="183">
        <f t="shared" ref="N555" si="1992">M555/J555</f>
        <v>0.18418096551724131</v>
      </c>
      <c r="O555" s="182">
        <f t="shared" ref="O555" si="1993">N555/(A555/365.25)</f>
        <v>7.7413230903535551E-2</v>
      </c>
      <c r="P555" s="181" t="b">
        <f t="shared" ref="P555" si="1994">L555&gt;D555</f>
        <v>1</v>
      </c>
      <c r="Q555" s="183">
        <f>COUNTIF(P$2:P555, TRUE)/(COUNTIF(P$2:P555,FALSE) + COUNTIF(P$2:P555, TRUE))</f>
        <v>0.48555956678700363</v>
      </c>
      <c r="R555" s="172">
        <v>227205.1</v>
      </c>
      <c r="S555" s="172">
        <f t="shared" ref="S555" si="1995">I555-R555</f>
        <v>116207.37999999998</v>
      </c>
      <c r="T555" s="172">
        <v>-30580</v>
      </c>
      <c r="U555" s="172">
        <f t="shared" ref="U555" si="1996">M555-T555</f>
        <v>83992.479999999981</v>
      </c>
      <c r="V555" s="183">
        <f>STDEV(D$2:D555)*SQRT(252)</f>
        <v>0.13483546761309076</v>
      </c>
      <c r="W555" s="183">
        <f>STDEV(L$2:L555)*SQRT(252)</f>
        <v>0.28996702596265966</v>
      </c>
      <c r="X555" s="173">
        <f t="shared" si="1823"/>
        <v>1.3659682335640875</v>
      </c>
      <c r="Y555" s="173">
        <f t="shared" si="1824"/>
        <v>0.26697253126120757</v>
      </c>
      <c r="Z555" s="794">
        <f t="shared" si="1825"/>
        <v>-9.8048253865951479E-2</v>
      </c>
    </row>
    <row r="556" spans="1:26" ht="20.100000000000001" customHeight="1" x14ac:dyDescent="0.25">
      <c r="A556" s="162">
        <f t="shared" ref="A556" si="1997">B556-$B$2</f>
        <v>870</v>
      </c>
      <c r="B556" s="171">
        <v>43103</v>
      </c>
      <c r="C556" s="214">
        <v>2713.06</v>
      </c>
      <c r="D556" s="170">
        <f t="shared" ref="D556" si="1998">(C556-C555)/C555</f>
        <v>6.3988189078607177E-3</v>
      </c>
      <c r="E556" s="208">
        <f t="shared" ref="E556" si="1999">(C556-$C$2)/$C$2</f>
        <v>0.29043397195639348</v>
      </c>
      <c r="F556" s="218">
        <v>7065.53</v>
      </c>
      <c r="G556" s="170">
        <f t="shared" ref="G556" si="2000">(F556-F555)/F555</f>
        <v>8.3689054630512842E-3</v>
      </c>
      <c r="H556" s="202">
        <f t="shared" ref="H556" si="2001">(F556-F$2)/F$2</f>
        <v>0.38765638195494628</v>
      </c>
      <c r="I556" s="220">
        <v>344644.23</v>
      </c>
      <c r="J556" s="172">
        <v>290000</v>
      </c>
      <c r="K556" s="172">
        <f t="shared" ref="K556" si="2002">I556-I555-J556+J555</f>
        <v>1231.75</v>
      </c>
      <c r="L556" s="170">
        <f t="shared" si="1954"/>
        <v>3.5867945160292371E-3</v>
      </c>
      <c r="M556" s="181">
        <f t="shared" ref="M556" si="2003">I556-J556</f>
        <v>54644.229999999981</v>
      </c>
      <c r="N556" s="183">
        <f t="shared" ref="N556" si="2004">M556/J556</f>
        <v>0.18842837931034476</v>
      </c>
      <c r="O556" s="182">
        <f t="shared" ref="O556" si="2005">N556/(A556/365.25)</f>
        <v>7.9107431658739555E-2</v>
      </c>
      <c r="P556" s="181" t="b">
        <f t="shared" ref="P556" si="2006">L556&gt;D556</f>
        <v>0</v>
      </c>
      <c r="Q556" s="183">
        <f>COUNTIF(P$2:P556, TRUE)/(COUNTIF(P$2:P556,FALSE) + COUNTIF(P$2:P556, TRUE))</f>
        <v>0.48468468468468467</v>
      </c>
      <c r="R556" s="172">
        <v>229704.9</v>
      </c>
      <c r="S556" s="172">
        <f t="shared" ref="S556" si="2007">I556-R556</f>
        <v>114939.32999999999</v>
      </c>
      <c r="T556" s="172">
        <v>-31165</v>
      </c>
      <c r="U556" s="172">
        <f t="shared" ref="U556" si="2008">M556-T556</f>
        <v>85809.229999999981</v>
      </c>
      <c r="V556" s="183">
        <f>STDEV(D$2:D556)*SQRT(252)</f>
        <v>0.13477252040825866</v>
      </c>
      <c r="W556" s="183">
        <f>STDEV(L$2:L556)*SQRT(252)</f>
        <v>0.2897116598883494</v>
      </c>
      <c r="X556" s="173">
        <f t="shared" si="1823"/>
        <v>1.3981216552124238</v>
      </c>
      <c r="Y556" s="173">
        <f t="shared" si="1824"/>
        <v>0.27305573993544613</v>
      </c>
      <c r="Z556" s="794">
        <f t="shared" si="1825"/>
        <v>-0.10200559264604872</v>
      </c>
    </row>
    <row r="557" spans="1:26" ht="20.100000000000001" customHeight="1" x14ac:dyDescent="0.25">
      <c r="A557" s="162">
        <f t="shared" ref="A557" si="2009">B557-$B$2</f>
        <v>871</v>
      </c>
      <c r="B557" s="171">
        <v>43104</v>
      </c>
      <c r="C557" s="214">
        <v>2723.99</v>
      </c>
      <c r="D557" s="170">
        <f t="shared" ref="D557" si="2010">(C557-C556)/C556</f>
        <v>4.0286613639211209E-3</v>
      </c>
      <c r="E557" s="208">
        <f t="shared" ref="E557" si="2011">(C557-$C$2)/$C$2</f>
        <v>0.29563269344190546</v>
      </c>
      <c r="F557" s="218">
        <v>7077.91</v>
      </c>
      <c r="G557" s="170">
        <f t="shared" ref="G557" si="2012">(F557-F556)/F556</f>
        <v>1.7521686271235292E-3</v>
      </c>
      <c r="H557" s="202">
        <f t="shared" ref="H557" si="2013">(F557-F$2)/F$2</f>
        <v>0.39008778993263549</v>
      </c>
      <c r="I557" s="220">
        <v>346398.26</v>
      </c>
      <c r="J557" s="172">
        <v>290000</v>
      </c>
      <c r="K557" s="172">
        <f t="shared" ref="K557" si="2014">I557-I556-J557+J556</f>
        <v>1754.0300000000279</v>
      </c>
      <c r="L557" s="170">
        <f t="shared" si="1954"/>
        <v>5.0893931983136001E-3</v>
      </c>
      <c r="M557" s="181">
        <f t="shared" ref="M557" si="2015">I557-J557</f>
        <v>56398.260000000009</v>
      </c>
      <c r="N557" s="183">
        <f t="shared" ref="N557" si="2016">M557/J557</f>
        <v>0.19447675862068969</v>
      </c>
      <c r="O557" s="182">
        <f t="shared" ref="O557" si="2017">N557/(A557/365.25)</f>
        <v>8.1552969100122732E-2</v>
      </c>
      <c r="P557" s="181" t="b">
        <f t="shared" ref="P557" si="2018">L557&gt;D557</f>
        <v>1</v>
      </c>
      <c r="Q557" s="183">
        <f>COUNTIF(P$2:P557, TRUE)/(COUNTIF(P$2:P557,FALSE) + COUNTIF(P$2:P557, TRUE))</f>
        <v>0.48561151079136688</v>
      </c>
      <c r="R557" s="172">
        <v>242885.7</v>
      </c>
      <c r="S557" s="172">
        <f t="shared" ref="S557" si="2019">I557-R557</f>
        <v>103512.56</v>
      </c>
      <c r="T557" s="172">
        <v>-32271</v>
      </c>
      <c r="U557" s="172">
        <f t="shared" ref="U557" si="2020">M557-T557</f>
        <v>88669.260000000009</v>
      </c>
      <c r="V557" s="183">
        <f>STDEV(D$2:D557)*SQRT(252)</f>
        <v>0.13467186615728099</v>
      </c>
      <c r="W557" s="183">
        <f>STDEV(L$2:L557)*SQRT(252)</f>
        <v>0.28946572718948649</v>
      </c>
      <c r="X557" s="173">
        <f t="shared" si="1823"/>
        <v>1.4440785902050512</v>
      </c>
      <c r="Y557" s="173">
        <f t="shared" si="1824"/>
        <v>0.28173618304296705</v>
      </c>
      <c r="Z557" s="794">
        <f t="shared" si="1825"/>
        <v>-0.10115593482121576</v>
      </c>
    </row>
    <row r="558" spans="1:26" ht="20.100000000000001" customHeight="1" x14ac:dyDescent="0.25">
      <c r="A558" s="162">
        <f t="shared" ref="A558" si="2021">B558-$B$2</f>
        <v>872</v>
      </c>
      <c r="B558" s="171">
        <v>43105</v>
      </c>
      <c r="C558" s="214">
        <v>2743.15</v>
      </c>
      <c r="D558" s="170">
        <f t="shared" ref="D558" si="2022">(C558-C557)/C557</f>
        <v>7.0337996835525499E-3</v>
      </c>
      <c r="E558" s="208">
        <f t="shared" ref="E558" si="2023">(C558-$C$2)/$C$2</f>
        <v>0.30474591427103748</v>
      </c>
      <c r="F558" s="218">
        <v>7136.55</v>
      </c>
      <c r="G558" s="170">
        <f t="shared" ref="G558" si="2024">(F558-F557)/F557</f>
        <v>8.2849315687823569E-3</v>
      </c>
      <c r="H558" s="202">
        <f t="shared" ref="H558" si="2025">(F558-F$2)/F$2</f>
        <v>0.40160457214682727</v>
      </c>
      <c r="I558" s="220">
        <v>346659.69</v>
      </c>
      <c r="J558" s="172">
        <v>290000</v>
      </c>
      <c r="K558" s="172">
        <f t="shared" ref="K558" si="2026">I558-I557-J558+J557</f>
        <v>261.42999999999302</v>
      </c>
      <c r="L558" s="170">
        <f t="shared" ref="L558" si="2027">K558/I557</f>
        <v>7.5470933370159826E-4</v>
      </c>
      <c r="M558" s="181">
        <f t="shared" ref="M558" si="2028">I558-J558</f>
        <v>56659.69</v>
      </c>
      <c r="N558" s="183">
        <f t="shared" ref="N558" si="2029">M558/J558</f>
        <v>0.19537824137931034</v>
      </c>
      <c r="O558" s="182">
        <f t="shared" ref="O558" si="2030">N558/(A558/365.25)</f>
        <v>8.1837044339212267E-2</v>
      </c>
      <c r="P558" s="181" t="b">
        <f t="shared" ref="P558" si="2031">L558&gt;D558</f>
        <v>0</v>
      </c>
      <c r="Q558" s="183">
        <f>COUNTIF(P$2:P558, TRUE)/(COUNTIF(P$2:P558,FALSE) + COUNTIF(P$2:P558, TRUE))</f>
        <v>0.48473967684021546</v>
      </c>
      <c r="R558" s="172">
        <v>221685.2</v>
      </c>
      <c r="S558" s="172">
        <f t="shared" ref="S558" si="2032">I558-R558</f>
        <v>124974.48999999999</v>
      </c>
      <c r="T558" s="172">
        <v>-31364</v>
      </c>
      <c r="U558" s="172">
        <f t="shared" ref="U558" si="2033">M558-T558</f>
        <v>88023.69</v>
      </c>
      <c r="V558" s="183">
        <f>STDEV(D$2:D558)*SQRT(252)</f>
        <v>0.13462231067466959</v>
      </c>
      <c r="W558" s="183">
        <f>STDEV(L$2:L558)*SQRT(252)</f>
        <v>0.2892048419948855</v>
      </c>
      <c r="X558" s="173">
        <f t="shared" si="1823"/>
        <v>1.4513065508990148</v>
      </c>
      <c r="Y558" s="173">
        <f t="shared" si="1824"/>
        <v>0.28297259400884972</v>
      </c>
      <c r="Z558" s="794">
        <f t="shared" si="1825"/>
        <v>-0.10936767289172714</v>
      </c>
    </row>
    <row r="559" spans="1:26" ht="20.100000000000001" customHeight="1" x14ac:dyDescent="0.25">
      <c r="A559" s="162">
        <f t="shared" ref="A559" si="2034">B559-$B$2</f>
        <v>875</v>
      </c>
      <c r="B559" s="171">
        <v>43108</v>
      </c>
      <c r="C559" s="214">
        <v>2747.71</v>
      </c>
      <c r="D559" s="170">
        <f t="shared" ref="D559" si="2035">(C559-C558)/C558</f>
        <v>1.662322512440058E-3</v>
      </c>
      <c r="E559" s="208">
        <f t="shared" ref="E559" si="2036">(C559-$C$2)/$C$2</f>
        <v>0.30691482277734439</v>
      </c>
      <c r="F559" s="218">
        <v>7157.38</v>
      </c>
      <c r="G559" s="170">
        <f t="shared" ref="G559" si="2037">(F559-F558)/F558</f>
        <v>2.9187772803385289E-3</v>
      </c>
      <c r="H559" s="202">
        <f t="shared" ref="H559" si="2038">(F559-F$2)/F$2</f>
        <v>0.40569554372802802</v>
      </c>
      <c r="I559" s="220">
        <v>347500.29</v>
      </c>
      <c r="J559" s="172">
        <v>290000</v>
      </c>
      <c r="K559" s="172">
        <f t="shared" ref="K559" si="2039">I559-I558-J559+J558</f>
        <v>840.59999999997672</v>
      </c>
      <c r="L559" s="170">
        <f t="shared" ref="L559" si="2040">K559/I558</f>
        <v>2.4248564925445377E-3</v>
      </c>
      <c r="M559" s="181">
        <f t="shared" ref="M559" si="2041">I559-J559</f>
        <v>57500.289999999979</v>
      </c>
      <c r="N559" s="183">
        <f t="shared" ref="N559" si="2042">M559/J559</f>
        <v>0.19827686206896544</v>
      </c>
      <c r="O559" s="182">
        <f t="shared" ref="O559" si="2043">N559/(A559/365.25)</f>
        <v>8.2766427280788146E-2</v>
      </c>
      <c r="P559" s="181" t="b">
        <f t="shared" ref="P559" si="2044">L559&gt;D559</f>
        <v>1</v>
      </c>
      <c r="Q559" s="183">
        <f>COUNTIF(P$2:P559, TRUE)/(COUNTIF(P$2:P559,FALSE) + COUNTIF(P$2:P559, TRUE))</f>
        <v>0.48566308243727596</v>
      </c>
      <c r="R559" s="172">
        <v>226002.5</v>
      </c>
      <c r="S559" s="172">
        <f t="shared" ref="S559" si="2045">I559-R559</f>
        <v>121497.78999999998</v>
      </c>
      <c r="T559" s="172">
        <v>-30809</v>
      </c>
      <c r="U559" s="172">
        <f t="shared" ref="U559" si="2046">M559-T559</f>
        <v>88309.289999999979</v>
      </c>
      <c r="V559" s="183">
        <f>STDEV(D$2:D559)*SQRT(252)</f>
        <v>0.13450340927460769</v>
      </c>
      <c r="W559" s="183">
        <f>STDEV(L$2:L559)*SQRT(252)</f>
        <v>0.28894717192273284</v>
      </c>
      <c r="X559" s="173">
        <f t="shared" si="1823"/>
        <v>1.4741400469943127</v>
      </c>
      <c r="Y559" s="173">
        <f t="shared" si="1824"/>
        <v>0.28644138210468678</v>
      </c>
      <c r="Z559" s="794">
        <f t="shared" si="1825"/>
        <v>-0.10863796070837894</v>
      </c>
    </row>
    <row r="560" spans="1:26" ht="20.100000000000001" customHeight="1" x14ac:dyDescent="0.25">
      <c r="A560" s="162">
        <f t="shared" ref="A560" si="2047">B560-$B$2</f>
        <v>876</v>
      </c>
      <c r="B560" s="171">
        <v>43109</v>
      </c>
      <c r="C560" s="214">
        <v>2751.29</v>
      </c>
      <c r="D560" s="170">
        <f t="shared" ref="D560" si="2048">(C560-C559)/C559</f>
        <v>1.3029031448005528E-3</v>
      </c>
      <c r="E560" s="208">
        <f t="shared" ref="E560" si="2049">(C560-$C$2)/$C$2</f>
        <v>0.30861760620992745</v>
      </c>
      <c r="F560" s="218">
        <v>7163.57</v>
      </c>
      <c r="G560" s="170">
        <f t="shared" ref="G560" si="2050">(F560-F559)/F559</f>
        <v>8.6484160405058829E-4</v>
      </c>
      <c r="H560" s="202">
        <f t="shared" ref="H560" si="2051">(F560-F$2)/F$2</f>
        <v>0.40691124771687254</v>
      </c>
      <c r="I560" s="220">
        <v>347598.39</v>
      </c>
      <c r="J560" s="172">
        <v>290000</v>
      </c>
      <c r="K560" s="172">
        <f t="shared" ref="K560" si="2052">I560-I559-J560+J559</f>
        <v>98.100000000034925</v>
      </c>
      <c r="L560" s="170">
        <f t="shared" ref="L560" si="2053">K560/I559</f>
        <v>2.8230192268338807E-4</v>
      </c>
      <c r="M560" s="181">
        <f t="shared" ref="M560" si="2054">I560-J560</f>
        <v>57598.390000000014</v>
      </c>
      <c r="N560" s="183">
        <f t="shared" ref="N560" si="2055">M560/J560</f>
        <v>0.19861513793103452</v>
      </c>
      <c r="O560" s="182">
        <f t="shared" ref="O560" si="2056">N560/(A560/365.25)</f>
        <v>8.2812989873641968E-2</v>
      </c>
      <c r="P560" s="181" t="b">
        <f t="shared" ref="P560" si="2057">L560&gt;D560</f>
        <v>0</v>
      </c>
      <c r="Q560" s="183">
        <f>COUNTIF(P$2:P560, TRUE)/(COUNTIF(P$2:P560,FALSE) + COUNTIF(P$2:P560, TRUE))</f>
        <v>0.48479427549194992</v>
      </c>
      <c r="R560" s="172">
        <v>226100.6</v>
      </c>
      <c r="S560" s="172">
        <f t="shared" ref="S560" si="2058">I560-R560</f>
        <v>121497.79000000001</v>
      </c>
      <c r="T560" s="172">
        <v>-31069</v>
      </c>
      <c r="U560" s="172">
        <f t="shared" ref="U560" si="2059">M560-T560</f>
        <v>88667.390000000014</v>
      </c>
      <c r="V560" s="183">
        <f>STDEV(D$2:D560)*SQRT(252)</f>
        <v>0.13438365522082504</v>
      </c>
      <c r="W560" s="183">
        <f>STDEV(L$2:L560)*SQRT(252)</f>
        <v>0.28868777341821511</v>
      </c>
      <c r="X560" s="173">
        <f t="shared" si="1823"/>
        <v>1.4779709452363201</v>
      </c>
      <c r="Y560" s="173">
        <f t="shared" si="1824"/>
        <v>0.28686005262049236</v>
      </c>
      <c r="Z560" s="794">
        <f t="shared" si="1825"/>
        <v>-0.11000246827889293</v>
      </c>
    </row>
    <row r="561" spans="1:26" ht="20.100000000000001" customHeight="1" x14ac:dyDescent="0.25">
      <c r="A561" s="162">
        <f t="shared" ref="A561" si="2060">B561-$B$2</f>
        <v>877</v>
      </c>
      <c r="B561" s="171">
        <v>43110</v>
      </c>
      <c r="C561" s="214">
        <v>2748.23</v>
      </c>
      <c r="D561" s="170">
        <f t="shared" ref="D561" si="2061">(C561-C560)/C560</f>
        <v>-1.1122055472160134E-3</v>
      </c>
      <c r="E561" s="208">
        <f t="shared" ref="E561" si="2062">(C561-$C$2)/$C$2</f>
        <v>0.30716215444911626</v>
      </c>
      <c r="F561" s="218">
        <v>7153.57</v>
      </c>
      <c r="G561" s="170">
        <f t="shared" ref="G561" si="2063">(F561-F560)/F560</f>
        <v>-1.3959520183372258E-3</v>
      </c>
      <c r="H561" s="202">
        <f t="shared" ref="H561" si="2064">(F561-F$2)/F$2</f>
        <v>0.40494726712100082</v>
      </c>
      <c r="I561" s="220">
        <v>346712.84</v>
      </c>
      <c r="J561" s="172">
        <v>290000</v>
      </c>
      <c r="K561" s="172">
        <f t="shared" ref="K561" si="2065">I561-I560-J561+J560</f>
        <v>-885.54999999998836</v>
      </c>
      <c r="L561" s="170">
        <f t="shared" ref="L561" si="2066">K561/I560</f>
        <v>-2.5476239979131902E-3</v>
      </c>
      <c r="M561" s="181">
        <f t="shared" ref="M561" si="2067">I561-J561</f>
        <v>56712.840000000026</v>
      </c>
      <c r="N561" s="183">
        <f t="shared" ref="N561" si="2068">M561/J561</f>
        <v>0.19556151724137941</v>
      </c>
      <c r="O561" s="182">
        <f t="shared" ref="O561" si="2069">N561/(A561/365.25)</f>
        <v>8.1446800652695356E-2</v>
      </c>
      <c r="P561" s="181" t="b">
        <f t="shared" ref="P561" si="2070">L561&gt;D561</f>
        <v>0</v>
      </c>
      <c r="Q561" s="183">
        <f>COUNTIF(P$2:P561, TRUE)/(COUNTIF(P$2:P561,FALSE) + COUNTIF(P$2:P561, TRUE))</f>
        <v>0.48392857142857143</v>
      </c>
      <c r="R561" s="172">
        <v>225215.05</v>
      </c>
      <c r="S561" s="172">
        <f t="shared" ref="S561" si="2071">I561-R561</f>
        <v>121497.79000000004</v>
      </c>
      <c r="T561" s="172">
        <v>-30783</v>
      </c>
      <c r="U561" s="172">
        <f t="shared" ref="U561" si="2072">M561-T561</f>
        <v>87495.840000000026</v>
      </c>
      <c r="V561" s="183">
        <f>STDEV(D$2:D561)*SQRT(252)</f>
        <v>0.13426764638873573</v>
      </c>
      <c r="W561" s="183">
        <f>STDEV(L$2:L561)*SQRT(252)</f>
        <v>0.28843687816025637</v>
      </c>
      <c r="X561" s="173">
        <f t="shared" si="1823"/>
        <v>1.4565051410462937</v>
      </c>
      <c r="Y561" s="173">
        <f t="shared" si="1824"/>
        <v>0.28237304873145685</v>
      </c>
      <c r="Z561" s="794">
        <f t="shared" si="1825"/>
        <v>-0.11160063720773686</v>
      </c>
    </row>
    <row r="562" spans="1:26" ht="20.100000000000001" customHeight="1" x14ac:dyDescent="0.25">
      <c r="A562" s="162">
        <f t="shared" ref="A562" si="2073">B562-$B$2</f>
        <v>878</v>
      </c>
      <c r="B562" s="171">
        <v>43111</v>
      </c>
      <c r="C562" s="214">
        <v>2767.56</v>
      </c>
      <c r="D562" s="170">
        <f t="shared" ref="D562" si="2074">(C562-C561)/C561</f>
        <v>7.0336180014045138E-3</v>
      </c>
      <c r="E562" s="208">
        <f t="shared" ref="E562" si="2075">(C562-$C$2)/$C$2</f>
        <v>0.31635623370940424</v>
      </c>
      <c r="F562" s="218">
        <v>7211.77</v>
      </c>
      <c r="G562" s="170">
        <f t="shared" ref="G562" si="2076">(F562-F561)/F561</f>
        <v>8.1357979302642911E-3</v>
      </c>
      <c r="H562" s="202">
        <f t="shared" ref="H562" si="2077">(F562-F$2)/F$2</f>
        <v>0.41637763418897433</v>
      </c>
      <c r="I562" s="220">
        <v>352178.1</v>
      </c>
      <c r="J562" s="172">
        <v>290000</v>
      </c>
      <c r="K562" s="172">
        <f t="shared" ref="K562" si="2078">I562-I561-J562+J561</f>
        <v>5465.2599999999511</v>
      </c>
      <c r="L562" s="170">
        <f t="shared" ref="L562" si="2079">K562/I561</f>
        <v>1.5763073556779583E-2</v>
      </c>
      <c r="M562" s="181">
        <f t="shared" ref="M562" si="2080">I562-J562</f>
        <v>62178.099999999977</v>
      </c>
      <c r="N562" s="183">
        <f t="shared" ref="N562" si="2081">M562/J562</f>
        <v>0.21440724137931028</v>
      </c>
      <c r="O562" s="182">
        <f t="shared" ref="O562" si="2082">N562/(A562/365.25)</f>
        <v>8.9193900812976179E-2</v>
      </c>
      <c r="P562" s="181" t="b">
        <f t="shared" ref="P562" si="2083">L562&gt;D562</f>
        <v>1</v>
      </c>
      <c r="Q562" s="183">
        <f>COUNTIF(P$2:P562, TRUE)/(COUNTIF(P$2:P562,FALSE) + COUNTIF(P$2:P562, TRUE))</f>
        <v>0.48484848484848486</v>
      </c>
      <c r="R562" s="172">
        <v>218099.25</v>
      </c>
      <c r="S562" s="172">
        <f t="shared" ref="S562" si="2084">I562-R562</f>
        <v>134078.84999999998</v>
      </c>
      <c r="T562" s="172">
        <v>-30666</v>
      </c>
      <c r="U562" s="172">
        <f t="shared" ref="U562" si="2085">M562-T562</f>
        <v>92844.099999999977</v>
      </c>
      <c r="V562" s="183">
        <f>STDEV(D$2:D562)*SQRT(252)</f>
        <v>0.13421874970356712</v>
      </c>
      <c r="W562" s="183">
        <f>STDEV(L$2:L562)*SQRT(252)</f>
        <v>0.28835759971493757</v>
      </c>
      <c r="X562" s="173">
        <f t="shared" si="1823"/>
        <v>1.5974462722447189</v>
      </c>
      <c r="Y562" s="173">
        <f t="shared" si="1824"/>
        <v>0.30931697621686</v>
      </c>
      <c r="Z562" s="794">
        <f t="shared" si="1825"/>
        <v>-0.10194899233009397</v>
      </c>
    </row>
    <row r="563" spans="1:26" ht="20.100000000000001" customHeight="1" x14ac:dyDescent="0.25">
      <c r="A563" s="162">
        <f t="shared" ref="A563" si="2086">B563-$B$2</f>
        <v>879</v>
      </c>
      <c r="B563" s="171">
        <v>43112</v>
      </c>
      <c r="C563" s="214">
        <v>2786.24</v>
      </c>
      <c r="D563" s="170">
        <f t="shared" ref="D563" si="2087">(C563-C562)/C562</f>
        <v>6.7496278310135412E-3</v>
      </c>
      <c r="E563" s="208">
        <f t="shared" ref="E563" si="2088">(C563-$C$2)/$C$2</f>
        <v>0.32524114837997742</v>
      </c>
      <c r="F563" s="218">
        <v>7261.06</v>
      </c>
      <c r="G563" s="170">
        <f t="shared" ref="G563" si="2089">(F563-F562)/F562</f>
        <v>6.8346605618315563E-3</v>
      </c>
      <c r="H563" s="202">
        <f t="shared" ref="H563" si="2090">(F563-F$2)/F$2</f>
        <v>0.426058094546026</v>
      </c>
      <c r="I563" s="220">
        <v>354257.05</v>
      </c>
      <c r="J563" s="172">
        <v>290000</v>
      </c>
      <c r="K563" s="172">
        <f t="shared" ref="K563" si="2091">I563-I562-J563+J562</f>
        <v>2078.9500000000116</v>
      </c>
      <c r="L563" s="170">
        <f t="shared" ref="L563" si="2092">K563/I562</f>
        <v>5.9031211764729603E-3</v>
      </c>
      <c r="M563" s="181">
        <f t="shared" ref="M563" si="2093">I563-J563</f>
        <v>64257.049999999988</v>
      </c>
      <c r="N563" s="183">
        <f t="shared" ref="N563" si="2094">M563/J563</f>
        <v>0.22157603448275859</v>
      </c>
      <c r="O563" s="182">
        <f t="shared" ref="O563" si="2095">N563/(A563/365.25)</f>
        <v>9.2071270301282801E-2</v>
      </c>
      <c r="P563" s="181" t="b">
        <f t="shared" ref="P563" si="2096">L563&gt;D563</f>
        <v>0</v>
      </c>
      <c r="Q563" s="183">
        <f>COUNTIF(P$2:P563, TRUE)/(COUNTIF(P$2:P563,FALSE) + COUNTIF(P$2:P563, TRUE))</f>
        <v>0.48398576512455516</v>
      </c>
      <c r="R563" s="172">
        <v>210112.6</v>
      </c>
      <c r="S563" s="172">
        <f t="shared" ref="S563" si="2097">I563-R563</f>
        <v>144144.44999999998</v>
      </c>
      <c r="T563" s="172">
        <v>-30546</v>
      </c>
      <c r="U563" s="172">
        <f t="shared" ref="U563" si="2098">M563-T563</f>
        <v>94803.049999999988</v>
      </c>
      <c r="V563" s="183">
        <f>STDEV(D$2:D563)*SQRT(252)</f>
        <v>0.13416370433949046</v>
      </c>
      <c r="W563" s="183">
        <f>STDEV(L$2:L563)*SQRT(252)</f>
        <v>0.28812150589296726</v>
      </c>
      <c r="X563" s="173">
        <f t="shared" si="1823"/>
        <v>1.6515348586535614</v>
      </c>
      <c r="Y563" s="173">
        <f t="shared" si="1824"/>
        <v>0.31955709108186414</v>
      </c>
      <c r="Z563" s="794">
        <f t="shared" si="1825"/>
        <v>-0.10366511389721883</v>
      </c>
    </row>
    <row r="564" spans="1:26" ht="20.100000000000001" customHeight="1" x14ac:dyDescent="0.25">
      <c r="A564" s="162">
        <f t="shared" ref="A564" si="2099">B564-$B$2</f>
        <v>883</v>
      </c>
      <c r="B564" s="171">
        <v>43116</v>
      </c>
      <c r="C564" s="214">
        <v>2776.42</v>
      </c>
      <c r="D564" s="170">
        <f t="shared" ref="D564" si="2100">(C564-C563)/C563</f>
        <v>-3.5244630756861252E-3</v>
      </c>
      <c r="E564" s="208">
        <f t="shared" ref="E564" si="2101">(C564-$C$2)/$C$2</f>
        <v>0.32057038488613232</v>
      </c>
      <c r="F564" s="218">
        <v>7223.68</v>
      </c>
      <c r="G564" s="170">
        <f t="shared" ref="G564" si="2102">(F564-F563)/F563</f>
        <v>-5.148008692945673E-3</v>
      </c>
      <c r="H564" s="202">
        <f t="shared" ref="H564" si="2103">(F564-F$2)/F$2</f>
        <v>0.41871673507865753</v>
      </c>
      <c r="I564" s="220">
        <v>351080.55</v>
      </c>
      <c r="J564" s="172">
        <v>290000</v>
      </c>
      <c r="K564" s="172">
        <f t="shared" ref="K564" si="2104">I564-I563-J564+J563</f>
        <v>-3176.5</v>
      </c>
      <c r="L564" s="170">
        <f t="shared" ref="L564" si="2105">K564/I563</f>
        <v>-8.9666528866539138E-3</v>
      </c>
      <c r="M564" s="181">
        <f t="shared" ref="M564" si="2106">I564-J564</f>
        <v>61080.549999999988</v>
      </c>
      <c r="N564" s="183">
        <f t="shared" ref="N564" si="2107">M564/J564</f>
        <v>0.2106225862068965</v>
      </c>
      <c r="O564" s="182">
        <f t="shared" ref="O564" si="2108">N564/(A564/365.25)</f>
        <v>8.7123329118990886E-2</v>
      </c>
      <c r="P564" s="181" t="b">
        <f t="shared" ref="P564" si="2109">L564&gt;D564</f>
        <v>0</v>
      </c>
      <c r="Q564" s="183">
        <f>COUNTIF(P$2:P564, TRUE)/(COUNTIF(P$2:P564,FALSE) + COUNTIF(P$2:P564, TRUE))</f>
        <v>0.48312611012433393</v>
      </c>
      <c r="R564" s="172">
        <v>216645.1</v>
      </c>
      <c r="S564" s="172">
        <f t="shared" ref="S564" si="2110">I564-R564</f>
        <v>134435.44999999998</v>
      </c>
      <c r="T564" s="172">
        <v>-30403</v>
      </c>
      <c r="U564" s="172">
        <f t="shared" ref="U564" si="2111">M564-T564</f>
        <v>91483.549999999988</v>
      </c>
      <c r="V564" s="183">
        <f>STDEV(D$2:D564)*SQRT(252)</f>
        <v>0.13407167164533457</v>
      </c>
      <c r="W564" s="183">
        <f>STDEV(L$2:L564)*SQRT(252)</f>
        <v>0.28793680916923503</v>
      </c>
      <c r="X564" s="173">
        <f t="shared" si="1823"/>
        <v>1.5709700910127031</v>
      </c>
      <c r="Y564" s="173">
        <f t="shared" si="1824"/>
        <v>0.30257794885746647</v>
      </c>
      <c r="Z564" s="794">
        <f t="shared" si="1825"/>
        <v>-0.10994779867923582</v>
      </c>
    </row>
    <row r="565" spans="1:26" ht="20.100000000000001" customHeight="1" x14ac:dyDescent="0.25">
      <c r="A565" s="162">
        <f t="shared" ref="A565" si="2112">B565-$B$2</f>
        <v>884</v>
      </c>
      <c r="B565" s="171">
        <v>43117</v>
      </c>
      <c r="C565" s="214">
        <v>2802.56</v>
      </c>
      <c r="D565" s="170">
        <f t="shared" ref="D565" si="2113">(C565-C564)/C564</f>
        <v>9.4150020530034614E-3</v>
      </c>
      <c r="E565" s="208">
        <f t="shared" ref="E565" si="2114">(C565-$C$2)/$C$2</f>
        <v>0.33300355777097079</v>
      </c>
      <c r="F565" s="218">
        <v>7298.27</v>
      </c>
      <c r="G565" s="170">
        <f t="shared" ref="G565" si="2115">(F565-F564)/F564</f>
        <v>1.0325761938513353E-2</v>
      </c>
      <c r="H565" s="202">
        <f t="shared" ref="H565" si="2116">(F565-F$2)/F$2</f>
        <v>0.43336606634326469</v>
      </c>
      <c r="I565" s="220">
        <v>354388.75</v>
      </c>
      <c r="J565" s="172">
        <v>290000</v>
      </c>
      <c r="K565" s="172">
        <f t="shared" ref="K565" si="2117">I565-I564-J565+J564</f>
        <v>3308.2000000000116</v>
      </c>
      <c r="L565" s="170">
        <f t="shared" ref="L565" si="2118">K565/I564</f>
        <v>9.4229087883108634E-3</v>
      </c>
      <c r="M565" s="181">
        <f t="shared" ref="M565" si="2119">I565-J565</f>
        <v>64388.75</v>
      </c>
      <c r="N565" s="183">
        <f t="shared" ref="N565" si="2120">M565/J565</f>
        <v>0.22203017241379311</v>
      </c>
      <c r="O565" s="182">
        <f t="shared" ref="O565" si="2121">N565/(A565/365.25)</f>
        <v>9.1738145332735208E-2</v>
      </c>
      <c r="P565" s="181" t="b">
        <f t="shared" ref="P565" si="2122">L565&gt;D565</f>
        <v>1</v>
      </c>
      <c r="Q565" s="183">
        <f>COUNTIF(P$2:P565, TRUE)/(COUNTIF(P$2:P565,FALSE) + COUNTIF(P$2:P565, TRUE))</f>
        <v>0.48404255319148937</v>
      </c>
      <c r="R565" s="172">
        <v>210366.65</v>
      </c>
      <c r="S565" s="172">
        <f t="shared" ref="S565" si="2123">I565-R565</f>
        <v>144022.1</v>
      </c>
      <c r="T565" s="172">
        <v>-29857</v>
      </c>
      <c r="U565" s="172">
        <f t="shared" ref="U565" si="2124">M565-T565</f>
        <v>94245.75</v>
      </c>
      <c r="V565" s="183">
        <f>STDEV(D$2:D565)*SQRT(252)</f>
        <v>0.13408415455090031</v>
      </c>
      <c r="W565" s="183">
        <f>STDEV(L$2:L565)*SQRT(252)</f>
        <v>0.28774044965708556</v>
      </c>
      <c r="X565" s="173">
        <f t="shared" si="1823"/>
        <v>1.6559016474202939</v>
      </c>
      <c r="Y565" s="173">
        <f t="shared" ref="Y565" si="2125">O565/W565</f>
        <v>0.31882255498684342</v>
      </c>
      <c r="Z565" s="794">
        <f t="shared" si="1825"/>
        <v>-0.11097338535717768</v>
      </c>
    </row>
    <row r="566" spans="1:26" ht="20.100000000000001" customHeight="1" x14ac:dyDescent="0.25">
      <c r="A566" s="162">
        <f t="shared" ref="A566" si="2126">B566-$B$2</f>
        <v>885</v>
      </c>
      <c r="B566" s="171">
        <v>43118</v>
      </c>
      <c r="C566" s="214">
        <v>2798.03</v>
      </c>
      <c r="D566" s="170">
        <f t="shared" ref="D566" si="2127">(C566-C565)/C565</f>
        <v>-1.6163793103447367E-3</v>
      </c>
      <c r="E566" s="208">
        <f t="shared" ref="E566" si="2128">(C566-$C$2)/$C$2</f>
        <v>0.33084891839957387</v>
      </c>
      <c r="F566" s="218">
        <v>7296.04</v>
      </c>
      <c r="G566" s="170">
        <f t="shared" ref="G566" si="2129">(F566-F565)/F565</f>
        <v>-3.0555186366090493E-4</v>
      </c>
      <c r="H566" s="202">
        <f t="shared" ref="H566" si="2130">(F566-F$2)/F$2</f>
        <v>0.43292809867038518</v>
      </c>
      <c r="I566" s="220">
        <v>353987.72</v>
      </c>
      <c r="J566" s="172">
        <v>290000</v>
      </c>
      <c r="K566" s="172">
        <f t="shared" ref="K566" si="2131">I566-I565-J566+J565</f>
        <v>-401.03000000002794</v>
      </c>
      <c r="L566" s="170">
        <f t="shared" ref="L566" si="2132">K566/I565</f>
        <v>-1.1316104137053672E-3</v>
      </c>
      <c r="M566" s="181">
        <f t="shared" ref="M566" si="2133">I566-J566</f>
        <v>63987.719999999972</v>
      </c>
      <c r="N566" s="183">
        <f t="shared" ref="N566" si="2134">M566/J566</f>
        <v>0.22064731034482749</v>
      </c>
      <c r="O566" s="182">
        <f t="shared" ref="O566" si="2135">N566/(A566/365.25)</f>
        <v>9.1063762828755071E-2</v>
      </c>
      <c r="P566" s="181" t="b">
        <f t="shared" ref="P566" si="2136">L566&gt;D566</f>
        <v>1</v>
      </c>
      <c r="Q566" s="183">
        <f>COUNTIF(P$2:P566, TRUE)/(COUNTIF(P$2:P566,FALSE) + COUNTIF(P$2:P566, TRUE))</f>
        <v>0.4849557522123894</v>
      </c>
      <c r="R566" s="172">
        <v>212405.65</v>
      </c>
      <c r="S566" s="172">
        <f t="shared" ref="S566" si="2137">I566-R566</f>
        <v>141582.06999999998</v>
      </c>
      <c r="T566" s="172">
        <v>-30624</v>
      </c>
      <c r="U566" s="172">
        <f t="shared" ref="U566" si="2138">M566-T566</f>
        <v>94611.719999999972</v>
      </c>
      <c r="V566" s="183">
        <f>STDEV(D$2:D566)*SQRT(252)</f>
        <v>0.13397282052500681</v>
      </c>
      <c r="W566" s="183">
        <f>STDEV(L$2:L566)*SQRT(252)</f>
        <v>0.28748729200804252</v>
      </c>
      <c r="X566" s="173">
        <f t="shared" si="1823"/>
        <v>1.6469557741649723</v>
      </c>
      <c r="Y566" s="173">
        <f t="shared" ref="Y566" si="2139">O566/W566</f>
        <v>0.31675752410721358</v>
      </c>
      <c r="Z566" s="794">
        <f t="shared" si="1825"/>
        <v>-0.11020160805474638</v>
      </c>
    </row>
    <row r="567" spans="1:26" ht="20.100000000000001" customHeight="1" x14ac:dyDescent="0.25">
      <c r="A567" s="162">
        <f t="shared" ref="A567" si="2140">B567-$B$2</f>
        <v>886</v>
      </c>
      <c r="B567" s="171">
        <v>43119</v>
      </c>
      <c r="C567" s="214">
        <v>2810.3</v>
      </c>
      <c r="D567" s="170">
        <f t="shared" ref="D567" si="2141">(C567-C566)/C566</f>
        <v>4.3852281783969367E-3</v>
      </c>
      <c r="E567" s="208">
        <f t="shared" ref="E567" si="2142">(C567-$C$2)/$C$2</f>
        <v>0.33668499457772877</v>
      </c>
      <c r="F567" s="218">
        <v>7336.38</v>
      </c>
      <c r="G567" s="170">
        <f t="shared" ref="G567" si="2143">(F567-F566)/F566</f>
        <v>5.5290267048974714E-3</v>
      </c>
      <c r="H567" s="202">
        <f t="shared" ref="H567" si="2144">(F567-F$2)/F$2</f>
        <v>0.44085079639413172</v>
      </c>
      <c r="I567" s="220">
        <v>365192.76</v>
      </c>
      <c r="J567" s="172">
        <v>300000</v>
      </c>
      <c r="K567" s="172">
        <f t="shared" ref="K567" si="2145">I567-I566-J567+J566</f>
        <v>1205.0400000000373</v>
      </c>
      <c r="L567" s="170">
        <f t="shared" ref="L567" si="2146">K567/I566</f>
        <v>3.4041858853183873E-3</v>
      </c>
      <c r="M567" s="181">
        <f t="shared" ref="M567" si="2147">I567-J567</f>
        <v>65192.760000000009</v>
      </c>
      <c r="N567" s="183">
        <f t="shared" ref="N567" si="2148">M567/J567</f>
        <v>0.21730920000000004</v>
      </c>
      <c r="O567" s="182">
        <f t="shared" ref="O567" si="2149">N567/(A567/365.25)</f>
        <v>8.9584859255079016E-2</v>
      </c>
      <c r="P567" s="181" t="b">
        <f t="shared" ref="P567" si="2150">L567&gt;D567</f>
        <v>0</v>
      </c>
      <c r="Q567" s="183">
        <f>COUNTIF(P$2:P567, TRUE)/(COUNTIF(P$2:P567,FALSE) + COUNTIF(P$2:P567, TRUE))</f>
        <v>0.48409893992932862</v>
      </c>
      <c r="R567" s="172">
        <v>204670.9</v>
      </c>
      <c r="S567" s="172">
        <f t="shared" ref="S567" si="2151">I567-R567</f>
        <v>160521.86000000002</v>
      </c>
      <c r="T567" s="172">
        <v>-30347</v>
      </c>
      <c r="U567" s="172">
        <f t="shared" ref="U567" si="2152">M567-T567</f>
        <v>95539.760000000009</v>
      </c>
      <c r="V567" s="183">
        <f>STDEV(D$2:D567)*SQRT(252)</f>
        <v>0.13387859886701176</v>
      </c>
      <c r="W567" s="183">
        <f>STDEV(L$2:L567)*SQRT(252)</f>
        <v>0.28723816892790788</v>
      </c>
      <c r="X567" s="173">
        <f t="shared" si="1823"/>
        <v>1.6231810150318651</v>
      </c>
      <c r="Y567" s="173">
        <f t="shared" ref="Y567" si="2153">O567/W567</f>
        <v>0.31188354803070534</v>
      </c>
      <c r="Z567" s="794">
        <f t="shared" si="1825"/>
        <v>-0.11937579457772873</v>
      </c>
    </row>
    <row r="568" spans="1:26" ht="20.100000000000001" customHeight="1" x14ac:dyDescent="0.25">
      <c r="A568" s="162">
        <f t="shared" ref="A568" si="2154">B568-$B$2</f>
        <v>889</v>
      </c>
      <c r="B568" s="171">
        <v>43122</v>
      </c>
      <c r="C568" s="214">
        <v>2832.97</v>
      </c>
      <c r="D568" s="170">
        <f t="shared" ref="D568" si="2155">(C568-C567)/C567</f>
        <v>8.0667544390277245E-3</v>
      </c>
      <c r="E568" s="208">
        <f t="shared" ref="E568" si="2156">(C568-$C$2)/$C$2</f>
        <v>0.34746770419132045</v>
      </c>
      <c r="F568" s="218">
        <v>7408.03</v>
      </c>
      <c r="G568" s="170">
        <f t="shared" ref="G568" si="2157">(F568-F567)/F567</f>
        <v>9.7663970514067742E-3</v>
      </c>
      <c r="H568" s="202">
        <f t="shared" ref="H568" si="2158">(F568-F$2)/F$2</f>
        <v>0.45492271736355244</v>
      </c>
      <c r="I568" s="220">
        <v>368309.46</v>
      </c>
      <c r="J568" s="172">
        <v>300000</v>
      </c>
      <c r="K568" s="172">
        <f t="shared" ref="K568" si="2159">I568-I567-J568+J567</f>
        <v>3116.7000000000116</v>
      </c>
      <c r="L568" s="170">
        <f t="shared" ref="L568" si="2160">K568/I567</f>
        <v>8.5343970126899871E-3</v>
      </c>
      <c r="M568" s="181">
        <f t="shared" ref="M568" si="2161">I568-J568</f>
        <v>68309.460000000021</v>
      </c>
      <c r="N568" s="183">
        <f t="shared" ref="N568" si="2162">M568/J568</f>
        <v>0.22769820000000007</v>
      </c>
      <c r="O568" s="182">
        <f t="shared" ref="O568" si="2163">N568/(A568/365.25)</f>
        <v>9.3550919628796428E-2</v>
      </c>
      <c r="P568" s="181" t="b">
        <f t="shared" ref="P568" si="2164">L568&gt;D568</f>
        <v>1</v>
      </c>
      <c r="Q568" s="183">
        <f>COUNTIF(P$2:P568, TRUE)/(COUNTIF(P$2:P568,FALSE) + COUNTIF(P$2:P568, TRUE))</f>
        <v>0.48500881834215165</v>
      </c>
      <c r="R568" s="172">
        <v>220079.8</v>
      </c>
      <c r="S568" s="172">
        <f t="shared" ref="S568" si="2165">I568-R568</f>
        <v>148229.66000000003</v>
      </c>
      <c r="T568" s="172">
        <v>-30244</v>
      </c>
      <c r="U568" s="172">
        <f t="shared" ref="U568" si="2166">M568-T568</f>
        <v>98553.460000000021</v>
      </c>
      <c r="V568" s="183">
        <f>STDEV(D$2:D568)*SQRT(252)</f>
        <v>0.13385409195936193</v>
      </c>
      <c r="W568" s="183">
        <f>STDEV(L$2:L568)*SQRT(252)</f>
        <v>0.28703192101417985</v>
      </c>
      <c r="X568" s="173">
        <f t="shared" si="1823"/>
        <v>1.7010925603165661</v>
      </c>
      <c r="Y568" s="173">
        <f t="shared" ref="Y568" si="2167">O568/W568</f>
        <v>0.32592514204778938</v>
      </c>
      <c r="Z568" s="794">
        <f t="shared" si="1825"/>
        <v>-0.11976950419132038</v>
      </c>
    </row>
    <row r="569" spans="1:26" ht="20.100000000000001" customHeight="1" x14ac:dyDescent="0.25">
      <c r="A569" s="162">
        <f t="shared" ref="A569" si="2168">B569-$B$2</f>
        <v>890</v>
      </c>
      <c r="B569" s="171">
        <v>43123</v>
      </c>
      <c r="C569" s="214">
        <v>2839.12</v>
      </c>
      <c r="D569" s="170">
        <f t="shared" ref="D569" si="2169">(C569-C568)/C568</f>
        <v>2.170866617013273E-3</v>
      </c>
      <c r="E569" s="208">
        <f t="shared" ref="E569" si="2170">(C569-$C$2)/$C$2</f>
        <v>0.35039287684785286</v>
      </c>
      <c r="F569" s="218">
        <v>7460.28</v>
      </c>
      <c r="G569" s="170">
        <f t="shared" ref="G569" si="2171">(F569-F568)/F568</f>
        <v>7.0531571821388413E-3</v>
      </c>
      <c r="H569" s="202">
        <f t="shared" ref="H569" si="2172">(F569-F$2)/F$2</f>
        <v>0.46518451597698213</v>
      </c>
      <c r="I569" s="220">
        <v>368315.52</v>
      </c>
      <c r="J569" s="172">
        <v>300000</v>
      </c>
      <c r="K569" s="172">
        <f t="shared" ref="K569" si="2173">I569-I568-J569+J568</f>
        <v>6.0599999999976717</v>
      </c>
      <c r="L569" s="170">
        <f t="shared" ref="L569" si="2174">K569/I568</f>
        <v>1.6453555116389548E-5</v>
      </c>
      <c r="M569" s="181">
        <f t="shared" ref="M569" si="2175">I569-J569</f>
        <v>68315.520000000019</v>
      </c>
      <c r="N569" s="183">
        <f t="shared" ref="N569" si="2176">M569/J569</f>
        <v>0.22771840000000007</v>
      </c>
      <c r="O569" s="182">
        <f t="shared" ref="O569" si="2177">N569/(A569/365.25)</f>
        <v>9.3454096179775306E-2</v>
      </c>
      <c r="P569" s="181" t="b">
        <f t="shared" ref="P569" si="2178">L569&gt;D569</f>
        <v>0</v>
      </c>
      <c r="Q569" s="183">
        <f>COUNTIF(P$2:P569, TRUE)/(COUNTIF(P$2:P569,FALSE) + COUNTIF(P$2:P569, TRUE))</f>
        <v>0.48415492957746481</v>
      </c>
      <c r="R569" s="172">
        <v>218456.75</v>
      </c>
      <c r="S569" s="172">
        <f t="shared" ref="S569" si="2179">I569-R569</f>
        <v>149858.77000000002</v>
      </c>
      <c r="T569" s="172">
        <v>-30209</v>
      </c>
      <c r="U569" s="172">
        <f t="shared" ref="U569" si="2180">M569-T569</f>
        <v>98524.520000000019</v>
      </c>
      <c r="V569" s="183">
        <f>STDEV(D$2:D569)*SQRT(252)</f>
        <v>0.1337400925810926</v>
      </c>
      <c r="W569" s="183">
        <f>STDEV(L$2:L569)*SQRT(252)</f>
        <v>0.28677858516310845</v>
      </c>
      <c r="X569" s="173">
        <f t="shared" si="1823"/>
        <v>1.7026936022339316</v>
      </c>
      <c r="Y569" s="173">
        <f t="shared" ref="Y569" si="2181">O569/W569</f>
        <v>0.32587543496883586</v>
      </c>
      <c r="Z569" s="794">
        <f t="shared" si="1825"/>
        <v>-0.12267447684785279</v>
      </c>
    </row>
    <row r="570" spans="1:26" ht="20.100000000000001" customHeight="1" x14ac:dyDescent="0.25">
      <c r="A570" s="162">
        <f t="shared" ref="A570" si="2182">B570-$B$2</f>
        <v>891</v>
      </c>
      <c r="B570" s="171">
        <v>43124</v>
      </c>
      <c r="C570" s="214">
        <v>2837.54</v>
      </c>
      <c r="D570" s="170">
        <f t="shared" ref="D570" si="2183">(C570-C569)/C569</f>
        <v>-5.5651046803232239E-4</v>
      </c>
      <c r="E570" s="208">
        <f t="shared" ref="E570" si="2184">(C570-$C$2)/$C$2</f>
        <v>0.3496413690759308</v>
      </c>
      <c r="F570" s="218">
        <v>7415.05</v>
      </c>
      <c r="G570" s="170">
        <f t="shared" ref="G570" si="2185">(F570-F569)/F569</f>
        <v>-6.0627751237218395E-3</v>
      </c>
      <c r="H570" s="202">
        <f t="shared" ref="H570" si="2186">(F570-F$2)/F$2</f>
        <v>0.4563014317418545</v>
      </c>
      <c r="I570" s="220">
        <v>368621.05</v>
      </c>
      <c r="J570" s="172">
        <v>300000</v>
      </c>
      <c r="K570" s="172">
        <f t="shared" ref="K570" si="2187">I570-I569-J570+J569</f>
        <v>305.52999999996973</v>
      </c>
      <c r="L570" s="170">
        <f t="shared" ref="L570" si="2188">K570/I569</f>
        <v>8.2953333055302617E-4</v>
      </c>
      <c r="M570" s="181">
        <f t="shared" ref="M570" si="2189">I570-J570</f>
        <v>68621.049999999988</v>
      </c>
      <c r="N570" s="183">
        <f t="shared" ref="N570" si="2190">M570/J570</f>
        <v>0.22873683333333331</v>
      </c>
      <c r="O570" s="182">
        <f t="shared" ref="O570" si="2191">N570/(A570/365.25)</f>
        <v>9.3766698512906838E-2</v>
      </c>
      <c r="P570" s="181" t="b">
        <f t="shared" ref="P570" si="2192">L570&gt;D570</f>
        <v>1</v>
      </c>
      <c r="Q570" s="183">
        <f>COUNTIF(P$2:P570, TRUE)/(COUNTIF(P$2:P570,FALSE) + COUNTIF(P$2:P570, TRUE))</f>
        <v>0.48506151142355008</v>
      </c>
      <c r="R570" s="172">
        <v>219596.85</v>
      </c>
      <c r="S570" s="172">
        <f t="shared" ref="S570" si="2193">I570-R570</f>
        <v>149024.19999999998</v>
      </c>
      <c r="T570" s="172">
        <v>-30343</v>
      </c>
      <c r="U570" s="172">
        <f t="shared" ref="U570" si="2194">M570-T570</f>
        <v>98964.049999999988</v>
      </c>
      <c r="V570" s="183">
        <f>STDEV(D$2:D570)*SQRT(252)</f>
        <v>0.13362419314060342</v>
      </c>
      <c r="W570" s="183">
        <f>STDEV(L$2:L570)*SQRT(252)</f>
        <v>0.28652560070203631</v>
      </c>
      <c r="X570" s="173">
        <f t="shared" si="1823"/>
        <v>1.711792063677043</v>
      </c>
      <c r="Y570" s="173">
        <f t="shared" ref="Y570" si="2195">O570/W570</f>
        <v>0.32725417304130078</v>
      </c>
      <c r="Z570" s="794">
        <f t="shared" si="1825"/>
        <v>-0.12090453574259749</v>
      </c>
    </row>
    <row r="571" spans="1:26" ht="20.100000000000001" customHeight="1" x14ac:dyDescent="0.25">
      <c r="A571" s="162">
        <f t="shared" ref="A571" si="2196">B571-$B$2</f>
        <v>892</v>
      </c>
      <c r="B571" s="171">
        <v>43125</v>
      </c>
      <c r="C571" s="214">
        <v>2839.25</v>
      </c>
      <c r="D571" s="170">
        <f t="shared" ref="D571" si="2197">(C571-C570)/C570</f>
        <v>6.0263467651558618E-4</v>
      </c>
      <c r="E571" s="208">
        <f t="shared" ref="E571" si="2198">(C571-$C$2)/$C$2</f>
        <v>0.3504547097657959</v>
      </c>
      <c r="F571" s="218">
        <v>7411.16</v>
      </c>
      <c r="G571" s="170">
        <f t="shared" ref="G571" si="2199">(F571-F570)/F570</f>
        <v>-5.2460873493777218E-4</v>
      </c>
      <c r="H571" s="202">
        <f t="shared" ref="H571" si="2200">(F571-F$2)/F$2</f>
        <v>0.4555374432900603</v>
      </c>
      <c r="I571" s="220">
        <v>365192.24</v>
      </c>
      <c r="J571" s="172">
        <v>300000</v>
      </c>
      <c r="K571" s="172">
        <f t="shared" ref="K571" si="2201">I571-I570-J571+J570</f>
        <v>-3428.8099999999977</v>
      </c>
      <c r="L571" s="170">
        <f t="shared" ref="L571" si="2202">K571/I570</f>
        <v>-9.3017205609934595E-3</v>
      </c>
      <c r="M571" s="181">
        <f t="shared" ref="M571" si="2203">I571-J571</f>
        <v>65192.239999999991</v>
      </c>
      <c r="N571" s="183">
        <f t="shared" ref="N571" si="2204">M571/J571</f>
        <v>0.21730746666666664</v>
      </c>
      <c r="O571" s="182">
        <f t="shared" ref="O571" si="2205">N571/(A571/365.25)</f>
        <v>8.8981560762331838E-2</v>
      </c>
      <c r="P571" s="181" t="b">
        <f t="shared" ref="P571" si="2206">L571&gt;D571</f>
        <v>0</v>
      </c>
      <c r="Q571" s="183">
        <f>COUNTIF(P$2:P571, TRUE)/(COUNTIF(P$2:P571,FALSE) + COUNTIF(P$2:P571, TRUE))</f>
        <v>0.48421052631578948</v>
      </c>
      <c r="R571" s="172">
        <v>213406.25</v>
      </c>
      <c r="S571" s="172">
        <f t="shared" ref="S571" si="2207">I571-R571</f>
        <v>151785.99</v>
      </c>
      <c r="T571" s="172">
        <v>-32432</v>
      </c>
      <c r="U571" s="172">
        <f t="shared" ref="U571" si="2208">M571-T571</f>
        <v>97624.239999999991</v>
      </c>
      <c r="V571" s="183">
        <f>STDEV(D$2:D571)*SQRT(252)</f>
        <v>0.13350651695509588</v>
      </c>
      <c r="W571" s="183">
        <f>STDEV(L$2:L571)*SQRT(252)</f>
        <v>0.28635026505168731</v>
      </c>
      <c r="X571" s="173">
        <f t="shared" si="1823"/>
        <v>1.6276918282555204</v>
      </c>
      <c r="Y571" s="173">
        <f t="shared" ref="Y571" si="2209">O571/W571</f>
        <v>0.31074376950994032</v>
      </c>
      <c r="Z571" s="794">
        <f t="shared" si="1825"/>
        <v>-0.13314724309912926</v>
      </c>
    </row>
    <row r="572" spans="1:26" ht="20.100000000000001" customHeight="1" x14ac:dyDescent="0.25">
      <c r="A572" s="162">
        <f t="shared" ref="A572" si="2210">B572-$B$2</f>
        <v>893</v>
      </c>
      <c r="B572" s="171">
        <v>43126</v>
      </c>
      <c r="C572" s="214">
        <v>2872.87</v>
      </c>
      <c r="D572" s="170">
        <f t="shared" ref="D572" si="2211">(C572-C571)/C571</f>
        <v>1.1841155234657001E-2</v>
      </c>
      <c r="E572" s="208">
        <f t="shared" ref="E572" si="2212">(C572-$C$2)/$C$2</f>
        <v>0.36644565362150633</v>
      </c>
      <c r="F572" s="218">
        <v>7505.77</v>
      </c>
      <c r="G572" s="170">
        <f t="shared" ref="G572" si="2213">(F572-F571)/F571</f>
        <v>1.2765882803771687E-2</v>
      </c>
      <c r="H572" s="202">
        <f t="shared" ref="H572" si="2214">(F572-F$2)/F$2</f>
        <v>0.47411866370760269</v>
      </c>
      <c r="I572" s="220">
        <v>367940.03</v>
      </c>
      <c r="J572" s="172">
        <v>300000</v>
      </c>
      <c r="K572" s="172">
        <f t="shared" ref="K572" si="2215">I572-I571-J572+J571</f>
        <v>2747.7900000000373</v>
      </c>
      <c r="L572" s="170">
        <f t="shared" ref="L572" si="2216">K572/I571</f>
        <v>7.5242288828482155E-3</v>
      </c>
      <c r="M572" s="181">
        <f t="shared" ref="M572" si="2217">I572-J572</f>
        <v>67940.030000000028</v>
      </c>
      <c r="N572" s="183">
        <f t="shared" ref="N572" si="2218">M572/J572</f>
        <v>0.22646676666666676</v>
      </c>
      <c r="O572" s="182">
        <f t="shared" ref="O572" si="2219">N572/(A572/365.25)</f>
        <v>9.2628204395296801E-2</v>
      </c>
      <c r="P572" s="181" t="b">
        <f t="shared" ref="P572" si="2220">L572&gt;D572</f>
        <v>0</v>
      </c>
      <c r="Q572" s="183">
        <f>COUNTIF(P$2:P572, TRUE)/(COUNTIF(P$2:P572,FALSE) + COUNTIF(P$2:P572, TRUE))</f>
        <v>0.48336252189141854</v>
      </c>
      <c r="R572" s="172">
        <v>189727.75</v>
      </c>
      <c r="S572" s="172">
        <f t="shared" ref="S572" si="2221">I572-R572</f>
        <v>178212.28000000003</v>
      </c>
      <c r="T572" s="172">
        <v>-32122</v>
      </c>
      <c r="U572" s="172">
        <f t="shared" ref="U572" si="2222">M572-T572</f>
        <v>100062.03000000003</v>
      </c>
      <c r="V572" s="183">
        <f>STDEV(D$2:D572)*SQRT(252)</f>
        <v>0.13359975823184689</v>
      </c>
      <c r="W572" s="183">
        <f>STDEV(L$2:L572)*SQRT(252)</f>
        <v>0.28613494749113977</v>
      </c>
      <c r="X572" s="173">
        <f t="shared" si="1823"/>
        <v>1.6951135964906461</v>
      </c>
      <c r="Y572" s="173">
        <f t="shared" ref="Y572" si="2223">O572/W572</f>
        <v>0.32372209409395913</v>
      </c>
      <c r="Z572" s="794">
        <f t="shared" si="1825"/>
        <v>-0.13997888695483957</v>
      </c>
    </row>
    <row r="573" spans="1:26" ht="20.100000000000001" customHeight="1" x14ac:dyDescent="0.25">
      <c r="A573" s="162">
        <f t="shared" ref="A573" si="2224">B573-$B$2</f>
        <v>896</v>
      </c>
      <c r="B573" s="171">
        <v>43129</v>
      </c>
      <c r="C573" s="214">
        <v>2853.53</v>
      </c>
      <c r="D573" s="170">
        <f t="shared" ref="D573" si="2225">(C573-C572)/C572</f>
        <v>-6.7319440141738723E-3</v>
      </c>
      <c r="E573" s="208">
        <f t="shared" ref="E573" si="2226">(C573-$C$2)/$C$2</f>
        <v>0.35724681798291513</v>
      </c>
      <c r="F573" s="218">
        <v>7466.5</v>
      </c>
      <c r="G573" s="170">
        <f t="shared" ref="G573" si="2227">(F573-F572)/F572</f>
        <v>-5.2319748673354547E-3</v>
      </c>
      <c r="H573" s="202">
        <f t="shared" ref="H573" si="2228">(F573-F$2)/F$2</f>
        <v>0.46640611190761438</v>
      </c>
      <c r="I573" s="220">
        <v>367642.25</v>
      </c>
      <c r="J573" s="172">
        <v>300000</v>
      </c>
      <c r="K573" s="172">
        <f t="shared" ref="K573" si="2229">I573-I572-J573+J572</f>
        <v>-297.78000000002794</v>
      </c>
      <c r="L573" s="170">
        <f t="shared" ref="L573" si="2230">K573/I572</f>
        <v>-8.0931667043683151E-4</v>
      </c>
      <c r="M573" s="181">
        <f t="shared" ref="M573" si="2231">I573-J573</f>
        <v>67642.25</v>
      </c>
      <c r="N573" s="183">
        <f t="shared" ref="N573" si="2232">M573/J573</f>
        <v>0.22547416666666667</v>
      </c>
      <c r="O573" s="182">
        <f t="shared" ref="O573" si="2233">N573/(A573/365.25)</f>
        <v>9.1913436802455367E-2</v>
      </c>
      <c r="P573" s="181" t="b">
        <f t="shared" ref="P573" si="2234">L573&gt;D573</f>
        <v>1</v>
      </c>
      <c r="Q573" s="183">
        <f>COUNTIF(P$2:P573, TRUE)/(COUNTIF(P$2:P573,FALSE) + COUNTIF(P$2:P573, TRUE))</f>
        <v>0.48426573426573427</v>
      </c>
      <c r="R573" s="172">
        <v>189728.75</v>
      </c>
      <c r="S573" s="172">
        <f t="shared" ref="S573" si="2235">I573-R573</f>
        <v>177913.5</v>
      </c>
      <c r="T573" s="172">
        <v>-32121</v>
      </c>
      <c r="U573" s="172">
        <f t="shared" ref="U573" si="2236">M573-T573</f>
        <v>99763.25</v>
      </c>
      <c r="V573" s="183">
        <f>STDEV(D$2:D573)*SQRT(252)</f>
        <v>0.13357094602559386</v>
      </c>
      <c r="W573" s="183">
        <f>STDEV(L$2:L573)*SQRT(252)</f>
        <v>0.28588553208856937</v>
      </c>
      <c r="X573" s="173">
        <f t="shared" si="1823"/>
        <v>1.6880479877971593</v>
      </c>
      <c r="Y573" s="173">
        <f t="shared" ref="Y573" si="2237">O573/W573</f>
        <v>0.32150433122995509</v>
      </c>
      <c r="Z573" s="794">
        <f t="shared" si="1825"/>
        <v>-0.13177265131624846</v>
      </c>
    </row>
    <row r="574" spans="1:26" ht="20.100000000000001" customHeight="1" x14ac:dyDescent="0.25">
      <c r="A574" s="162">
        <f t="shared" ref="A574" si="2238">B574-$B$2</f>
        <v>897</v>
      </c>
      <c r="B574" s="171">
        <v>43130</v>
      </c>
      <c r="C574" s="214">
        <v>2822.43</v>
      </c>
      <c r="D574" s="170">
        <f t="shared" ref="D574" si="2239">(C574-C573)/C573</f>
        <v>-1.0898781509218533E-2</v>
      </c>
      <c r="E574" s="208">
        <f t="shared" ref="E574" si="2240">(C574-$C$2)/$C$2</f>
        <v>0.34245448145963725</v>
      </c>
      <c r="F574" s="218">
        <v>7402.48</v>
      </c>
      <c r="G574" s="170">
        <f t="shared" ref="G574" si="2241">(F574-F573)/F573</f>
        <v>-8.5742985334494662E-3</v>
      </c>
      <c r="H574" s="202">
        <f t="shared" ref="H574" si="2242">(F574-F$2)/F$2</f>
        <v>0.4538327081328436</v>
      </c>
      <c r="I574" s="220">
        <v>363472.55</v>
      </c>
      <c r="J574" s="172">
        <v>300000</v>
      </c>
      <c r="K574" s="172">
        <f t="shared" ref="K574" si="2243">I574-I573-J574+J573</f>
        <v>-4169.7000000000116</v>
      </c>
      <c r="L574" s="170">
        <f t="shared" ref="L574" si="2244">K574/I573</f>
        <v>-1.1341732349859168E-2</v>
      </c>
      <c r="M574" s="181">
        <f t="shared" ref="M574" si="2245">I574-J574</f>
        <v>63472.549999999988</v>
      </c>
      <c r="N574" s="183">
        <f t="shared" ref="N574" si="2246">M574/J574</f>
        <v>0.21157516666666662</v>
      </c>
      <c r="O574" s="182">
        <f t="shared" ref="O574" si="2247">N574/(A574/365.25)</f>
        <v>8.6151426560758054E-2</v>
      </c>
      <c r="P574" s="181" t="b">
        <f t="shared" ref="P574" si="2248">L574&gt;D574</f>
        <v>0</v>
      </c>
      <c r="Q574" s="183">
        <f>COUNTIF(P$2:P574, TRUE)/(COUNTIF(P$2:P574,FALSE) + COUNTIF(P$2:P574, TRUE))</f>
        <v>0.48342059336823734</v>
      </c>
      <c r="R574" s="172">
        <v>202153.55</v>
      </c>
      <c r="S574" s="172">
        <f t="shared" ref="S574" si="2249">I574-R574</f>
        <v>161319</v>
      </c>
      <c r="T574" s="172">
        <v>-32010</v>
      </c>
      <c r="U574" s="172">
        <f t="shared" ref="U574" si="2250">M574-T574</f>
        <v>95482.549999999988</v>
      </c>
      <c r="V574" s="183">
        <f>STDEV(D$2:D574)*SQRT(252)</f>
        <v>0.13367087900186314</v>
      </c>
      <c r="W574" s="183">
        <f>STDEV(L$2:L574)*SQRT(252)</f>
        <v>0.28574629394244244</v>
      </c>
      <c r="X574" s="173">
        <f t="shared" si="1823"/>
        <v>1.5828067283354785</v>
      </c>
      <c r="Y574" s="173">
        <f t="shared" ref="Y574" si="2251">O574/W574</f>
        <v>0.30149621670372895</v>
      </c>
      <c r="Z574" s="794">
        <f t="shared" si="1825"/>
        <v>-0.13087931479297063</v>
      </c>
    </row>
    <row r="575" spans="1:26" ht="20.100000000000001" customHeight="1" x14ac:dyDescent="0.25">
      <c r="A575" s="162">
        <f t="shared" ref="A575" si="2252">B575-$B$2</f>
        <v>898</v>
      </c>
      <c r="B575" s="171">
        <v>43131</v>
      </c>
      <c r="C575" s="214">
        <v>2823.81</v>
      </c>
      <c r="D575" s="170">
        <f t="shared" ref="D575" si="2253">(C575-C574)/C574</f>
        <v>4.8894038116095327E-4</v>
      </c>
      <c r="E575" s="208">
        <f t="shared" ref="E575" si="2254">(C575-$C$2)/$C$2</f>
        <v>0.34311086166549337</v>
      </c>
      <c r="F575" s="218">
        <v>7411.48</v>
      </c>
      <c r="G575" s="170">
        <f t="shared" ref="G575" si="2255">(F575-F574)/F574</f>
        <v>1.215808755984481E-3</v>
      </c>
      <c r="H575" s="202">
        <f t="shared" ref="H575" si="2256">(F575-F$2)/F$2</f>
        <v>0.45560029066912816</v>
      </c>
      <c r="I575" s="465">
        <v>363062.5</v>
      </c>
      <c r="J575" s="172">
        <v>300000</v>
      </c>
      <c r="K575" s="172">
        <f t="shared" ref="K575" si="2257">I575-I574-J575+J574</f>
        <v>-410.04999999998836</v>
      </c>
      <c r="L575" s="170">
        <f t="shared" ref="L575" si="2258">K575/I574</f>
        <v>-1.1281457155429987E-3</v>
      </c>
      <c r="M575" s="465">
        <f t="shared" ref="M575" si="2259">I575-J575</f>
        <v>63062.5</v>
      </c>
      <c r="N575" s="183">
        <f t="shared" ref="N575" si="2260">M575/J575</f>
        <v>0.21020833333333333</v>
      </c>
      <c r="O575" s="182">
        <f t="shared" ref="O575" si="2261">N575/(A575/365.25)</f>
        <v>8.5499547605790635E-2</v>
      </c>
      <c r="P575" s="181" t="b">
        <f t="shared" ref="P575" si="2262">L575&gt;D575</f>
        <v>0</v>
      </c>
      <c r="Q575" s="183">
        <f>COUNTIF(P$2:P575, TRUE)/(COUNTIF(P$2:P575,FALSE) + COUNTIF(P$2:P575, TRUE))</f>
        <v>0.48257839721254353</v>
      </c>
      <c r="R575" s="172">
        <v>225816.5</v>
      </c>
      <c r="S575" s="172">
        <f t="shared" ref="S575" si="2263">I575-R575</f>
        <v>137246</v>
      </c>
      <c r="T575" s="172">
        <v>-31812</v>
      </c>
      <c r="U575" s="172">
        <f t="shared" ref="U575" si="2264">M575-T575</f>
        <v>94874.5</v>
      </c>
      <c r="V575" s="183">
        <f>STDEV(D$2:D575)*SQRT(252)</f>
        <v>0.13355398891699974</v>
      </c>
      <c r="W575" s="183">
        <f>STDEV(L$2:L575)*SQRT(252)</f>
        <v>0.28549883335268605</v>
      </c>
      <c r="X575" s="173">
        <f t="shared" si="1823"/>
        <v>1.5739577307868522</v>
      </c>
      <c r="Y575" s="173">
        <f t="shared" ref="Y575" si="2265">O575/W575</f>
        <v>0.29947424513700288</v>
      </c>
      <c r="Z575" s="794">
        <f t="shared" si="1825"/>
        <v>-0.13290252833216004</v>
      </c>
    </row>
    <row r="576" spans="1:26" ht="20.100000000000001" customHeight="1" x14ac:dyDescent="0.25">
      <c r="A576" s="162">
        <f t="shared" ref="A576" si="2266">B576-$B$2</f>
        <v>899</v>
      </c>
      <c r="B576" s="171">
        <v>43132</v>
      </c>
      <c r="C576" s="214">
        <v>2821.98</v>
      </c>
      <c r="D576" s="170">
        <f t="shared" ref="D576" si="2267">(C576-C575)/C575</f>
        <v>-6.4806059897795079E-4</v>
      </c>
      <c r="E576" s="208">
        <f t="shared" ref="E576" si="2268">(C576-$C$2)/$C$2</f>
        <v>0.34224044443598861</v>
      </c>
      <c r="F576" s="218">
        <v>7385.86</v>
      </c>
      <c r="G576" s="170">
        <f t="shared" ref="G576" si="2269">(F576-F575)/F575</f>
        <v>-3.4567994516614621E-3</v>
      </c>
      <c r="H576" s="202">
        <f t="shared" ref="H576" si="2270">(F576-F$2)/F$2</f>
        <v>0.45056857238250486</v>
      </c>
      <c r="I576" s="220">
        <v>363770.56</v>
      </c>
      <c r="J576" s="172">
        <v>300000</v>
      </c>
      <c r="K576" s="172">
        <f t="shared" ref="K576" si="2271">I576-I575-J576+J575</f>
        <v>708.05999999999767</v>
      </c>
      <c r="L576" s="170">
        <f t="shared" ref="L576" si="2272">K576/I575</f>
        <v>1.95024272680323E-3</v>
      </c>
      <c r="M576" s="181">
        <f t="shared" ref="M576" si="2273">I576-J576</f>
        <v>63770.559999999998</v>
      </c>
      <c r="N576" s="183">
        <f t="shared" ref="N576" si="2274">M576/J576</f>
        <v>0.21256853333333334</v>
      </c>
      <c r="O576" s="182">
        <f t="shared" ref="O576" si="2275">N576/(A576/365.25)</f>
        <v>8.6363355728587318E-2</v>
      </c>
      <c r="P576" s="181" t="b">
        <f t="shared" ref="P576" si="2276">L576&gt;D576</f>
        <v>1</v>
      </c>
      <c r="Q576" s="183">
        <f>COUNTIF(P$2:P576, TRUE)/(COUNTIF(P$2:P576,FALSE) + COUNTIF(P$2:P576, TRUE))</f>
        <v>0.48347826086956519</v>
      </c>
      <c r="R576" s="172">
        <v>233398.5</v>
      </c>
      <c r="S576" s="172">
        <f t="shared" ref="S576" si="2277">I576-R576</f>
        <v>130372.06</v>
      </c>
      <c r="T576" s="172">
        <v>-31543</v>
      </c>
      <c r="U576" s="172">
        <f t="shared" ref="U576" si="2278">M576-T576</f>
        <v>95313.56</v>
      </c>
      <c r="V576" s="183">
        <f>STDEV(D$2:D576)*SQRT(252)</f>
        <v>0.13343976080758532</v>
      </c>
      <c r="W576" s="183">
        <f>STDEV(L$2:L576)*SQRT(252)</f>
        <v>0.28525091154522259</v>
      </c>
      <c r="X576" s="173">
        <f t="shared" si="1823"/>
        <v>1.5929924637668413</v>
      </c>
      <c r="Y576" s="173">
        <f t="shared" ref="Y576" si="2279">O576/W576</f>
        <v>0.30276276861220686</v>
      </c>
      <c r="Z576" s="794">
        <f t="shared" si="1825"/>
        <v>-0.12967191110265527</v>
      </c>
    </row>
    <row r="577" spans="1:26" ht="20.100000000000001" customHeight="1" x14ac:dyDescent="0.25">
      <c r="A577" s="162">
        <f t="shared" ref="A577" si="2280">B577-$B$2</f>
        <v>900</v>
      </c>
      <c r="B577" s="171">
        <v>43133</v>
      </c>
      <c r="C577" s="214">
        <v>2762.13</v>
      </c>
      <c r="D577" s="170">
        <f t="shared" ref="D577" si="2281">(C577-C576)/C576</f>
        <v>-2.1208513171602886E-2</v>
      </c>
      <c r="E577" s="208">
        <f t="shared" ref="E577" si="2282">(C577-$C$2)/$C$2</f>
        <v>0.31377352029070987</v>
      </c>
      <c r="F577" s="218">
        <v>7240.94</v>
      </c>
      <c r="G577" s="170">
        <f t="shared" ref="G577" si="2283">(F577-F576)/F576</f>
        <v>-1.9621276330718439E-2</v>
      </c>
      <c r="H577" s="202">
        <f t="shared" ref="H577" si="2284">(F577-F$2)/F$2</f>
        <v>0.422106565587132</v>
      </c>
      <c r="I577" s="220">
        <v>356559.21</v>
      </c>
      <c r="J577" s="172">
        <v>300000</v>
      </c>
      <c r="K577" s="172">
        <f t="shared" ref="K577" si="2285">I577-I576-J577+J576</f>
        <v>-7211.3499999999767</v>
      </c>
      <c r="L577" s="170">
        <f t="shared" ref="L577" si="2286">K577/I576</f>
        <v>-1.9823896689165767E-2</v>
      </c>
      <c r="M577" s="181">
        <f t="shared" ref="M577" si="2287">I577-J577</f>
        <v>56559.210000000021</v>
      </c>
      <c r="N577" s="183">
        <f t="shared" ref="N577" si="2288">M577/J577</f>
        <v>0.18853070000000008</v>
      </c>
      <c r="O577" s="182">
        <f t="shared" ref="O577" si="2289">N577/(A577/365.25)</f>
        <v>7.651204241666669E-2</v>
      </c>
      <c r="P577" s="181" t="b">
        <f t="shared" ref="P577" si="2290">L577&gt;D577</f>
        <v>1</v>
      </c>
      <c r="Q577" s="183">
        <f>COUNTIF(P$2:P577, TRUE)/(COUNTIF(P$2:P577,FALSE) + COUNTIF(P$2:P577, TRUE))</f>
        <v>0.484375</v>
      </c>
      <c r="R577" s="172">
        <v>256773.45</v>
      </c>
      <c r="S577" s="172">
        <f t="shared" ref="S577" si="2291">I577-R577</f>
        <v>99785.760000000009</v>
      </c>
      <c r="T577" s="172">
        <v>-31380</v>
      </c>
      <c r="U577" s="172">
        <f t="shared" ref="U577" si="2292">M577-T577</f>
        <v>87939.210000000021</v>
      </c>
      <c r="V577" s="183">
        <f>STDEV(D$2:D577)*SQRT(252)</f>
        <v>0.13409921649872969</v>
      </c>
      <c r="W577" s="183">
        <f>STDEV(L$2:L577)*SQRT(252)</f>
        <v>0.28532431904874161</v>
      </c>
      <c r="X577" s="173">
        <f t="shared" si="1823"/>
        <v>1.4059045602386948</v>
      </c>
      <c r="Y577" s="173">
        <f t="shared" ref="Y577" si="2293">O577/W577</f>
        <v>0.26815815305107671</v>
      </c>
      <c r="Z577" s="794">
        <f t="shared" si="1825"/>
        <v>-0.12524282029070979</v>
      </c>
    </row>
    <row r="578" spans="1:26" ht="20.100000000000001" customHeight="1" x14ac:dyDescent="0.25">
      <c r="A578" s="162">
        <f t="shared" ref="A578" si="2294">B578-$B$2</f>
        <v>903</v>
      </c>
      <c r="B578" s="171">
        <v>43136</v>
      </c>
      <c r="C578" s="214">
        <v>2648.94</v>
      </c>
      <c r="D578" s="170">
        <f t="shared" ref="D578" si="2295">(C578-C577)/C577</f>
        <v>-4.0979244278871757E-2</v>
      </c>
      <c r="E578" s="208">
        <f t="shared" ref="E578" si="2296">(C578-$C$2)/$C$2</f>
        <v>0.25993607427560356</v>
      </c>
      <c r="F578" s="218">
        <v>6967.52</v>
      </c>
      <c r="G578" s="170">
        <f t="shared" ref="G578" si="2297">(F578-F577)/F577</f>
        <v>-3.7760290790974538E-2</v>
      </c>
      <c r="H578" s="202">
        <f t="shared" ref="H578" si="2298">(F578-F$2)/F$2</f>
        <v>0.36840740813480777</v>
      </c>
      <c r="I578" s="220">
        <v>346151.51</v>
      </c>
      <c r="J578" s="172">
        <v>300000</v>
      </c>
      <c r="K578" s="172">
        <f t="shared" ref="K578" si="2299">I578-I577-J578+J577</f>
        <v>-10407.700000000012</v>
      </c>
      <c r="L578" s="170">
        <f t="shared" ref="L578" si="2300">K578/I577</f>
        <v>-2.918926144131857E-2</v>
      </c>
      <c r="M578" s="181">
        <f t="shared" ref="M578" si="2301">I578-J578</f>
        <v>46151.510000000009</v>
      </c>
      <c r="N578" s="183">
        <f t="shared" ref="N578" si="2302">M578/J578</f>
        <v>0.1538383666666667</v>
      </c>
      <c r="O578" s="182">
        <f t="shared" ref="O578" si="2303">N578/(A578/365.25)</f>
        <v>6.2225319407530469E-2</v>
      </c>
      <c r="P578" s="181" t="b">
        <f t="shared" ref="P578" si="2304">L578&gt;D578</f>
        <v>1</v>
      </c>
      <c r="Q578" s="183">
        <f>COUNTIF(P$2:P578, TRUE)/(COUNTIF(P$2:P578,FALSE) + COUNTIF(P$2:P578, TRUE))</f>
        <v>0.48526863084922012</v>
      </c>
      <c r="R578" s="172">
        <v>265974.57</v>
      </c>
      <c r="S578" s="172">
        <f t="shared" ref="S578" si="2305">I578-R578</f>
        <v>80176.94</v>
      </c>
      <c r="T578" s="172">
        <v>-31901</v>
      </c>
      <c r="U578" s="172">
        <f t="shared" ref="U578" si="2306">M578-T578</f>
        <v>78052.510000000009</v>
      </c>
      <c r="V578" s="183">
        <f>STDEV(D$2:D578)*SQRT(252)</f>
        <v>0.13676413993416908</v>
      </c>
      <c r="W578" s="183">
        <f>STDEV(L$2:L578)*SQRT(252)</f>
        <v>0.28575670816669452</v>
      </c>
      <c r="X578" s="173">
        <f t="shared" si="1823"/>
        <v>1.1248443249869171</v>
      </c>
      <c r="Y578" s="173">
        <f t="shared" ref="Y578" si="2307">O578/W578</f>
        <v>0.21775628578151066</v>
      </c>
      <c r="Z578" s="794">
        <f t="shared" si="1825"/>
        <v>-0.10609770760893686</v>
      </c>
    </row>
    <row r="579" spans="1:26" ht="20.100000000000001" customHeight="1" x14ac:dyDescent="0.25">
      <c r="A579" s="162">
        <f t="shared" ref="A579" si="2308">B579-$B$2</f>
        <v>904</v>
      </c>
      <c r="B579" s="171">
        <v>43137</v>
      </c>
      <c r="C579" s="214">
        <v>2695.14</v>
      </c>
      <c r="D579" s="170">
        <f t="shared" ref="D579" si="2309">(C579-C578)/C578</f>
        <v>1.7440938639606718E-2</v>
      </c>
      <c r="E579" s="208">
        <f t="shared" ref="E579" si="2310">(C579-$C$2)/$C$2</f>
        <v>0.28191054203687133</v>
      </c>
      <c r="F579" s="218">
        <v>7115.88</v>
      </c>
      <c r="G579" s="170">
        <f t="shared" ref="G579" si="2311">(F579-F578)/F578</f>
        <v>2.1293085631616367E-2</v>
      </c>
      <c r="H579" s="202">
        <f t="shared" ref="H579" si="2312">(F579-F$2)/F$2</f>
        <v>0.39754502425516042</v>
      </c>
      <c r="I579" s="220">
        <v>368455.72</v>
      </c>
      <c r="J579" s="172">
        <v>315000</v>
      </c>
      <c r="K579" s="172">
        <f t="shared" ref="K579" si="2313">I579-I578-J579+J578</f>
        <v>7304.2099999999627</v>
      </c>
      <c r="L579" s="170">
        <f t="shared" ref="L579" si="2314">K579/I578</f>
        <v>2.1101193520721498E-2</v>
      </c>
      <c r="M579" s="181">
        <f t="shared" ref="M579" si="2315">I579-J579</f>
        <v>53455.719999999972</v>
      </c>
      <c r="N579" s="183">
        <f t="shared" ref="N579" si="2316">M579/J579</f>
        <v>0.16970069841269833</v>
      </c>
      <c r="O579" s="182">
        <f t="shared" ref="O579" si="2317">N579/(A579/365.25)</f>
        <v>6.8565464707121757E-2</v>
      </c>
      <c r="P579" s="181" t="b">
        <f t="shared" ref="P579" si="2318">L579&gt;D579</f>
        <v>1</v>
      </c>
      <c r="Q579" s="183">
        <f>COUNTIF(P$2:P579, TRUE)/(COUNTIF(P$2:P579,FALSE) + COUNTIF(P$2:P579, TRUE))</f>
        <v>0.48615916955017302</v>
      </c>
      <c r="R579" s="172">
        <v>296999.40999999997</v>
      </c>
      <c r="S579" s="172">
        <f t="shared" ref="S579" si="2319">I579-R579</f>
        <v>71456.31</v>
      </c>
      <c r="T579" s="172">
        <v>-31165</v>
      </c>
      <c r="U579" s="172">
        <f t="shared" ref="U579" si="2320">M579-T579</f>
        <v>84620.719999999972</v>
      </c>
      <c r="V579" s="183">
        <f>STDEV(D$2:D579)*SQRT(252)</f>
        <v>0.13710658349791818</v>
      </c>
      <c r="W579" s="183">
        <f>STDEV(L$2:L579)*SQRT(252)</f>
        <v>0.28583112452570963</v>
      </c>
      <c r="X579" s="173">
        <f t="shared" si="1823"/>
        <v>1.2377282992780216</v>
      </c>
      <c r="Y579" s="173">
        <f t="shared" ref="Y579" si="2321">O579/W579</f>
        <v>0.23988103052421256</v>
      </c>
      <c r="Z579" s="794">
        <f t="shared" si="1825"/>
        <v>-0.11220984362417299</v>
      </c>
    </row>
    <row r="580" spans="1:26" ht="20.100000000000001" customHeight="1" x14ac:dyDescent="0.25">
      <c r="A580" s="162">
        <f t="shared" ref="A580" si="2322">B580-$B$2</f>
        <v>905</v>
      </c>
      <c r="B580" s="171">
        <v>43138</v>
      </c>
      <c r="C580" s="214">
        <v>2681.66</v>
      </c>
      <c r="D580" s="170">
        <f t="shared" ref="D580" si="2323">(C580-C579)/C579</f>
        <v>-5.0015954644285713E-3</v>
      </c>
      <c r="E580" s="208">
        <f t="shared" ref="E580" si="2324">(C580-$C$2)/$C$2</f>
        <v>0.27549894408401654</v>
      </c>
      <c r="F580" s="218">
        <v>7051.98</v>
      </c>
      <c r="G580" s="170">
        <f t="shared" ref="G580" si="2325">(F580-F579)/F579</f>
        <v>-8.979915344272324E-3</v>
      </c>
      <c r="H580" s="202">
        <f t="shared" ref="H580" si="2326">(F580-F$2)/F$2</f>
        <v>0.38499518824754009</v>
      </c>
      <c r="I580" s="220">
        <v>449047.22</v>
      </c>
      <c r="J580" s="172">
        <v>400000</v>
      </c>
      <c r="K580" s="172">
        <f t="shared" ref="K580" si="2327">I580-I579-J580+J579</f>
        <v>-4408.5</v>
      </c>
      <c r="L580" s="170">
        <f t="shared" ref="L580" si="2328">K580/I579</f>
        <v>-1.196480271767799E-2</v>
      </c>
      <c r="M580" s="181">
        <f t="shared" ref="M580" si="2329">I580-J580</f>
        <v>49047.219999999972</v>
      </c>
      <c r="N580" s="183">
        <f t="shared" ref="N580" si="2330">M580/J580</f>
        <v>0.12261804999999994</v>
      </c>
      <c r="O580" s="182">
        <f t="shared" ref="O580" si="2331">N580/(A580/365.25)</f>
        <v>4.9487561063535884E-2</v>
      </c>
      <c r="P580" s="181" t="b">
        <f t="shared" ref="P580" si="2332">L580&gt;D580</f>
        <v>0</v>
      </c>
      <c r="Q580" s="183">
        <f>COUNTIF(P$2:P580, TRUE)/(COUNTIF(P$2:P580,FALSE) + COUNTIF(P$2:P580, TRUE))</f>
        <v>0.48531951640759929</v>
      </c>
      <c r="R580" s="172">
        <v>292590.90999999997</v>
      </c>
      <c r="S580" s="172">
        <f t="shared" ref="S580" si="2333">I580-R580</f>
        <v>156456.31</v>
      </c>
      <c r="T580" s="172">
        <v>-30966</v>
      </c>
      <c r="U580" s="172">
        <f t="shared" ref="U580" si="2334">M580-T580</f>
        <v>80013.219999999972</v>
      </c>
      <c r="V580" s="183">
        <f>STDEV(D$2:D580)*SQRT(252)</f>
        <v>0.13703531607045086</v>
      </c>
      <c r="W580" s="183">
        <f>STDEV(L$2:L580)*SQRT(252)</f>
        <v>0.28570370626215735</v>
      </c>
      <c r="X580" s="173">
        <f t="shared" si="1823"/>
        <v>0.89479160202003039</v>
      </c>
      <c r="Y580" s="173">
        <f t="shared" ref="Y580" si="2335">O580/W580</f>
        <v>0.17321287746308356</v>
      </c>
      <c r="Z580" s="794">
        <f t="shared" si="1825"/>
        <v>-0.15288089408401662</v>
      </c>
    </row>
    <row r="581" spans="1:26" ht="20.100000000000001" customHeight="1" x14ac:dyDescent="0.25">
      <c r="A581" s="162">
        <f t="shared" ref="A581" si="2336">B581-$B$2</f>
        <v>906</v>
      </c>
      <c r="B581" s="171">
        <v>43139</v>
      </c>
      <c r="C581" s="214">
        <v>2581</v>
      </c>
      <c r="D581" s="170">
        <f t="shared" ref="D581" si="2337">(C581-C580)/C580</f>
        <v>-3.753645130255135E-2</v>
      </c>
      <c r="E581" s="208">
        <f t="shared" ref="E581" si="2338">(C581-$C$2)/$C$2</f>
        <v>0.2276212400829512</v>
      </c>
      <c r="F581" s="218">
        <v>6777.15</v>
      </c>
      <c r="G581" s="170">
        <f t="shared" ref="G581" si="2339">(F581-F580)/F580</f>
        <v>-3.8972033386368073E-2</v>
      </c>
      <c r="H581" s="202">
        <f t="shared" ref="H581" si="2340">(F581-F$2)/F$2</f>
        <v>0.33101910953119779</v>
      </c>
      <c r="I581" s="220">
        <v>437852.33</v>
      </c>
      <c r="J581" s="172">
        <v>400000</v>
      </c>
      <c r="K581" s="172">
        <f t="shared" ref="K581" si="2341">I581-I580-J581+J580</f>
        <v>-11194.889999999956</v>
      </c>
      <c r="L581" s="170">
        <f t="shared" ref="L581" si="2342">K581/I580</f>
        <v>-2.4930318018670634E-2</v>
      </c>
      <c r="M581" s="181">
        <f t="shared" ref="M581" si="2343">I581-J581</f>
        <v>37852.330000000016</v>
      </c>
      <c r="N581" s="183">
        <f t="shared" ref="N581" si="2344">M581/J581</f>
        <v>9.4630825000000043E-2</v>
      </c>
      <c r="O581" s="182">
        <f t="shared" ref="O581" si="2345">N581/(A581/365.25)</f>
        <v>3.8150009747516575E-2</v>
      </c>
      <c r="P581" s="181" t="b">
        <f t="shared" ref="P581" si="2346">L581&gt;D581</f>
        <v>1</v>
      </c>
      <c r="Q581" s="183">
        <f>COUNTIF(P$2:P581, TRUE)/(COUNTIF(P$2:P581,FALSE) + COUNTIF(P$2:P581, TRUE))</f>
        <v>0.48620689655172411</v>
      </c>
      <c r="R581" s="172">
        <v>297311.21000000002</v>
      </c>
      <c r="S581" s="172">
        <f t="shared" ref="S581" si="2347">I581-R581</f>
        <v>140541.12</v>
      </c>
      <c r="T581" s="172">
        <v>-31340</v>
      </c>
      <c r="U581" s="172">
        <f t="shared" ref="U581" si="2348">M581-T581</f>
        <v>69192.330000000016</v>
      </c>
      <c r="V581" s="183">
        <f>STDEV(D$2:D581)*SQRT(252)</f>
        <v>0.13919227894653693</v>
      </c>
      <c r="W581" s="183">
        <f>STDEV(L$2:L581)*SQRT(252)</f>
        <v>0.28595185199746759</v>
      </c>
      <c r="X581" s="173">
        <f t="shared" si="1823"/>
        <v>0.67985685496497461</v>
      </c>
      <c r="Y581" s="173">
        <f t="shared" ref="Y581" si="2349">O581/W581</f>
        <v>0.13341410269255552</v>
      </c>
      <c r="Z581" s="794">
        <f t="shared" si="1825"/>
        <v>-0.13299041508295117</v>
      </c>
    </row>
    <row r="582" spans="1:26" ht="20.100000000000001" customHeight="1" x14ac:dyDescent="0.25">
      <c r="A582" s="162">
        <f t="shared" ref="A582" si="2350">B582-$B$2</f>
        <v>907</v>
      </c>
      <c r="B582" s="171">
        <v>43140</v>
      </c>
      <c r="C582" s="214">
        <v>2619.5500000000002</v>
      </c>
      <c r="D582" s="170">
        <f t="shared" ref="D582" si="2351">(C582-C581)/C581</f>
        <v>1.4936071290197668E-2</v>
      </c>
      <c r="E582" s="208">
        <f t="shared" ref="E582" si="2352">(C582-$C$2)/$C$2</f>
        <v>0.24595707844219103</v>
      </c>
      <c r="F582" s="218">
        <v>6874.49</v>
      </c>
      <c r="G582" s="170">
        <f t="shared" ref="G582" si="2353">(F582-F581)/F581</f>
        <v>1.4362969684897066E-2</v>
      </c>
      <c r="H582" s="202">
        <f t="shared" ref="H582" si="2354">(F582-F$2)/F$2</f>
        <v>0.35013649665141311</v>
      </c>
      <c r="I582" s="220">
        <v>439997.44</v>
      </c>
      <c r="J582" s="172">
        <v>400000</v>
      </c>
      <c r="K582" s="172">
        <f t="shared" ref="K582" si="2355">I582-I581-J582+J581</f>
        <v>2145.109999999986</v>
      </c>
      <c r="L582" s="170">
        <f t="shared" ref="L582" si="2356">K582/I581</f>
        <v>4.8991631493658736E-3</v>
      </c>
      <c r="M582" s="181">
        <f t="shared" ref="M582" si="2357">I582-J582</f>
        <v>39997.440000000002</v>
      </c>
      <c r="N582" s="183">
        <f t="shared" ref="N582" si="2358">M582/J582</f>
        <v>9.9993600000000002E-2</v>
      </c>
      <c r="O582" s="182">
        <f t="shared" ref="O582" si="2359">N582/(A582/365.25)</f>
        <v>4.0267543991179718E-2</v>
      </c>
      <c r="P582" s="181" t="b">
        <f t="shared" ref="P582" si="2360">L582&gt;D582</f>
        <v>0</v>
      </c>
      <c r="Q582" s="183">
        <f>COUNTIF(P$2:P582, TRUE)/(COUNTIF(P$2:P582,FALSE) + COUNTIF(P$2:P582, TRUE))</f>
        <v>0.48537005163511188</v>
      </c>
      <c r="R582" s="172">
        <v>299744.40000000002</v>
      </c>
      <c r="S582" s="172">
        <f t="shared" ref="S582" si="2361">I582-R582</f>
        <v>140253.03999999998</v>
      </c>
      <c r="T582" s="172">
        <v>-31484</v>
      </c>
      <c r="U582" s="172">
        <f t="shared" ref="U582" si="2362">M582-T582</f>
        <v>71481.440000000002</v>
      </c>
      <c r="V582" s="183">
        <f>STDEV(D$2:D582)*SQRT(252)</f>
        <v>0.13940203230869319</v>
      </c>
      <c r="W582" s="183">
        <f>STDEV(L$2:L582)*SQRT(252)</f>
        <v>0.28571933333245791</v>
      </c>
      <c r="X582" s="173">
        <f t="shared" si="1823"/>
        <v>0.71730374617906012</v>
      </c>
      <c r="Y582" s="173">
        <f t="shared" ref="Y582" si="2363">O582/W582</f>
        <v>0.14093391413707773</v>
      </c>
      <c r="Z582" s="794">
        <f t="shared" si="1825"/>
        <v>-0.14596347844219104</v>
      </c>
    </row>
    <row r="583" spans="1:26" ht="20.100000000000001" customHeight="1" x14ac:dyDescent="0.25">
      <c r="A583" s="162">
        <f t="shared" ref="A583" si="2364">B583-$B$2</f>
        <v>910</v>
      </c>
      <c r="B583" s="171">
        <v>43143</v>
      </c>
      <c r="C583" s="214">
        <v>2656</v>
      </c>
      <c r="D583" s="170">
        <f t="shared" ref="D583" si="2365">(C583-C582)/C582</f>
        <v>1.3914603653299161E-2</v>
      </c>
      <c r="E583" s="208">
        <f t="shared" ref="E583" si="2366">(C583-$C$2)/$C$2</f>
        <v>0.26329407735773669</v>
      </c>
      <c r="F583" s="218">
        <v>6981.96</v>
      </c>
      <c r="G583" s="170">
        <f t="shared" ref="G583" si="2367">(F583-F582)/F582</f>
        <v>1.5633159696210229E-2</v>
      </c>
      <c r="H583" s="202">
        <f t="shared" ref="H583" si="2368">(F583-F$2)/F$2</f>
        <v>0.37124339611524643</v>
      </c>
      <c r="I583" s="220">
        <v>444241.95</v>
      </c>
      <c r="J583" s="172">
        <v>400000</v>
      </c>
      <c r="K583" s="172">
        <f t="shared" ref="K583" si="2369">I583-I582-J583+J582</f>
        <v>4244.5100000000093</v>
      </c>
      <c r="L583" s="170">
        <f t="shared" ref="L583" si="2370">K583/I582</f>
        <v>9.6466697624422761E-3</v>
      </c>
      <c r="M583" s="181">
        <f t="shared" ref="M583" si="2371">I583-J583</f>
        <v>44241.950000000012</v>
      </c>
      <c r="N583" s="183">
        <f t="shared" ref="N583" si="2372">M583/J583</f>
        <v>0.11060487500000003</v>
      </c>
      <c r="O583" s="182">
        <f t="shared" ref="O583" si="2373">N583/(A583/365.25)</f>
        <v>4.4393879773351658E-2</v>
      </c>
      <c r="P583" s="181" t="b">
        <f t="shared" ref="P583" si="2374">L583&gt;D583</f>
        <v>0</v>
      </c>
      <c r="Q583" s="183">
        <f>COUNTIF(P$2:P583, TRUE)/(COUNTIF(P$2:P583,FALSE) + COUNTIF(P$2:P583, TRUE))</f>
        <v>0.4845360824742268</v>
      </c>
      <c r="R583" s="172">
        <v>304740.26</v>
      </c>
      <c r="S583" s="172">
        <f t="shared" ref="S583" si="2375">I583-R583</f>
        <v>139501.69</v>
      </c>
      <c r="T583" s="172">
        <v>-31937</v>
      </c>
      <c r="U583" s="172">
        <f t="shared" ref="U583" si="2376">M583-T583</f>
        <v>76178.950000000012</v>
      </c>
      <c r="V583" s="183">
        <f>STDEV(D$2:D583)*SQRT(252)</f>
        <v>0.13956515808931669</v>
      </c>
      <c r="W583" s="183">
        <f>STDEV(L$2:L583)*SQRT(252)</f>
        <v>0.28553596486340588</v>
      </c>
      <c r="X583" s="173">
        <f t="shared" si="1823"/>
        <v>0.79249632583238927</v>
      </c>
      <c r="Y583" s="173">
        <f t="shared" ref="Y583" si="2377">O583/W583</f>
        <v>0.15547561511065239</v>
      </c>
      <c r="Z583" s="794">
        <f t="shared" si="1825"/>
        <v>-0.15268920235773664</v>
      </c>
    </row>
    <row r="584" spans="1:26" ht="20.100000000000001" customHeight="1" x14ac:dyDescent="0.25">
      <c r="A584" s="162">
        <f t="shared" ref="A584" si="2378">B584-$B$2</f>
        <v>911</v>
      </c>
      <c r="B584" s="171">
        <v>43144</v>
      </c>
      <c r="C584" s="214">
        <v>2662.94</v>
      </c>
      <c r="D584" s="170">
        <f t="shared" ref="D584" si="2379">(C584-C583)/C583</f>
        <v>2.6129518072289361E-3</v>
      </c>
      <c r="E584" s="208">
        <f t="shared" ref="E584" si="2380">(C584-$C$2)/$C$2</f>
        <v>0.26659500390023022</v>
      </c>
      <c r="F584" s="218">
        <v>7013.51</v>
      </c>
      <c r="G584" s="170">
        <f t="shared" ref="G584" si="2381">(F584-F583)/F583</f>
        <v>4.518788420443569E-3</v>
      </c>
      <c r="H584" s="202">
        <f t="shared" ref="H584" si="2382">(F584-F$2)/F$2</f>
        <v>0.37743975489522175</v>
      </c>
      <c r="I584" s="220">
        <v>443416.54</v>
      </c>
      <c r="J584" s="172">
        <v>400000</v>
      </c>
      <c r="K584" s="172">
        <f t="shared" ref="K584" si="2383">I584-I583-J584+J583</f>
        <v>-825.4100000000326</v>
      </c>
      <c r="L584" s="170">
        <f t="shared" ref="L584" si="2384">K584/I583</f>
        <v>-1.858019036698431E-3</v>
      </c>
      <c r="M584" s="181">
        <f t="shared" ref="M584" si="2385">I584-J584</f>
        <v>43416.539999999979</v>
      </c>
      <c r="N584" s="183">
        <f t="shared" ref="N584" si="2386">M584/J584</f>
        <v>0.10854134999999995</v>
      </c>
      <c r="O584" s="182">
        <f t="shared" ref="O584" si="2387">N584/(A584/365.25)</f>
        <v>4.3517813487925334E-2</v>
      </c>
      <c r="P584" s="181" t="b">
        <f t="shared" ref="P584" si="2388">L584&gt;D584</f>
        <v>0</v>
      </c>
      <c r="Q584" s="183">
        <f>COUNTIF(P$2:P584, TRUE)/(COUNTIF(P$2:P584,FALSE) + COUNTIF(P$2:P584, TRUE))</f>
        <v>0.483704974271012</v>
      </c>
      <c r="R584" s="172">
        <v>303914.84999999998</v>
      </c>
      <c r="S584" s="172">
        <f t="shared" ref="S584" si="2389">I584-R584</f>
        <v>139501.69</v>
      </c>
      <c r="T584" s="172">
        <v>-31767</v>
      </c>
      <c r="U584" s="172">
        <f t="shared" ref="U584" si="2390">M584-T584</f>
        <v>75183.539999999979</v>
      </c>
      <c r="V584" s="183">
        <f>STDEV(D$2:D584)*SQRT(252)</f>
        <v>0.13945232278826475</v>
      </c>
      <c r="W584" s="183">
        <f>STDEV(L$2:L584)*SQRT(252)</f>
        <v>0.28529453793858889</v>
      </c>
      <c r="X584" s="173">
        <f t="shared" si="1823"/>
        <v>0.77834020853709274</v>
      </c>
      <c r="Y584" s="173">
        <f t="shared" ref="Y584" si="2391">O584/W584</f>
        <v>0.15253644111929254</v>
      </c>
      <c r="Z584" s="794">
        <f t="shared" ref="Z584" si="2392">-(E584-N584)</f>
        <v>-0.15805365390023027</v>
      </c>
    </row>
    <row r="585" spans="1:26" ht="20.100000000000001" customHeight="1" x14ac:dyDescent="0.25">
      <c r="A585" s="162">
        <f t="shared" ref="A585" si="2393">B585-$B$2</f>
        <v>912</v>
      </c>
      <c r="B585" s="171">
        <v>43145</v>
      </c>
      <c r="C585" s="214">
        <v>2698.63</v>
      </c>
      <c r="D585" s="170">
        <f t="shared" ref="D585" si="2394">(C585-C584)/C584</f>
        <v>1.3402479965752159E-2</v>
      </c>
      <c r="E585" s="208">
        <f t="shared" ref="E585" si="2395">(C585-$C$2)/$C$2</f>
        <v>0.28357051806472483</v>
      </c>
      <c r="F585" s="218">
        <v>7143.61</v>
      </c>
      <c r="G585" s="170">
        <f t="shared" ref="G585" si="2396">(F585-F584)/F584</f>
        <v>1.854991295371354E-2</v>
      </c>
      <c r="H585" s="202">
        <f t="shared" ref="H585" si="2397">(F585-F$2)/F$2</f>
        <v>0.40299114244751261</v>
      </c>
      <c r="I585" s="220">
        <v>451561.53</v>
      </c>
      <c r="J585" s="172">
        <v>400000</v>
      </c>
      <c r="K585" s="172">
        <f t="shared" ref="K585" si="2398">I585-I584-J585+J584</f>
        <v>8144.9900000000489</v>
      </c>
      <c r="L585" s="170">
        <f t="shared" ref="L585" si="2399">K585/I584</f>
        <v>1.8368710377831304E-2</v>
      </c>
      <c r="M585" s="181">
        <f t="shared" ref="M585" si="2400">I585-J585</f>
        <v>51561.530000000028</v>
      </c>
      <c r="N585" s="183">
        <f t="shared" ref="N585" si="2401">M585/J585</f>
        <v>0.12890382500000008</v>
      </c>
      <c r="O585" s="182">
        <f t="shared" ref="O585" si="2402">N585/(A585/365.25)</f>
        <v>5.1625133861019766E-2</v>
      </c>
      <c r="P585" s="181" t="b">
        <f t="shared" ref="P585" si="2403">L585&gt;D585</f>
        <v>1</v>
      </c>
      <c r="Q585" s="183">
        <f>COUNTIF(P$2:P585, TRUE)/(COUNTIF(P$2:P585,FALSE) + COUNTIF(P$2:P585, TRUE))</f>
        <v>0.4845890410958904</v>
      </c>
      <c r="R585" s="172">
        <v>309463.90999999997</v>
      </c>
      <c r="S585" s="172">
        <f t="shared" ref="S585" si="2404">I585-R585</f>
        <v>142097.62000000005</v>
      </c>
      <c r="T585" s="172">
        <v>-31599</v>
      </c>
      <c r="U585" s="172">
        <f t="shared" ref="U585" si="2405">M585-T585</f>
        <v>83160.530000000028</v>
      </c>
      <c r="V585" s="183">
        <f>STDEV(D$2:D585)*SQRT(252)</f>
        <v>0.13959266682591912</v>
      </c>
      <c r="W585" s="183">
        <f>STDEV(L$2:L585)*SQRT(252)</f>
        <v>0.28529002745867649</v>
      </c>
      <c r="X585" s="173">
        <f t="shared" si="1823"/>
        <v>0.92342834284233077</v>
      </c>
      <c r="Y585" s="173">
        <f t="shared" ref="Y585" si="2406">O585/W585</f>
        <v>0.18095667178025537</v>
      </c>
      <c r="Z585" s="794">
        <f t="shared" ref="Z585" si="2407">-(E585-N585)</f>
        <v>-0.15466669306472475</v>
      </c>
    </row>
    <row r="586" spans="1:26" ht="20.100000000000001" customHeight="1" x14ac:dyDescent="0.25">
      <c r="A586" s="162">
        <f t="shared" ref="A586" si="2408">B586-$B$2</f>
        <v>913</v>
      </c>
      <c r="B586" s="171">
        <v>43146</v>
      </c>
      <c r="C586" s="214">
        <v>2731.2</v>
      </c>
      <c r="D586" s="170">
        <f t="shared" ref="D586" si="2409">(C586-C585)/C585</f>
        <v>1.206908690706014E-2</v>
      </c>
      <c r="E586" s="208">
        <f t="shared" ref="E586" si="2410">(C586-$C$2)/$C$2</f>
        <v>0.29906204219858817</v>
      </c>
      <c r="F586" s="218">
        <v>7256.43</v>
      </c>
      <c r="G586" s="170">
        <f t="shared" ref="G586" si="2411">(F586-F585)/F585</f>
        <v>1.5793135403528554E-2</v>
      </c>
      <c r="H586" s="202">
        <f t="shared" ref="H586" si="2412">(F586-F$2)/F$2</f>
        <v>0.42514877153013741</v>
      </c>
      <c r="I586" s="220">
        <v>450705.94</v>
      </c>
      <c r="J586" s="172">
        <v>400000</v>
      </c>
      <c r="K586" s="172">
        <f t="shared" ref="K586" si="2413">I586-I585-J586+J585</f>
        <v>-855.59000000002561</v>
      </c>
      <c r="L586" s="170">
        <f t="shared" ref="L586" si="2414">K586/I585</f>
        <v>-1.8947362500078904E-3</v>
      </c>
      <c r="M586" s="181">
        <f t="shared" ref="M586" si="2415">I586-J586</f>
        <v>50705.94</v>
      </c>
      <c r="N586" s="183">
        <f t="shared" ref="N586" si="2416">M586/J586</f>
        <v>0.12676485000000001</v>
      </c>
      <c r="O586" s="182">
        <f t="shared" ref="O586" si="2417">N586/(A586/365.25)</f>
        <v>5.071288221522454E-2</v>
      </c>
      <c r="P586" s="181" t="b">
        <f t="shared" ref="P586" si="2418">L586&gt;D586</f>
        <v>0</v>
      </c>
      <c r="Q586" s="183">
        <f>COUNTIF(P$2:P586, TRUE)/(COUNTIF(P$2:P586,FALSE) + COUNTIF(P$2:P586, TRUE))</f>
        <v>0.48376068376068376</v>
      </c>
      <c r="R586" s="172">
        <v>308168.68</v>
      </c>
      <c r="S586" s="172">
        <f t="shared" ref="S586" si="2419">I586-R586</f>
        <v>142537.26</v>
      </c>
      <c r="T586" s="172">
        <v>-31476</v>
      </c>
      <c r="U586" s="172">
        <f t="shared" ref="U586" si="2420">M586-T586</f>
        <v>82181.94</v>
      </c>
      <c r="V586" s="183">
        <f>STDEV(D$2:D586)*SQRT(252)</f>
        <v>0.13968097297667137</v>
      </c>
      <c r="W586" s="183">
        <f>STDEV(L$2:L586)*SQRT(252)</f>
        <v>0.28504987730153164</v>
      </c>
      <c r="X586" s="173">
        <f t="shared" si="1823"/>
        <v>0.90753126427012698</v>
      </c>
      <c r="Y586" s="173">
        <f t="shared" ref="Y586" si="2421">O586/W586</f>
        <v>0.17790880212019669</v>
      </c>
      <c r="Z586" s="794">
        <f t="shared" ref="Z586" si="2422">-(E586-N586)</f>
        <v>-0.17229719219858816</v>
      </c>
    </row>
    <row r="587" spans="1:26" ht="20.100000000000001" customHeight="1" x14ac:dyDescent="0.25">
      <c r="A587" s="162">
        <f t="shared" ref="A587" si="2423">B587-$B$2</f>
        <v>914</v>
      </c>
      <c r="B587" s="171">
        <v>43147</v>
      </c>
      <c r="C587" s="214">
        <v>2732.22</v>
      </c>
      <c r="D587" s="170">
        <f t="shared" ref="D587" si="2424">(C587-C586)/C586</f>
        <v>3.7346221441124117E-4</v>
      </c>
      <c r="E587" s="208">
        <f t="shared" ref="E587" si="2425">(C587-$C$2)/$C$2</f>
        <v>0.29954719278552527</v>
      </c>
      <c r="F587" s="218">
        <v>7239.46</v>
      </c>
      <c r="G587" s="170">
        <f t="shared" ref="G587" si="2426">(F587-F586)/F586</f>
        <v>-2.3386155451096827E-3</v>
      </c>
      <c r="H587" s="202">
        <f t="shared" ref="H587" si="2427">(F587-F$2)/F$2</f>
        <v>0.42181589645894302</v>
      </c>
      <c r="I587" s="220">
        <v>447551.93</v>
      </c>
      <c r="J587" s="172">
        <v>400000</v>
      </c>
      <c r="K587" s="172">
        <f t="shared" ref="K587" si="2428">I587-I586-J587+J586</f>
        <v>-3154.0100000000093</v>
      </c>
      <c r="L587" s="170">
        <f t="shared" ref="L587" si="2429">K587/I586</f>
        <v>-6.9979330647384173E-3</v>
      </c>
      <c r="M587" s="181">
        <f t="shared" ref="M587" si="2430">I587-J587</f>
        <v>47551.929999999993</v>
      </c>
      <c r="N587" s="183">
        <f t="shared" ref="N587" si="2431">M587/J587</f>
        <v>0.11887982499999998</v>
      </c>
      <c r="O587" s="182">
        <f t="shared" ref="O587" si="2432">N587/(A587/365.25)</f>
        <v>4.7506407091083142E-2</v>
      </c>
      <c r="P587" s="181" t="b">
        <f t="shared" ref="P587" si="2433">L587&gt;D587</f>
        <v>0</v>
      </c>
      <c r="Q587" s="183">
        <f>COUNTIF(P$2:P587, TRUE)/(COUNTIF(P$2:P587,FALSE) + COUNTIF(P$2:P587, TRUE))</f>
        <v>0.48293515358361777</v>
      </c>
      <c r="R587" s="172">
        <v>312866.87</v>
      </c>
      <c r="S587" s="172">
        <f t="shared" ref="S587" si="2434">I587-R587</f>
        <v>134685.06</v>
      </c>
      <c r="T587" s="172">
        <v>-31310</v>
      </c>
      <c r="U587" s="172">
        <f t="shared" ref="U587" si="2435">M587-T587</f>
        <v>78861.929999999993</v>
      </c>
      <c r="V587" s="183">
        <f>STDEV(D$2:D587)*SQRT(252)</f>
        <v>0.13956135167754313</v>
      </c>
      <c r="W587" s="183">
        <f>STDEV(L$2:L587)*SQRT(252)</f>
        <v>0.28484907912566382</v>
      </c>
      <c r="X587" s="173">
        <f t="shared" si="1823"/>
        <v>0.85181050176894335</v>
      </c>
      <c r="Y587" s="173">
        <f t="shared" ref="Y587" si="2436">O587/W587</f>
        <v>0.16677746418174394</v>
      </c>
      <c r="Z587" s="794">
        <f t="shared" ref="Z587" si="2437">-(E587-N587)</f>
        <v>-0.18066736778552528</v>
      </c>
    </row>
    <row r="588" spans="1:26" ht="20.100000000000001" customHeight="1" x14ac:dyDescent="0.25">
      <c r="A588" s="162">
        <f t="shared" ref="A588" si="2438">B588-$B$2</f>
        <v>918</v>
      </c>
      <c r="B588" s="171">
        <v>43151</v>
      </c>
      <c r="C588" s="214">
        <v>2716.26</v>
      </c>
      <c r="D588" s="170">
        <f t="shared" ref="D588" si="2439">(C588-C587)/C587</f>
        <v>-5.8414036936994766E-3</v>
      </c>
      <c r="E588" s="208">
        <f t="shared" ref="E588" si="2440">(C588-$C$2)/$C$2</f>
        <v>0.29195601301345109</v>
      </c>
      <c r="F588" s="218">
        <v>7234.3</v>
      </c>
      <c r="G588" s="170">
        <f t="shared" ref="G588" si="2441">(F588-F587)/F587</f>
        <v>-7.1276034400353822E-4</v>
      </c>
      <c r="H588" s="202">
        <f t="shared" ref="H588" si="2442">(F588-F$2)/F$2</f>
        <v>0.42080248247147328</v>
      </c>
      <c r="I588" s="220">
        <v>445228.37</v>
      </c>
      <c r="J588" s="172">
        <v>400000</v>
      </c>
      <c r="K588" s="172">
        <f t="shared" ref="K588" si="2443">I588-I587-J588+J587</f>
        <v>-2323.5599999999977</v>
      </c>
      <c r="L588" s="170">
        <f t="shared" ref="L588" si="2444">K588/I587</f>
        <v>-5.191710378726325E-3</v>
      </c>
      <c r="M588" s="181">
        <f t="shared" ref="M588" si="2445">I588-J588</f>
        <v>45228.369999999995</v>
      </c>
      <c r="N588" s="183">
        <f t="shared" ref="N588" si="2446">M588/J588</f>
        <v>0.11307092499999999</v>
      </c>
      <c r="O588" s="182">
        <f t="shared" ref="O588" si="2447">N588/(A588/365.25)</f>
        <v>4.4988186662581697E-2</v>
      </c>
      <c r="P588" s="181" t="b">
        <f t="shared" ref="P588" si="2448">L588&gt;D588</f>
        <v>1</v>
      </c>
      <c r="Q588" s="183">
        <f>COUNTIF(P$2:P588, TRUE)/(COUNTIF(P$2:P588,FALSE) + COUNTIF(P$2:P588, TRUE))</f>
        <v>0.48381601362862009</v>
      </c>
      <c r="R588" s="172"/>
      <c r="S588" s="172"/>
      <c r="T588" s="172"/>
      <c r="U588" s="172"/>
      <c r="V588" s="183">
        <f>STDEV(D$2:D588)*SQRT(252)</f>
        <v>0.13950374983937611</v>
      </c>
      <c r="W588" s="183">
        <f>STDEV(L$2:L588)*SQRT(252)</f>
        <v>0.28463051579206888</v>
      </c>
      <c r="X588" s="173">
        <f t="shared" si="1823"/>
        <v>0.81052247792757737</v>
      </c>
      <c r="Y588" s="173">
        <f t="shared" ref="Y588" si="2449">O588/W588</f>
        <v>0.15805819884557604</v>
      </c>
      <c r="Z588" s="794">
        <f t="shared" ref="Z588" si="2450">-(E588-N588)</f>
        <v>-0.1788850880134511</v>
      </c>
    </row>
    <row r="589" spans="1:26" ht="20.100000000000001" customHeight="1" x14ac:dyDescent="0.25">
      <c r="A589" s="162">
        <f t="shared" ref="A589" si="2451">B589-$B$2</f>
        <v>919</v>
      </c>
      <c r="B589" s="171">
        <v>43152</v>
      </c>
      <c r="C589" s="214">
        <v>2701.33</v>
      </c>
      <c r="D589" s="170">
        <f t="shared" ref="D589" si="2452">(C589-C588)/C588</f>
        <v>-5.496528314668069E-3</v>
      </c>
      <c r="E589" s="208">
        <f t="shared" ref="E589" si="2453">(C589-$C$2)/$C$2</f>
        <v>0.284854740206617</v>
      </c>
      <c r="F589" s="218">
        <v>7218.22</v>
      </c>
      <c r="G589" s="170">
        <f t="shared" ref="G589" si="2454">(F589-F588)/F588</f>
        <v>-2.2227444258601284E-3</v>
      </c>
      <c r="H589" s="202">
        <f t="shared" ref="H589" si="2455">(F589-F$2)/F$2</f>
        <v>0.41764440167331157</v>
      </c>
      <c r="I589" s="220">
        <v>442526.81</v>
      </c>
      <c r="J589" s="172">
        <v>400000</v>
      </c>
      <c r="K589" s="172">
        <f t="shared" ref="K589" si="2456">I589-I588-J589+J588</f>
        <v>-2701.5599999999977</v>
      </c>
      <c r="L589" s="170">
        <f t="shared" ref="L589" si="2457">K589/I588</f>
        <v>-6.0678074040969084E-3</v>
      </c>
      <c r="M589" s="181">
        <f t="shared" ref="M589" si="2458">I589-J589</f>
        <v>42526.81</v>
      </c>
      <c r="N589" s="183">
        <f t="shared" ref="N589" si="2459">M589/J589</f>
        <v>0.106317025</v>
      </c>
      <c r="O589" s="182">
        <f t="shared" ref="O589" si="2460">N589/(A589/365.25)</f>
        <v>4.2254943831610443E-2</v>
      </c>
      <c r="P589" s="181" t="b">
        <f t="shared" ref="P589" si="2461">L589&gt;D589</f>
        <v>0</v>
      </c>
      <c r="Q589" s="183">
        <f>COUNTIF(P$2:P589, TRUE)/(COUNTIF(P$2:P589,FALSE) + COUNTIF(P$2:P589, TRUE))</f>
        <v>0.48299319727891155</v>
      </c>
      <c r="R589" s="172">
        <v>327182.61</v>
      </c>
      <c r="S589" s="172">
        <f t="shared" ref="S589" si="2462">I589-R589</f>
        <v>115344.20000000001</v>
      </c>
      <c r="T589" s="172">
        <v>-31702</v>
      </c>
      <c r="U589" s="172">
        <f t="shared" ref="U589" si="2463">M589-T589</f>
        <v>74228.81</v>
      </c>
      <c r="V589" s="183">
        <f>STDEV(D$2:D589)*SQRT(252)</f>
        <v>0.13943958663784506</v>
      </c>
      <c r="W589" s="183">
        <f>STDEV(L$2:L589)*SQRT(252)</f>
        <v>0.28442061992708212</v>
      </c>
      <c r="X589" s="173">
        <f t="shared" si="1823"/>
        <v>0.7624594102973673</v>
      </c>
      <c r="Y589" s="173">
        <f t="shared" ref="Y589" si="2464">O589/W589</f>
        <v>0.14856498042386479</v>
      </c>
      <c r="Z589" s="794">
        <f t="shared" ref="Z589" si="2465">-(E589-N589)</f>
        <v>-0.17853771520661699</v>
      </c>
    </row>
    <row r="590" spans="1:26" ht="20.100000000000001" customHeight="1" x14ac:dyDescent="0.25">
      <c r="A590" s="162">
        <f t="shared" ref="A590" si="2466">B590-$B$2</f>
        <v>920</v>
      </c>
      <c r="B590" s="171">
        <v>43153</v>
      </c>
      <c r="C590" s="214">
        <v>2703.96</v>
      </c>
      <c r="D590" s="170">
        <f t="shared" ref="D590" si="2467">(C590-C589)/C589</f>
        <v>9.735944886408211E-4</v>
      </c>
      <c r="E590" s="208">
        <f t="shared" ref="E590" si="2468">(C590-$C$2)/$C$2</f>
        <v>0.2861056677003862</v>
      </c>
      <c r="F590" s="218">
        <v>7210.08</v>
      </c>
      <c r="G590" s="170">
        <f t="shared" ref="G590" si="2469">(F590-F589)/F589</f>
        <v>-1.1277018433907982E-3</v>
      </c>
      <c r="H590" s="202">
        <f t="shared" ref="H590" si="2470">(F590-F$2)/F$2</f>
        <v>0.41604572146827196</v>
      </c>
      <c r="I590" s="220">
        <v>441168.86</v>
      </c>
      <c r="J590" s="172">
        <v>400000</v>
      </c>
      <c r="K590" s="172">
        <f t="shared" ref="K590" si="2471">I590-I589-J590+J589</f>
        <v>-1357.9500000000116</v>
      </c>
      <c r="L590" s="170">
        <f t="shared" ref="L590" si="2472">K590/I589</f>
        <v>-3.0686276386282939E-3</v>
      </c>
      <c r="M590" s="181">
        <f t="shared" ref="M590" si="2473">I590-J590</f>
        <v>41168.859999999986</v>
      </c>
      <c r="N590" s="183">
        <f t="shared" ref="N590" si="2474">M590/J590</f>
        <v>0.10292214999999996</v>
      </c>
      <c r="O590" s="182">
        <f t="shared" ref="O590" si="2475">N590/(A590/365.25)</f>
        <v>4.0861212269021729E-2</v>
      </c>
      <c r="P590" s="181" t="b">
        <f t="shared" ref="P590" si="2476">L590&gt;D590</f>
        <v>0</v>
      </c>
      <c r="Q590" s="183">
        <f>COUNTIF(P$2:P590, TRUE)/(COUNTIF(P$2:P590,FALSE) + COUNTIF(P$2:P590, TRUE))</f>
        <v>0.48217317487266553</v>
      </c>
      <c r="R590" s="172">
        <v>325824.65000000002</v>
      </c>
      <c r="S590" s="172">
        <f t="shared" ref="S590" si="2477">I590-R590</f>
        <v>115344.20999999996</v>
      </c>
      <c r="T590" s="172">
        <v>-31901</v>
      </c>
      <c r="U590" s="172">
        <f t="shared" ref="U590" si="2478">M590-T590</f>
        <v>73069.859999999986</v>
      </c>
      <c r="V590" s="183">
        <f>STDEV(D$2:D590)*SQRT(252)</f>
        <v>0.13932115984802981</v>
      </c>
      <c r="W590" s="183">
        <f>STDEV(L$2:L590)*SQRT(252)</f>
        <v>0.2841880695419704</v>
      </c>
      <c r="X590" s="173">
        <f t="shared" si="1823"/>
        <v>0.73874026107926793</v>
      </c>
      <c r="Y590" s="173">
        <f t="shared" ref="Y590" si="2479">O590/W590</f>
        <v>0.14378229295437445</v>
      </c>
      <c r="Z590" s="794">
        <f t="shared" ref="Z590" si="2480">-(E590-N590)</f>
        <v>-0.18318351770038624</v>
      </c>
    </row>
    <row r="591" spans="1:26" ht="20.100000000000001" customHeight="1" x14ac:dyDescent="0.25">
      <c r="A591" s="162">
        <f t="shared" ref="A591" si="2481">B591-$B$2</f>
        <v>921</v>
      </c>
      <c r="B591" s="171">
        <v>43154</v>
      </c>
      <c r="C591" s="214">
        <v>2747.3</v>
      </c>
      <c r="D591" s="170">
        <f t="shared" ref="D591" si="2482">(C591-C590)/C590</f>
        <v>1.6028343614550564E-2</v>
      </c>
      <c r="E591" s="208">
        <f t="shared" ref="E591" si="2483">(C591-$C$2)/$C$2</f>
        <v>0.306719811266909</v>
      </c>
      <c r="F591" s="218">
        <v>7337.39</v>
      </c>
      <c r="G591" s="170">
        <f t="shared" ref="G591" si="2484">(F591-F590)/F590</f>
        <v>1.7657224330381964E-2</v>
      </c>
      <c r="H591" s="202">
        <f t="shared" ref="H591" si="2485">(F591-F$2)/F$2</f>
        <v>0.4410491584343148</v>
      </c>
      <c r="I591" s="220">
        <v>446261.7</v>
      </c>
      <c r="J591" s="172">
        <v>400000</v>
      </c>
      <c r="K591" s="172">
        <f t="shared" ref="K591" si="2486">I591-I590-J591+J590</f>
        <v>5092.8400000000256</v>
      </c>
      <c r="L591" s="170">
        <f t="shared" ref="L591" si="2487">K591/I590</f>
        <v>1.154396980784189E-2</v>
      </c>
      <c r="M591" s="181">
        <f t="shared" ref="M591" si="2488">I591-J591</f>
        <v>46261.700000000012</v>
      </c>
      <c r="N591" s="183">
        <f t="shared" ref="N591" si="2489">M591/J591</f>
        <v>0.11565425000000003</v>
      </c>
      <c r="O591" s="182">
        <f t="shared" ref="O591" si="2490">N591/(A591/365.25)</f>
        <v>4.5866139861563529E-2</v>
      </c>
      <c r="P591" s="181" t="b">
        <f t="shared" ref="P591" si="2491">L591&gt;D591</f>
        <v>0</v>
      </c>
      <c r="Q591" s="183">
        <f>COUNTIF(P$2:P591, TRUE)/(COUNTIF(P$2:P591,FALSE) + COUNTIF(P$2:P591, TRUE))</f>
        <v>0.48135593220338985</v>
      </c>
      <c r="R591" s="172">
        <v>328333.55</v>
      </c>
      <c r="S591" s="172">
        <f t="shared" ref="S591" si="2492">I591-R591</f>
        <v>117928.15000000002</v>
      </c>
      <c r="T591" s="172">
        <v>-31711</v>
      </c>
      <c r="U591" s="172">
        <f t="shared" ref="U591" si="2493">M591-T591</f>
        <v>77972.700000000012</v>
      </c>
      <c r="V591" s="183">
        <f>STDEV(D$2:D591)*SQRT(252)</f>
        <v>0.13957430470539237</v>
      </c>
      <c r="W591" s="183">
        <f>STDEV(L$2:L591)*SQRT(252)</f>
        <v>0.28403762341097771</v>
      </c>
      <c r="X591" s="173">
        <f t="shared" si="1823"/>
        <v>0.82862135866711428</v>
      </c>
      <c r="Y591" s="173">
        <f t="shared" ref="Y591" si="2494">O591/W591</f>
        <v>0.16147910023595438</v>
      </c>
      <c r="Z591" s="794">
        <f t="shared" ref="Z591" si="2495">-(E591-N591)</f>
        <v>-0.19106556126690899</v>
      </c>
    </row>
    <row r="592" spans="1:26" ht="20.100000000000001" customHeight="1" x14ac:dyDescent="0.25">
      <c r="A592" s="162">
        <f t="shared" ref="A592" si="2496">B592-$B$2</f>
        <v>924</v>
      </c>
      <c r="B592" s="171">
        <v>43157</v>
      </c>
      <c r="C592" s="214">
        <v>2779.6</v>
      </c>
      <c r="D592" s="170">
        <f t="shared" ref="D592" si="2497">(C592-C591)/C591</f>
        <v>1.175699777963809E-2</v>
      </c>
      <c r="E592" s="208">
        <f t="shared" ref="E592" si="2498">(C592-$C$2)/$C$2</f>
        <v>0.32208291318658311</v>
      </c>
      <c r="F592" s="218">
        <v>7421.46</v>
      </c>
      <c r="G592" s="170">
        <f t="shared" ref="G592" si="2499">(F592-F591)/F591</f>
        <v>1.1457752688626296E-2</v>
      </c>
      <c r="H592" s="202">
        <f t="shared" ref="H592" si="2500">(F592-F$2)/F$2</f>
        <v>0.45756034330380824</v>
      </c>
      <c r="I592" s="220">
        <v>445461.4</v>
      </c>
      <c r="J592" s="172">
        <v>400000</v>
      </c>
      <c r="K592" s="172">
        <f t="shared" ref="K592" si="2501">I592-I591-J592+J591</f>
        <v>-800.29999999998836</v>
      </c>
      <c r="L592" s="170">
        <f t="shared" ref="L592" si="2502">K592/I591</f>
        <v>-1.7933423370188129E-3</v>
      </c>
      <c r="M592" s="181">
        <f t="shared" ref="M592" si="2503">I592-J592</f>
        <v>45461.400000000023</v>
      </c>
      <c r="N592" s="183">
        <f t="shared" ref="N592" si="2504">M592/J592</f>
        <v>0.11365350000000006</v>
      </c>
      <c r="O592" s="182">
        <f t="shared" ref="O592" si="2505">N592/(A592/365.25)</f>
        <v>4.4926342938311707E-2</v>
      </c>
      <c r="P592" s="181" t="b">
        <f t="shared" ref="P592" si="2506">L592&gt;D592</f>
        <v>0</v>
      </c>
      <c r="Q592" s="183">
        <f>COUNTIF(P$2:P592, TRUE)/(COUNTIF(P$2:P592,FALSE) + COUNTIF(P$2:P592, TRUE))</f>
        <v>0.48054145516074448</v>
      </c>
      <c r="R592" s="172">
        <v>330526.96000000002</v>
      </c>
      <c r="S592" s="172">
        <f t="shared" ref="S592" si="2507">I592-R592</f>
        <v>114934.44</v>
      </c>
      <c r="T592" s="172">
        <v>-31425</v>
      </c>
      <c r="U592" s="172">
        <f t="shared" ref="U592" si="2508">M592-T592</f>
        <v>76886.400000000023</v>
      </c>
      <c r="V592" s="183">
        <f>STDEV(D$2:D592)*SQRT(252)</f>
        <v>0.13964993647213261</v>
      </c>
      <c r="W592" s="183">
        <f>STDEV(L$2:L592)*SQRT(252)</f>
        <v>0.28380054359843188</v>
      </c>
      <c r="X592" s="173">
        <f t="shared" si="1823"/>
        <v>0.81384569782944238</v>
      </c>
      <c r="Y592" s="173">
        <f t="shared" ref="Y592" si="2509">O592/W592</f>
        <v>0.15830252602292741</v>
      </c>
      <c r="Z592" s="794">
        <f t="shared" ref="Z592" si="2510">-(E592-N592)</f>
        <v>-0.20842941318658303</v>
      </c>
    </row>
    <row r="593" spans="1:26" ht="20.100000000000001" customHeight="1" x14ac:dyDescent="0.25">
      <c r="A593" s="162">
        <f t="shared" ref="A593" si="2511">B593-$B$2</f>
        <v>925</v>
      </c>
      <c r="B593" s="171">
        <v>43158</v>
      </c>
      <c r="C593" s="214">
        <v>2744.28</v>
      </c>
      <c r="D593" s="170">
        <f t="shared" ref="D593" si="2512">(C593-C592)/C592</f>
        <v>-1.270686429702105E-2</v>
      </c>
      <c r="E593" s="208">
        <f t="shared" ref="E593" si="2513">(C593-$C$2)/$C$2</f>
        <v>0.30528338501931096</v>
      </c>
      <c r="F593" s="218">
        <v>7330.35</v>
      </c>
      <c r="G593" s="170">
        <f t="shared" ref="G593" si="2514">(F593-F592)/F592</f>
        <v>-1.2276560137762606E-2</v>
      </c>
      <c r="H593" s="202">
        <f t="shared" ref="H593" si="2515">(F593-F$2)/F$2</f>
        <v>0.4396665160948211</v>
      </c>
      <c r="I593" s="220">
        <v>439475.96</v>
      </c>
      <c r="J593" s="172">
        <v>400000</v>
      </c>
      <c r="K593" s="172">
        <f t="shared" ref="K593" si="2516">I593-I592-J593+J592</f>
        <v>-5985.4400000000023</v>
      </c>
      <c r="L593" s="170">
        <f t="shared" ref="L593" si="2517">K593/I592</f>
        <v>-1.3436495283317482E-2</v>
      </c>
      <c r="M593" s="181">
        <f t="shared" ref="M593" si="2518">I593-J593</f>
        <v>39475.960000000021</v>
      </c>
      <c r="N593" s="183">
        <f t="shared" ref="N593" si="2519">M593/J593</f>
        <v>9.8689900000000053E-2</v>
      </c>
      <c r="O593" s="182">
        <f t="shared" ref="O593" si="2520">N593/(A593/365.25)</f>
        <v>3.8969174027027043E-2</v>
      </c>
      <c r="P593" s="181" t="b">
        <f t="shared" ref="P593" si="2521">L593&gt;D593</f>
        <v>0</v>
      </c>
      <c r="Q593" s="183">
        <f>COUNTIF(P$2:P593, TRUE)/(COUNTIF(P$2:P593,FALSE) + COUNTIF(P$2:P593, TRUE))</f>
        <v>0.47972972972972971</v>
      </c>
      <c r="R593" s="172">
        <v>324541.51</v>
      </c>
      <c r="S593" s="172">
        <f t="shared" ref="S593" si="2522">I593-R593</f>
        <v>114934.45000000001</v>
      </c>
      <c r="T593" s="172">
        <v>-31811</v>
      </c>
      <c r="U593" s="172">
        <f t="shared" ref="U593" si="2523">M593-T593</f>
        <v>71286.960000000021</v>
      </c>
      <c r="V593" s="183">
        <f>STDEV(D$2:D593)*SQRT(252)</f>
        <v>0.139798275476226</v>
      </c>
      <c r="W593" s="183">
        <f>STDEV(L$2:L593)*SQRT(252)</f>
        <v>0.28370694512028866</v>
      </c>
      <c r="X593" s="173">
        <f t="shared" si="1823"/>
        <v>0.70594504591570006</v>
      </c>
      <c r="Y593" s="173">
        <f t="shared" ref="Y593" si="2524">O593/W593</f>
        <v>0.13735713805139502</v>
      </c>
      <c r="Z593" s="794">
        <f t="shared" ref="Z593" si="2525">-(E593-N593)</f>
        <v>-0.20659348501931091</v>
      </c>
    </row>
    <row r="594" spans="1:26" ht="20.100000000000001" customHeight="1" x14ac:dyDescent="0.25">
      <c r="A594" s="162">
        <f t="shared" ref="A594" si="2526">B594-$B$2</f>
        <v>926</v>
      </c>
      <c r="B594" s="171">
        <v>43159</v>
      </c>
      <c r="C594" s="214">
        <v>2713.83</v>
      </c>
      <c r="D594" s="170">
        <f t="shared" ref="D594" si="2527">(C594-C593)/C593</f>
        <v>-1.1095806550352104E-2</v>
      </c>
      <c r="E594" s="208">
        <f t="shared" ref="E594" si="2528">(C594-$C$2)/$C$2</f>
        <v>0.29080021308574794</v>
      </c>
      <c r="F594" s="218">
        <v>7273</v>
      </c>
      <c r="G594" s="170">
        <f t="shared" ref="G594" si="2529">(F594-F593)/F593</f>
        <v>-7.8236373433738307E-3</v>
      </c>
      <c r="H594" s="202">
        <f t="shared" ref="H594" si="2530">(F594-F$2)/F$2</f>
        <v>0.42840308737749677</v>
      </c>
      <c r="I594" s="409">
        <v>434359.8</v>
      </c>
      <c r="J594" s="172">
        <v>400000</v>
      </c>
      <c r="K594" s="172">
        <f t="shared" ref="K594" si="2531">I594-I593-J594+J593</f>
        <v>-5116.1600000000326</v>
      </c>
      <c r="L594" s="170">
        <f t="shared" ref="L594" si="2532">K594/I593</f>
        <v>-1.1641501391794064E-2</v>
      </c>
      <c r="M594" s="409">
        <f t="shared" ref="M594" si="2533">I594-J594</f>
        <v>34359.799999999988</v>
      </c>
      <c r="N594" s="183">
        <f t="shared" ref="N594" si="2534">M594/J594</f>
        <v>8.5899499999999976E-2</v>
      </c>
      <c r="O594" s="182">
        <f t="shared" ref="O594" si="2535">N594/(A594/365.25)</f>
        <v>3.3882065199784005E-2</v>
      </c>
      <c r="P594" s="181" t="b">
        <f t="shared" ref="P594" si="2536">L594&gt;D594</f>
        <v>0</v>
      </c>
      <c r="Q594" s="183">
        <f>COUNTIF(P$2:P594, TRUE)/(COUNTIF(P$2:P594,FALSE) + COUNTIF(P$2:P594, TRUE))</f>
        <v>0.47892074198988194</v>
      </c>
      <c r="R594" s="172">
        <v>325325.34999999998</v>
      </c>
      <c r="S594" s="172">
        <f t="shared" ref="S594" si="2537">I594-R594</f>
        <v>109034.45000000001</v>
      </c>
      <c r="T594" s="172"/>
      <c r="U594" s="172"/>
      <c r="V594" s="183">
        <f>STDEV(D$2:D594)*SQRT(252)</f>
        <v>0.13988432434963807</v>
      </c>
      <c r="W594" s="183">
        <f>STDEV(L$2:L594)*SQRT(252)</f>
        <v>0.28357793902623352</v>
      </c>
      <c r="X594" s="173">
        <f t="shared" si="1823"/>
        <v>0.61407523966227906</v>
      </c>
      <c r="Y594" s="173">
        <f t="shared" ref="Y594" si="2538">O594/W594</f>
        <v>0.11948061021999884</v>
      </c>
      <c r="Z594" s="794">
        <f t="shared" ref="Z594" si="2539">-(E594-N594)</f>
        <v>-0.20490071308574798</v>
      </c>
    </row>
    <row r="595" spans="1:26" ht="20.100000000000001" customHeight="1" x14ac:dyDescent="0.25">
      <c r="A595" s="162">
        <f t="shared" ref="A595" si="2540">B595-$B$2</f>
        <v>927</v>
      </c>
      <c r="B595" s="171">
        <v>43160</v>
      </c>
      <c r="C595" s="214">
        <v>2677.67</v>
      </c>
      <c r="D595" s="170">
        <f t="shared" ref="D595" si="2541">(C595-C594)/C594</f>
        <v>-1.3324342350110308E-2</v>
      </c>
      <c r="E595" s="208">
        <f t="shared" ref="E595" si="2542">(C595-$C$2)/$C$2</f>
        <v>0.27360114914099809</v>
      </c>
      <c r="F595" s="218">
        <v>7180.56</v>
      </c>
      <c r="G595" s="170">
        <f t="shared" ref="G595" si="2543">(F595-F594)/F594</f>
        <v>-1.2710023374123415E-2</v>
      </c>
      <c r="H595" s="202">
        <f t="shared" ref="H595" si="2544">(F595-F$2)/F$2</f>
        <v>0.41024805074925874</v>
      </c>
      <c r="I595" s="220">
        <v>432219.29</v>
      </c>
      <c r="J595" s="172">
        <v>400000</v>
      </c>
      <c r="K595" s="172">
        <f t="shared" ref="K595" si="2545">I595-I594-J595+J594</f>
        <v>-2140.5100000000093</v>
      </c>
      <c r="L595" s="170">
        <f t="shared" ref="L595" si="2546">K595/I594</f>
        <v>-4.9279652490861478E-3</v>
      </c>
      <c r="M595" s="181">
        <f t="shared" ref="M595" si="2547">I595-J595</f>
        <v>32219.289999999979</v>
      </c>
      <c r="N595" s="183">
        <f t="shared" ref="N595" si="2548">M595/J595</f>
        <v>8.0548224999999946E-2</v>
      </c>
      <c r="O595" s="182">
        <f t="shared" ref="O595" si="2549">N595/(A595/365.25)</f>
        <v>3.1737043345469236E-2</v>
      </c>
      <c r="P595" s="181" t="b">
        <f t="shared" ref="P595" si="2550">L595&gt;D595</f>
        <v>1</v>
      </c>
      <c r="Q595" s="183">
        <f>COUNTIF(P$2:P595, TRUE)/(COUNTIF(P$2:P595,FALSE) + COUNTIF(P$2:P595, TRUE))</f>
        <v>0.47979797979797978</v>
      </c>
      <c r="R595" s="172">
        <v>330616.65000000002</v>
      </c>
      <c r="S595" s="172">
        <f t="shared" ref="S595" si="2551">I595-R595</f>
        <v>101602.63999999996</v>
      </c>
      <c r="T595" s="172">
        <v>-32527</v>
      </c>
      <c r="U595" s="172">
        <f t="shared" ref="U595" si="2552">M595-T595</f>
        <v>64746.289999999979</v>
      </c>
      <c r="V595" s="183">
        <f>STDEV(D$2:D595)*SQRT(252)</f>
        <v>0.14005511018347203</v>
      </c>
      <c r="W595" s="183">
        <f>STDEV(L$2:L595)*SQRT(252)</f>
        <v>0.28336045846644775</v>
      </c>
      <c r="X595" s="173">
        <f t="shared" si="1823"/>
        <v>0.57511807241079504</v>
      </c>
      <c r="Y595" s="173">
        <f t="shared" ref="Y595" si="2553">O595/W595</f>
        <v>0.1120023715278791</v>
      </c>
      <c r="Z595" s="794">
        <f t="shared" ref="Z595" si="2554">-(E595-N595)</f>
        <v>-0.19305292414099814</v>
      </c>
    </row>
    <row r="596" spans="1:26" ht="20.100000000000001" customHeight="1" x14ac:dyDescent="0.25">
      <c r="A596" s="162">
        <f t="shared" ref="A596" si="2555">B596-$B$2</f>
        <v>928</v>
      </c>
      <c r="B596" s="171">
        <v>43161</v>
      </c>
      <c r="C596" s="214">
        <v>2691.25</v>
      </c>
      <c r="D596" s="170">
        <f t="shared" ref="D596" si="2556">(C596-C595)/C595</f>
        <v>5.0715734201749758E-3</v>
      </c>
      <c r="E596" s="208">
        <f t="shared" ref="E596" si="2557">(C596-$C$2)/$C$2</f>
        <v>0.28006031087688588</v>
      </c>
      <c r="F596" s="218">
        <v>7257.86</v>
      </c>
      <c r="G596" s="170">
        <f t="shared" ref="G596" si="2558">(F596-F595)/F595</f>
        <v>1.076517708925199E-2</v>
      </c>
      <c r="H596" s="202">
        <f t="shared" ref="H596" si="2559">(F596-F$2)/F$2</f>
        <v>0.4254296207553469</v>
      </c>
      <c r="I596" s="220">
        <v>435569.11</v>
      </c>
      <c r="J596" s="172">
        <v>400000</v>
      </c>
      <c r="K596" s="172">
        <f t="shared" ref="K596" si="2560">I596-I595-J596+J595</f>
        <v>3349.820000000007</v>
      </c>
      <c r="L596" s="170">
        <f t="shared" ref="L596" si="2561">K596/I595</f>
        <v>7.7502787994492501E-3</v>
      </c>
      <c r="M596" s="181">
        <f t="shared" ref="M596" si="2562">I596-J596</f>
        <v>35569.109999999986</v>
      </c>
      <c r="N596" s="183">
        <f t="shared" ref="N596" si="2563">M596/J596</f>
        <v>8.8922774999999968E-2</v>
      </c>
      <c r="O596" s="182">
        <f t="shared" ref="O596" si="2564">N596/(A596/365.25)</f>
        <v>3.4998969362877143E-2</v>
      </c>
      <c r="P596" s="181" t="b">
        <f t="shared" ref="P596" si="2565">L596&gt;D596</f>
        <v>1</v>
      </c>
      <c r="Q596" s="183">
        <f>COUNTIF(P$2:P596, TRUE)/(COUNTIF(P$2:P596,FALSE) + COUNTIF(P$2:P596, TRUE))</f>
        <v>0.48067226890756304</v>
      </c>
      <c r="R596" s="172">
        <v>340478.65</v>
      </c>
      <c r="S596" s="172">
        <f t="shared" ref="S596" si="2566">I596-R596</f>
        <v>95090.459999999963</v>
      </c>
      <c r="T596" s="172">
        <v>-31997</v>
      </c>
      <c r="U596" s="172">
        <f t="shared" ref="U596" si="2567">M596-T596</f>
        <v>67566.109999999986</v>
      </c>
      <c r="V596" s="183">
        <f>STDEV(D$2:D596)*SQRT(252)</f>
        <v>0.13996938804181233</v>
      </c>
      <c r="W596" s="183">
        <f>STDEV(L$2:L596)*SQRT(252)</f>
        <v>0.28316087017865788</v>
      </c>
      <c r="X596" s="173">
        <f t="shared" si="1823"/>
        <v>0.63530159161256405</v>
      </c>
      <c r="Y596" s="173">
        <f t="shared" ref="Y596" si="2568">O596/W596</f>
        <v>0.1236010093513092</v>
      </c>
      <c r="Z596" s="794">
        <f t="shared" ref="Z596" si="2569">-(E596-N596)</f>
        <v>-0.19113753587688592</v>
      </c>
    </row>
    <row r="597" spans="1:26" ht="20.100000000000001" customHeight="1" x14ac:dyDescent="0.25">
      <c r="A597" s="162">
        <f t="shared" ref="A597" si="2570">B597-$B$2</f>
        <v>931</v>
      </c>
      <c r="B597" s="171">
        <v>43164</v>
      </c>
      <c r="C597" s="214">
        <v>2720.94</v>
      </c>
      <c r="D597" s="170">
        <f t="shared" ref="D597" si="2571">(C597-C596)/C596</f>
        <v>1.1032048304691148E-2</v>
      </c>
      <c r="E597" s="208">
        <f t="shared" ref="E597" si="2572">(C597-$C$2)/$C$2</f>
        <v>0.29418199805939765</v>
      </c>
      <c r="F597" s="218">
        <v>7330.7</v>
      </c>
      <c r="G597" s="170">
        <f t="shared" ref="G597" si="2573">(F597-F596)/F596</f>
        <v>1.0036016125965526E-2</v>
      </c>
      <c r="H597" s="202">
        <f t="shared" ref="H597" si="2574">(F597-F$2)/F$2</f>
        <v>0.43973525541567648</v>
      </c>
      <c r="I597" s="220">
        <v>441211.16</v>
      </c>
      <c r="J597" s="172">
        <v>400000</v>
      </c>
      <c r="K597" s="172">
        <f t="shared" ref="K597" si="2575">I597-I596-J597+J596</f>
        <v>5642.0499999999884</v>
      </c>
      <c r="L597" s="170">
        <f t="shared" ref="L597" si="2576">K597/I596</f>
        <v>1.2953283119640851E-2</v>
      </c>
      <c r="M597" s="181">
        <f t="shared" ref="M597" si="2577">I597-J597</f>
        <v>41211.159999999974</v>
      </c>
      <c r="N597" s="183">
        <f t="shared" ref="N597" si="2578">M597/J597</f>
        <v>0.10302789999999994</v>
      </c>
      <c r="O597" s="182">
        <f t="shared" ref="O597" si="2579">N597/(A597/365.25)</f>
        <v>4.0419914581095569E-2</v>
      </c>
      <c r="P597" s="181" t="b">
        <f t="shared" ref="P597" si="2580">L597&gt;D597</f>
        <v>1</v>
      </c>
      <c r="Q597" s="183">
        <f>COUNTIF(P$2:P597, TRUE)/(COUNTIF(P$2:P597,FALSE) + COUNTIF(P$2:P597, TRUE))</f>
        <v>0.48154362416107382</v>
      </c>
      <c r="R597" s="172">
        <v>346120.7</v>
      </c>
      <c r="S597" s="172">
        <f t="shared" ref="S597" si="2581">I597-R597</f>
        <v>95090.459999999963</v>
      </c>
      <c r="T597" s="172">
        <v>-31972</v>
      </c>
      <c r="U597" s="172">
        <f t="shared" ref="U597" si="2582">M597-T597</f>
        <v>73183.159999999974</v>
      </c>
      <c r="V597" s="183">
        <f>STDEV(D$2:D597)*SQRT(252)</f>
        <v>0.14002083127496495</v>
      </c>
      <c r="W597" s="183">
        <f>STDEV(L$2:L597)*SQRT(252)</f>
        <v>0.28303833628625708</v>
      </c>
      <c r="X597" s="173">
        <f t="shared" si="1823"/>
        <v>0.73580408759093563</v>
      </c>
      <c r="Y597" s="173">
        <f t="shared" ref="Y597" si="2583">O597/W597</f>
        <v>0.14280720806744707</v>
      </c>
      <c r="Z597" s="794">
        <f t="shared" ref="Z597" si="2584">-(E597-N597)</f>
        <v>-0.1911540980593977</v>
      </c>
    </row>
    <row r="598" spans="1:26" ht="20.100000000000001" customHeight="1" x14ac:dyDescent="0.25">
      <c r="A598" s="162">
        <f t="shared" ref="A598" si="2585">B598-$B$2</f>
        <v>932</v>
      </c>
      <c r="B598" s="171">
        <v>43165</v>
      </c>
      <c r="C598" s="214">
        <v>2728.12</v>
      </c>
      <c r="D598" s="170">
        <f t="shared" ref="D598" si="2586">(C598-C597)/C597</f>
        <v>2.6387939462097056E-3</v>
      </c>
      <c r="E598" s="208">
        <f t="shared" ref="E598" si="2587">(C598-$C$2)/$C$2</f>
        <v>0.29759707768117039</v>
      </c>
      <c r="F598" s="218">
        <v>7372</v>
      </c>
      <c r="G598" s="170">
        <f t="shared" ref="G598" si="2588">(F598-F597)/F597</f>
        <v>5.6338412429918269E-3</v>
      </c>
      <c r="H598" s="202">
        <f t="shared" ref="H598" si="2589">(F598-F$2)/F$2</f>
        <v>0.44784649527662673</v>
      </c>
      <c r="I598" s="220">
        <v>440897.46</v>
      </c>
      <c r="J598" s="172">
        <v>400000</v>
      </c>
      <c r="K598" s="172">
        <f t="shared" ref="K598" si="2590">I598-I597-J598+J597</f>
        <v>-313.69999999995343</v>
      </c>
      <c r="L598" s="170">
        <f t="shared" ref="L598" si="2591">K598/I597</f>
        <v>-7.1099742807945621E-4</v>
      </c>
      <c r="M598" s="181">
        <f t="shared" ref="M598" si="2592">I598-J598</f>
        <v>40897.460000000021</v>
      </c>
      <c r="N598" s="183">
        <f t="shared" ref="N598" si="2593">M598/J598</f>
        <v>0.10224365000000005</v>
      </c>
      <c r="O598" s="182">
        <f t="shared" ref="O598" si="2594">N598/(A598/365.25)</f>
        <v>4.0069198672210322E-2</v>
      </c>
      <c r="P598" s="181" t="b">
        <f t="shared" ref="P598" si="2595">L598&gt;D598</f>
        <v>0</v>
      </c>
      <c r="Q598" s="183">
        <f>COUNTIF(P$2:P598, TRUE)/(COUNTIF(P$2:P598,FALSE) + COUNTIF(P$2:P598, TRUE))</f>
        <v>0.48073701842546063</v>
      </c>
      <c r="R598" s="172">
        <v>355214.01</v>
      </c>
      <c r="S598" s="172">
        <f t="shared" ref="S598" si="2596">I598-R598</f>
        <v>85683.450000000012</v>
      </c>
      <c r="T598" s="172">
        <v>-32140</v>
      </c>
      <c r="U598" s="172">
        <f t="shared" ref="U598" si="2597">M598-T598</f>
        <v>73037.460000000021</v>
      </c>
      <c r="V598" s="183">
        <f>STDEV(D$2:D598)*SQRT(252)</f>
        <v>0.13991020947866528</v>
      </c>
      <c r="W598" s="183">
        <f>STDEV(L$2:L598)*SQRT(252)</f>
        <v>0.28280153709709011</v>
      </c>
      <c r="X598" s="173">
        <f t="shared" ref="X598" si="2598">N598/V598</f>
        <v>0.73078047971610705</v>
      </c>
      <c r="Y598" s="173">
        <f t="shared" ref="Y598" si="2599">O598/W598</f>
        <v>0.14168663679665203</v>
      </c>
      <c r="Z598" s="794">
        <f t="shared" ref="Z598" si="2600">-(E598-N598)</f>
        <v>-0.19535342768117034</v>
      </c>
    </row>
    <row r="599" spans="1:26" ht="20.100000000000001" customHeight="1" x14ac:dyDescent="0.25">
      <c r="A599" s="162">
        <f t="shared" ref="A599" si="2601">B599-$B$2</f>
        <v>933</v>
      </c>
      <c r="B599" s="171">
        <v>43166</v>
      </c>
      <c r="C599" s="214">
        <v>2726.8</v>
      </c>
      <c r="D599" s="170">
        <f t="shared" ref="D599" si="2602">(C599-C598)/C598</f>
        <v>-4.8384968403138753E-4</v>
      </c>
      <c r="E599" s="208">
        <f t="shared" ref="E599" si="2603">(C599-$C$2)/$C$2</f>
        <v>0.29696923574513429</v>
      </c>
      <c r="F599" s="218">
        <v>7396.64</v>
      </c>
      <c r="G599" s="170">
        <f t="shared" ref="G599" si="2604">(F599-F598)/F598</f>
        <v>3.3423765599566368E-3</v>
      </c>
      <c r="H599" s="202">
        <f t="shared" ref="H599" si="2605">(F599-F$2)/F$2</f>
        <v>0.45268574346485468</v>
      </c>
      <c r="I599" s="220">
        <v>435779.16</v>
      </c>
      <c r="J599" s="172">
        <v>400000</v>
      </c>
      <c r="K599" s="172">
        <f t="shared" ref="K599" si="2606">I599-I598-J599+J598</f>
        <v>-5118.3000000000466</v>
      </c>
      <c r="L599" s="170">
        <f t="shared" ref="L599" si="2607">K599/I598</f>
        <v>-1.1608821697453295E-2</v>
      </c>
      <c r="M599" s="181">
        <f t="shared" ref="M599" si="2608">I599-J599</f>
        <v>35779.159999999974</v>
      </c>
      <c r="N599" s="183">
        <f t="shared" ref="N599" si="2609">M599/J599</f>
        <v>8.9447899999999941E-2</v>
      </c>
      <c r="O599" s="182">
        <f t="shared" ref="O599" si="2610">N599/(A599/365.25)</f>
        <v>3.5016983360128595E-2</v>
      </c>
      <c r="P599" s="181" t="b">
        <f t="shared" ref="P599" si="2611">L599&gt;D599</f>
        <v>0</v>
      </c>
      <c r="Q599" s="183">
        <f>COUNTIF(P$2:P599, TRUE)/(COUNTIF(P$2:P599,FALSE) + COUNTIF(P$2:P599, TRUE))</f>
        <v>0.47993311036789299</v>
      </c>
      <c r="R599" s="172">
        <v>358173.46</v>
      </c>
      <c r="S599" s="172">
        <f t="shared" ref="S599" si="2612">I599-R599</f>
        <v>77605.699999999953</v>
      </c>
      <c r="T599" s="172">
        <v>-33468</v>
      </c>
      <c r="U599" s="172">
        <f t="shared" ref="U599" si="2613">M599-T599</f>
        <v>69247.159999999974</v>
      </c>
      <c r="V599" s="183">
        <f>STDEV(D$2:D599)*SQRT(252)</f>
        <v>0.13979417676369779</v>
      </c>
      <c r="W599" s="183">
        <f>STDEV(L$2:L599)*SQRT(252)</f>
        <v>0.28267415895687487</v>
      </c>
      <c r="X599" s="173">
        <f t="shared" ref="X599" si="2614">N599/V599</f>
        <v>0.63985426339466855</v>
      </c>
      <c r="Y599" s="173">
        <f t="shared" ref="Y599" si="2615">O599/W599</f>
        <v>0.12387755389225667</v>
      </c>
      <c r="Z599" s="794">
        <f t="shared" ref="Z599" si="2616">-(E599-N599)</f>
        <v>-0.20752133574513434</v>
      </c>
    </row>
    <row r="600" spans="1:26" ht="20.100000000000001" customHeight="1" x14ac:dyDescent="0.25">
      <c r="A600" s="162">
        <f t="shared" ref="A600" si="2617">B600-$B$2</f>
        <v>934</v>
      </c>
      <c r="B600" s="171">
        <v>43167</v>
      </c>
      <c r="C600" s="214">
        <v>2738.97</v>
      </c>
      <c r="D600" s="170">
        <f t="shared" ref="D600" si="2618">(C600-C599)/C599</f>
        <v>4.4631069385358728E-3</v>
      </c>
      <c r="E600" s="208">
        <f t="shared" ref="E600" si="2619">(C600-$C$2)/$C$2</f>
        <v>0.30275774814025597</v>
      </c>
      <c r="F600" s="218">
        <v>7427.94</v>
      </c>
      <c r="G600" s="170">
        <f t="shared" ref="G600" si="2620">(F600-F599)/F599</f>
        <v>4.2316511280796783E-3</v>
      </c>
      <c r="H600" s="202">
        <f t="shared" ref="H600" si="2621">(F600-F$2)/F$2</f>
        <v>0.45883300272993299</v>
      </c>
      <c r="I600" s="220">
        <v>429670.56</v>
      </c>
      <c r="J600" s="172">
        <v>400000</v>
      </c>
      <c r="K600" s="172">
        <f t="shared" ref="K600" si="2622">I600-I599-J600+J599</f>
        <v>-6108.5999999999767</v>
      </c>
      <c r="L600" s="170">
        <f t="shared" ref="L600" si="2623">K600/I599</f>
        <v>-1.4017650591643659E-2</v>
      </c>
      <c r="M600" s="181">
        <f t="shared" ref="M600" si="2624">I600-J600</f>
        <v>29670.559999999998</v>
      </c>
      <c r="N600" s="183">
        <f t="shared" ref="N600" si="2625">M600/J600</f>
        <v>7.417639999999999E-2</v>
      </c>
      <c r="O600" s="182">
        <f t="shared" ref="O600" si="2626">N600/(A600/365.25)</f>
        <v>2.9007419807280513E-2</v>
      </c>
      <c r="P600" s="181" t="b">
        <f t="shared" ref="P600" si="2627">L600&gt;D600</f>
        <v>0</v>
      </c>
      <c r="Q600" s="183">
        <f>COUNTIF(P$2:P600, TRUE)/(COUNTIF(P$2:P600,FALSE) + COUNTIF(P$2:P600, TRUE))</f>
        <v>0.47913188647746241</v>
      </c>
      <c r="R600" s="172">
        <v>369341.21</v>
      </c>
      <c r="S600" s="172">
        <f t="shared" ref="S600" si="2628">I600-R600</f>
        <v>60329.349999999977</v>
      </c>
      <c r="T600" s="172">
        <v>-40317</v>
      </c>
      <c r="U600" s="172">
        <f t="shared" ref="U600" si="2629">M600-T600</f>
        <v>69987.56</v>
      </c>
      <c r="V600" s="183">
        <f>STDEV(D$2:D600)*SQRT(252)</f>
        <v>0.13970104530269922</v>
      </c>
      <c r="W600" s="183">
        <f>STDEV(L$2:L600)*SQRT(252)</f>
        <v>0.28259463012255009</v>
      </c>
      <c r="X600" s="173">
        <f t="shared" ref="X600" si="2630">N600/V600</f>
        <v>0.53096524681885682</v>
      </c>
      <c r="Y600" s="173">
        <f t="shared" ref="Y600" si="2631">O600/W600</f>
        <v>0.10264674808116893</v>
      </c>
      <c r="Z600" s="794">
        <f t="shared" ref="Z600" si="2632">-(E600-N600)</f>
        <v>-0.22858134814025599</v>
      </c>
    </row>
    <row r="601" spans="1:26" ht="20.100000000000001" customHeight="1" x14ac:dyDescent="0.25">
      <c r="A601" s="162">
        <f t="shared" ref="A601" si="2633">B601-$B$2</f>
        <v>935</v>
      </c>
      <c r="B601" s="171">
        <v>43168</v>
      </c>
      <c r="C601" s="214">
        <v>2786.57</v>
      </c>
      <c r="D601" s="170">
        <f t="shared" ref="D601" si="2634">(C601-C600)/C600</f>
        <v>1.7378795678667663E-2</v>
      </c>
      <c r="E601" s="208">
        <f t="shared" ref="E601" si="2635">(C601-$C$2)/$C$2</f>
        <v>0.32539810886398662</v>
      </c>
      <c r="F601" s="218">
        <v>7560.81</v>
      </c>
      <c r="G601" s="170">
        <f t="shared" ref="G601" si="2636">(F601-F600)/F600</f>
        <v>1.7887866622509175E-2</v>
      </c>
      <c r="H601" s="202">
        <f t="shared" ref="H601" si="2637">(F601-F$2)/F$2</f>
        <v>0.48492841290728061</v>
      </c>
      <c r="I601" s="220">
        <v>438280.9</v>
      </c>
      <c r="J601" s="172">
        <v>400000</v>
      </c>
      <c r="K601" s="172">
        <f t="shared" ref="K601" si="2638">I601-I600-J601+J600</f>
        <v>8610.3400000000256</v>
      </c>
      <c r="L601" s="170">
        <f t="shared" ref="L601" si="2639">K601/I600</f>
        <v>2.0039399487830921E-2</v>
      </c>
      <c r="M601" s="181">
        <f t="shared" ref="M601" si="2640">I601-J601</f>
        <v>38280.900000000023</v>
      </c>
      <c r="N601" s="183">
        <f t="shared" ref="N601" si="2641">M601/J601</f>
        <v>9.5702250000000058E-2</v>
      </c>
      <c r="O601" s="182">
        <f t="shared" ref="O601" si="2642">N601/(A601/365.25)</f>
        <v>3.7385290708556174E-2</v>
      </c>
      <c r="P601" s="181" t="b">
        <f t="shared" ref="P601" si="2643">L601&gt;D601</f>
        <v>1</v>
      </c>
      <c r="Q601" s="183">
        <f>COUNTIF(P$2:P601, TRUE)/(COUNTIF(P$2:P601,FALSE) + COUNTIF(P$2:P601, TRUE))</f>
        <v>0.48</v>
      </c>
      <c r="R601" s="172">
        <v>374980.71</v>
      </c>
      <c r="S601" s="172">
        <f t="shared" ref="S601" si="2644">I601-R601</f>
        <v>63300.19</v>
      </c>
      <c r="T601" s="172">
        <v>-37017</v>
      </c>
      <c r="U601" s="172">
        <f t="shared" ref="U601" si="2645">M601-T601</f>
        <v>75297.900000000023</v>
      </c>
      <c r="V601" s="183">
        <f>STDEV(D$2:D601)*SQRT(252)</f>
        <v>0.14001382261721679</v>
      </c>
      <c r="W601" s="183">
        <f>STDEV(L$2:L601)*SQRT(252)</f>
        <v>0.2826430633070916</v>
      </c>
      <c r="X601" s="173">
        <f t="shared" ref="X601" si="2646">N601/V601</f>
        <v>0.68352001403204343</v>
      </c>
      <c r="Y601" s="173">
        <f t="shared" ref="Y601" si="2647">O601/W601</f>
        <v>0.13227032806369307</v>
      </c>
      <c r="Z601" s="794">
        <f t="shared" ref="Z601" si="2648">-(E601-N601)</f>
        <v>-0.22969585886398658</v>
      </c>
    </row>
    <row r="602" spans="1:26" ht="20.100000000000001" customHeight="1" x14ac:dyDescent="0.25">
      <c r="A602" s="162">
        <f t="shared" ref="A602" si="2649">B602-$B$2</f>
        <v>938</v>
      </c>
      <c r="B602" s="171">
        <v>43171</v>
      </c>
      <c r="C602" s="214">
        <v>2783.02</v>
      </c>
      <c r="D602" s="170">
        <f t="shared" ref="D602" si="2650">(C602-C601)/C601</f>
        <v>-1.273967637633428E-3</v>
      </c>
      <c r="E602" s="208">
        <f t="shared" ref="E602" si="2651">(C602-$C$2)/$C$2</f>
        <v>0.32370959456631337</v>
      </c>
      <c r="F602" s="218">
        <v>7588.32</v>
      </c>
      <c r="G602" s="170">
        <f t="shared" ref="G602" si="2652">(F602-F601)/F601</f>
        <v>3.6384990497049003E-3</v>
      </c>
      <c r="H602" s="202">
        <f t="shared" ref="H602" si="2653">(F602-F$2)/F$2</f>
        <v>0.49033132352652353</v>
      </c>
      <c r="I602" s="220">
        <v>437286.12</v>
      </c>
      <c r="J602" s="172">
        <v>400000</v>
      </c>
      <c r="K602" s="172">
        <f t="shared" ref="K602" si="2654">I602-I601-J602+J601</f>
        <v>-994.78000000002794</v>
      </c>
      <c r="L602" s="170">
        <f t="shared" ref="L602" si="2655">K602/I601</f>
        <v>-2.2697315808195792E-3</v>
      </c>
      <c r="M602" s="181">
        <f t="shared" ref="M602" si="2656">I602-J602</f>
        <v>37286.119999999995</v>
      </c>
      <c r="N602" s="183">
        <f t="shared" ref="N602" si="2657">M602/J602</f>
        <v>9.3215299999999987E-2</v>
      </c>
      <c r="O602" s="182">
        <f t="shared" ref="O602" si="2658">N602/(A602/365.25)</f>
        <v>3.6297322308102335E-2</v>
      </c>
      <c r="P602" s="181" t="b">
        <f t="shared" ref="P602" si="2659">L602&gt;D602</f>
        <v>0</v>
      </c>
      <c r="Q602" s="183">
        <f>COUNTIF(P$2:P602, TRUE)/(COUNTIF(P$2:P602,FALSE) + COUNTIF(P$2:P602, TRUE))</f>
        <v>0.47920133111480867</v>
      </c>
      <c r="R602" s="172">
        <v>373985.93</v>
      </c>
      <c r="S602" s="172">
        <f t="shared" ref="S602" si="2660">I602-R602</f>
        <v>63300.19</v>
      </c>
      <c r="T602" s="172">
        <v>-37287</v>
      </c>
      <c r="U602" s="172">
        <f t="shared" ref="U602" si="2661">M602-T602</f>
        <v>74573.119999999995</v>
      </c>
      <c r="V602" s="183">
        <f>STDEV(D$2:D602)*SQRT(252)</f>
        <v>0.13990167405306719</v>
      </c>
      <c r="W602" s="183">
        <f>STDEV(L$2:L602)*SQRT(252)</f>
        <v>0.28241279907260419</v>
      </c>
      <c r="X602" s="173">
        <f t="shared" ref="X602" si="2662">N602/V602</f>
        <v>0.66629152675215142</v>
      </c>
      <c r="Y602" s="173">
        <f t="shared" ref="Y602" si="2663">O602/W602</f>
        <v>0.1285257694668818</v>
      </c>
      <c r="Z602" s="794">
        <f t="shared" ref="Z602" si="2664">-(E602-N602)</f>
        <v>-0.23049429456631337</v>
      </c>
    </row>
    <row r="603" spans="1:26" ht="20.100000000000001" customHeight="1" x14ac:dyDescent="0.25">
      <c r="A603" s="162">
        <f t="shared" ref="A603" si="2665">B603-$B$2</f>
        <v>939</v>
      </c>
      <c r="B603" s="171">
        <v>43172</v>
      </c>
      <c r="C603" s="214">
        <v>2765.31</v>
      </c>
      <c r="D603" s="170">
        <f t="shared" ref="D603" si="2666">(C603-C602)/C602</f>
        <v>-6.3635906317597562E-3</v>
      </c>
      <c r="E603" s="208">
        <f t="shared" ref="E603" si="2667">(C603-$C$2)/$C$2</f>
        <v>0.31528604859116066</v>
      </c>
      <c r="F603" s="218">
        <v>7511.01</v>
      </c>
      <c r="G603" s="170">
        <f t="shared" ref="G603" si="2668">(F603-F602)/F602</f>
        <v>-1.0188025808083936E-2</v>
      </c>
      <c r="H603" s="202">
        <f t="shared" ref="H603" si="2669">(F603-F$2)/F$2</f>
        <v>0.47514778953983944</v>
      </c>
      <c r="I603" s="220">
        <v>435615.49</v>
      </c>
      <c r="J603" s="172">
        <v>400000</v>
      </c>
      <c r="K603" s="172">
        <f t="shared" ref="K603" si="2670">I603-I602-J603+J602</f>
        <v>-1670.6300000000047</v>
      </c>
      <c r="L603" s="170">
        <f t="shared" ref="L603" si="2671">K603/I602</f>
        <v>-3.8204505553480744E-3</v>
      </c>
      <c r="M603" s="181">
        <f t="shared" ref="M603" si="2672">I603-J603</f>
        <v>35615.489999999991</v>
      </c>
      <c r="N603" s="183">
        <f t="shared" ref="N603" si="2673">M603/J603</f>
        <v>8.9038724999999971E-2</v>
      </c>
      <c r="O603" s="182">
        <f t="shared" ref="O603" si="2674">N603/(A603/365.25)</f>
        <v>3.463407274361021E-2</v>
      </c>
      <c r="P603" s="181" t="b">
        <f t="shared" ref="P603" si="2675">L603&gt;D603</f>
        <v>1</v>
      </c>
      <c r="Q603" s="183">
        <f>COUNTIF(P$2:P603, TRUE)/(COUNTIF(P$2:P603,FALSE) + COUNTIF(P$2:P603, TRUE))</f>
        <v>0.48006644518272423</v>
      </c>
      <c r="R603" s="172">
        <v>378952.58</v>
      </c>
      <c r="S603" s="172">
        <f t="shared" ref="S603" si="2676">I603-R603</f>
        <v>56662.909999999974</v>
      </c>
      <c r="T603" s="172">
        <v>-37227</v>
      </c>
      <c r="U603" s="172">
        <f t="shared" ref="U603" si="2677">M603-T603</f>
        <v>72842.489999999991</v>
      </c>
      <c r="V603" s="183">
        <f>STDEV(D$2:D603)*SQRT(252)</f>
        <v>0.13985580631771188</v>
      </c>
      <c r="W603" s="183">
        <f>STDEV(L$2:L603)*SQRT(252)</f>
        <v>0.28219128709643676</v>
      </c>
      <c r="X603" s="173">
        <f t="shared" ref="X603" si="2678">N603/V603</f>
        <v>0.63664661013594082</v>
      </c>
      <c r="Y603" s="173">
        <f t="shared" ref="Y603" si="2679">O603/W603</f>
        <v>0.12273260843724872</v>
      </c>
      <c r="Z603" s="794">
        <f t="shared" ref="Z603" si="2680">-(E603-N603)</f>
        <v>-0.22624732359116068</v>
      </c>
    </row>
    <row r="604" spans="1:26" ht="20.100000000000001" customHeight="1" x14ac:dyDescent="0.25">
      <c r="A604" s="162">
        <f t="shared" ref="A604" si="2681">B604-$B$2</f>
        <v>940</v>
      </c>
      <c r="B604" s="171">
        <v>43173</v>
      </c>
      <c r="C604" s="214">
        <v>2749.48</v>
      </c>
      <c r="D604" s="170">
        <f t="shared" ref="D604" si="2682">(C604-C603)/C603</f>
        <v>-5.7244938180529229E-3</v>
      </c>
      <c r="E604" s="208">
        <f t="shared" ref="E604" si="2683">(C604-$C$2)/$C$2</f>
        <v>0.30775670173702935</v>
      </c>
      <c r="F604" s="218">
        <v>7496.81</v>
      </c>
      <c r="G604" s="170">
        <f t="shared" ref="G604" si="2684">(F604-F603)/F603</f>
        <v>-1.8905579941978267E-3</v>
      </c>
      <c r="H604" s="202">
        <f t="shared" ref="H604" si="2685">(F604-F$2)/F$2</f>
        <v>0.47235893709370164</v>
      </c>
      <c r="I604" s="220">
        <v>429341.77</v>
      </c>
      <c r="J604" s="172">
        <v>400000</v>
      </c>
      <c r="K604" s="172">
        <f t="shared" ref="K604" si="2686">I604-I603-J604+J603</f>
        <v>-6273.7199999999721</v>
      </c>
      <c r="L604" s="170">
        <f t="shared" ref="L604" si="2687">K604/I603</f>
        <v>-1.4401967202773189E-2</v>
      </c>
      <c r="M604" s="181">
        <f t="shared" ref="M604" si="2688">I604-J604</f>
        <v>29341.770000000019</v>
      </c>
      <c r="N604" s="183">
        <f t="shared" ref="N604" si="2689">M604/J604</f>
        <v>7.3354425000000043E-2</v>
      </c>
      <c r="O604" s="182">
        <f t="shared" ref="O604" si="2690">N604/(A604/365.25)</f>
        <v>2.8502876309840441E-2</v>
      </c>
      <c r="P604" s="181" t="b">
        <f t="shared" ref="P604" si="2691">L604&gt;D604</f>
        <v>0</v>
      </c>
      <c r="Q604" s="183">
        <f>COUNTIF(P$2:P604, TRUE)/(COUNTIF(P$2:P604,FALSE) + COUNTIF(P$2:P604, TRUE))</f>
        <v>0.4792703150912106</v>
      </c>
      <c r="R604" s="172">
        <v>372630.86</v>
      </c>
      <c r="S604" s="172">
        <f t="shared" ref="S604" si="2692">I604-R604</f>
        <v>56710.910000000033</v>
      </c>
      <c r="T604" s="172">
        <v>-38937</v>
      </c>
      <c r="U604" s="172">
        <f t="shared" ref="U604:U608" si="2693">M604-T604</f>
        <v>68278.770000000019</v>
      </c>
      <c r="V604" s="183">
        <f>STDEV(D$2:D604)*SQRT(252)</f>
        <v>0.1397973286660589</v>
      </c>
      <c r="W604" s="183">
        <f>STDEV(L$2:L604)*SQRT(252)</f>
        <v>0.28212127314780289</v>
      </c>
      <c r="X604" s="173">
        <f t="shared" ref="X604" si="2694">N604/V604</f>
        <v>0.52471979042765216</v>
      </c>
      <c r="Y604" s="173">
        <f t="shared" ref="Y604" si="2695">O604/W604</f>
        <v>0.10103058160703758</v>
      </c>
      <c r="Z604" s="794">
        <f t="shared" ref="Z604" si="2696">-(E604-N604)</f>
        <v>-0.23440227673702929</v>
      </c>
    </row>
    <row r="605" spans="1:26" ht="20.100000000000001" customHeight="1" x14ac:dyDescent="0.25">
      <c r="A605" s="162">
        <f t="shared" ref="A605" si="2697">B605-$B$2</f>
        <v>941</v>
      </c>
      <c r="B605" s="171">
        <v>43174</v>
      </c>
      <c r="C605" s="214">
        <v>2747.33</v>
      </c>
      <c r="D605" s="170">
        <f t="shared" ref="D605" si="2698">(C605-C604)/C604</f>
        <v>-7.8196604448844541E-4</v>
      </c>
      <c r="E605" s="208">
        <f t="shared" ref="E605" si="2699">(C605-$C$2)/$C$2</f>
        <v>0.30673408040181876</v>
      </c>
      <c r="F605" s="218">
        <v>7481.74</v>
      </c>
      <c r="G605" s="170">
        <f t="shared" ref="G605" si="2700">(F605-F604)/F604</f>
        <v>-2.0101883334379044E-3</v>
      </c>
      <c r="H605" s="202">
        <f t="shared" ref="H605" si="2701">(F605-F$2)/F$2</f>
        <v>0.46939921833572285</v>
      </c>
      <c r="I605" s="220">
        <v>429379.29</v>
      </c>
      <c r="J605" s="172">
        <v>400000</v>
      </c>
      <c r="K605" s="172">
        <f t="shared" ref="K605" si="2702">I605-I604-J605+J604</f>
        <v>37.519999999960419</v>
      </c>
      <c r="L605" s="170">
        <f t="shared" ref="L605" si="2703">K605/I604</f>
        <v>8.7389587088068359E-5</v>
      </c>
      <c r="M605" s="181">
        <f t="shared" ref="M605" si="2704">I605-J605</f>
        <v>29379.289999999979</v>
      </c>
      <c r="N605" s="183">
        <f t="shared" ref="N605" si="2705">M605/J605</f>
        <v>7.344822499999995E-2</v>
      </c>
      <c r="O605" s="182">
        <f t="shared" ref="O605" si="2706">N605/(A605/365.25)</f>
        <v>2.8508994879117941E-2</v>
      </c>
      <c r="P605" s="181" t="b">
        <f t="shared" ref="P605" si="2707">L605&gt;D605</f>
        <v>1</v>
      </c>
      <c r="Q605" s="183">
        <f>COUNTIF(P$2:P605, TRUE)/(COUNTIF(P$2:P605,FALSE) + COUNTIF(P$2:P605, TRUE))</f>
        <v>0.48013245033112584</v>
      </c>
      <c r="R605" s="172">
        <v>376490.31</v>
      </c>
      <c r="S605" s="172">
        <f t="shared" ref="S605" si="2708">I605-R605</f>
        <v>52888.979999999981</v>
      </c>
      <c r="T605" s="172"/>
      <c r="U605" s="172"/>
      <c r="V605" s="183">
        <f>STDEV(D$2:D605)*SQRT(252)</f>
        <v>0.13968356910665927</v>
      </c>
      <c r="W605" s="183">
        <f>STDEV(L$2:L605)*SQRT(252)</f>
        <v>0.2818869686749797</v>
      </c>
      <c r="X605" s="173">
        <f t="shared" ref="X605" si="2709">N605/V605</f>
        <v>0.52581864473921425</v>
      </c>
      <c r="Y605" s="173">
        <f t="shared" ref="Y605" si="2710">O605/W605</f>
        <v>0.10113626398951872</v>
      </c>
      <c r="Z605" s="794">
        <f t="shared" ref="Z605" si="2711">-(E605-N605)</f>
        <v>-0.23328585540181881</v>
      </c>
    </row>
    <row r="606" spans="1:26" ht="20.100000000000001" customHeight="1" x14ac:dyDescent="0.25">
      <c r="A606" s="162">
        <f t="shared" ref="A606" si="2712">B606-$B$2</f>
        <v>942</v>
      </c>
      <c r="B606" s="171">
        <v>43175</v>
      </c>
      <c r="C606" s="214">
        <v>2752.02</v>
      </c>
      <c r="D606" s="170">
        <f t="shared" ref="D606" si="2713">(C606-C605)/C605</f>
        <v>1.707111996010692E-3</v>
      </c>
      <c r="E606" s="208">
        <f t="shared" ref="E606" si="2714">(C606-$C$2)/$C$2</f>
        <v>0.30896482182606871</v>
      </c>
      <c r="F606" s="218">
        <v>7481.98</v>
      </c>
      <c r="G606" s="170">
        <f t="shared" ref="G606" si="2715">(F606-F605)/F605</f>
        <v>3.2078099479503662E-5</v>
      </c>
      <c r="H606" s="202">
        <f t="shared" ref="H606" si="2716">(F606-F$2)/F$2</f>
        <v>0.46944635387002376</v>
      </c>
      <c r="I606" s="220">
        <v>432834.68</v>
      </c>
      <c r="J606" s="172">
        <v>400000</v>
      </c>
      <c r="K606" s="172">
        <f t="shared" ref="K606" si="2717">I606-I605-J606+J605</f>
        <v>3455.390000000014</v>
      </c>
      <c r="L606" s="170">
        <f t="shared" ref="L606" si="2718">K606/I605</f>
        <v>8.0474072235761866E-3</v>
      </c>
      <c r="M606" s="181">
        <f t="shared" ref="M606" si="2719">I606-J606</f>
        <v>32834.679999999993</v>
      </c>
      <c r="N606" s="183">
        <f t="shared" ref="N606" si="2720">M606/J606</f>
        <v>8.2086699999999985E-2</v>
      </c>
      <c r="O606" s="182">
        <f t="shared" ref="O606" si="2721">N606/(A606/365.25)</f>
        <v>3.1828202945859869E-2</v>
      </c>
      <c r="P606" s="181" t="b">
        <f t="shared" ref="P606" si="2722">L606&gt;D606</f>
        <v>1</v>
      </c>
      <c r="Q606" s="183">
        <f>COUNTIF(P$2:P606, TRUE)/(COUNTIF(P$2:P606,FALSE) + COUNTIF(P$2:P606, TRUE))</f>
        <v>0.4809917355371901</v>
      </c>
      <c r="R606" s="172">
        <v>369896.1</v>
      </c>
      <c r="S606" s="172">
        <f t="shared" ref="S606:S608" si="2723">I606-R606</f>
        <v>62938.580000000016</v>
      </c>
      <c r="T606" s="172"/>
      <c r="U606" s="172"/>
      <c r="V606" s="183">
        <f>STDEV(D$2:D606)*SQRT(252)</f>
        <v>0.13956993901998668</v>
      </c>
      <c r="W606" s="183">
        <f>STDEV(L$2:L606)*SQRT(252)</f>
        <v>0.28169557911049675</v>
      </c>
      <c r="X606" s="173">
        <f t="shared" ref="X606" si="2724">N606/V606</f>
        <v>0.588140258399375</v>
      </c>
      <c r="Y606" s="173">
        <f t="shared" ref="Y606" si="2725">O606/W606</f>
        <v>0.112987939130472</v>
      </c>
      <c r="Z606" s="794">
        <f t="shared" ref="Z606" si="2726">-(E606-N606)</f>
        <v>-0.22687812182606873</v>
      </c>
    </row>
    <row r="607" spans="1:26" ht="20.100000000000001" customHeight="1" x14ac:dyDescent="0.25">
      <c r="A607" s="162">
        <f t="shared" ref="A607" si="2727">B607-$B$2</f>
        <v>945</v>
      </c>
      <c r="B607" s="171">
        <v>43178</v>
      </c>
      <c r="C607" s="214">
        <v>2712.92</v>
      </c>
      <c r="D607" s="170">
        <f t="shared" ref="D607" si="2728">(C607-C606)/C606</f>
        <v>-1.4207745583244275E-2</v>
      </c>
      <c r="E607" s="208">
        <f t="shared" ref="E607" si="2729">(C607-$C$2)/$C$2</f>
        <v>0.29036738266014728</v>
      </c>
      <c r="F607" s="218">
        <v>7324.44</v>
      </c>
      <c r="G607" s="170">
        <f t="shared" ref="G607" si="2730">(F607-F606)/F606</f>
        <v>-2.1055923699341613E-2</v>
      </c>
      <c r="H607" s="202">
        <f t="shared" ref="H607" si="2731">(F607-F$2)/F$2</f>
        <v>0.43850580356266078</v>
      </c>
      <c r="I607" s="220">
        <v>436840.3</v>
      </c>
      <c r="J607" s="172">
        <v>410000</v>
      </c>
      <c r="K607" s="172">
        <f t="shared" ref="K607" si="2732">I607-I606-J607+J606</f>
        <v>-5994.3800000000047</v>
      </c>
      <c r="L607" s="170">
        <f t="shared" ref="L607" si="2733">K607/I606</f>
        <v>-1.3849121331959825E-2</v>
      </c>
      <c r="M607" s="181">
        <f t="shared" ref="M607" si="2734">I607-J607</f>
        <v>26840.299999999988</v>
      </c>
      <c r="N607" s="183">
        <f t="shared" ref="N607" si="2735">M607/J607</f>
        <v>6.5464146341463386E-2</v>
      </c>
      <c r="O607" s="182">
        <f t="shared" ref="O607" si="2736">N607/(A607/365.25)</f>
        <v>2.5302412117692595E-2</v>
      </c>
      <c r="P607" s="181" t="b">
        <f t="shared" ref="P607" si="2737">L607&gt;D607</f>
        <v>1</v>
      </c>
      <c r="Q607" s="183">
        <f>COUNTIF(P$2:P607, TRUE)/(COUNTIF(P$2:P607,FALSE) + COUNTIF(P$2:P607, TRUE))</f>
        <v>0.48184818481848185</v>
      </c>
      <c r="R607" s="172"/>
      <c r="S607" s="172"/>
      <c r="T607" s="172"/>
      <c r="U607" s="172"/>
      <c r="V607" s="183">
        <f>STDEV(D$2:D607)*SQRT(252)</f>
        <v>0.13977635246668721</v>
      </c>
      <c r="W607" s="183">
        <f>STDEV(L$2:L607)*SQRT(252)</f>
        <v>0.28161437917604071</v>
      </c>
      <c r="X607" s="173">
        <f t="shared" ref="X607" si="2738">N607/V607</f>
        <v>0.46834922493105841</v>
      </c>
      <c r="Y607" s="173">
        <f t="shared" ref="Y607" si="2739">O607/W607</f>
        <v>8.9847727916889275E-2</v>
      </c>
      <c r="Z607" s="794">
        <f t="shared" ref="Z607" si="2740">-(E607-N607)</f>
        <v>-0.22490323631868389</v>
      </c>
    </row>
    <row r="608" spans="1:26" ht="20.100000000000001" customHeight="1" x14ac:dyDescent="0.25">
      <c r="A608" s="162">
        <f t="shared" ref="A608" si="2741">B608-$B$2</f>
        <v>946</v>
      </c>
      <c r="B608" s="171">
        <v>43179</v>
      </c>
      <c r="C608" s="214">
        <v>2716.94</v>
      </c>
      <c r="D608" s="170">
        <f t="shared" ref="D608" si="2742">(C608-C607)/C607</f>
        <v>1.4817982100467325E-3</v>
      </c>
      <c r="E608" s="208">
        <f t="shared" ref="E608" si="2743">(C608-$C$2)/$C$2</f>
        <v>0.29227944673807577</v>
      </c>
      <c r="F608" s="218">
        <v>7364.3</v>
      </c>
      <c r="G608" s="170">
        <f t="shared" ref="G608" si="2744">(F608-F607)/F607</f>
        <v>5.4420542730912649E-3</v>
      </c>
      <c r="H608" s="202">
        <f t="shared" ref="H608" si="2745">(F608-F$2)/F$2</f>
        <v>0.44633423021780555</v>
      </c>
      <c r="I608" s="220">
        <v>437944.26</v>
      </c>
      <c r="J608" s="172">
        <v>410000</v>
      </c>
      <c r="K608" s="172">
        <f t="shared" ref="K608" si="2746">I608-I607-J608+J607</f>
        <v>1103.960000000021</v>
      </c>
      <c r="L608" s="170">
        <f t="shared" ref="L608" si="2747">K608/I607</f>
        <v>2.5271477929120116E-3</v>
      </c>
      <c r="M608" s="181">
        <f t="shared" ref="M608" si="2748">I608-J608</f>
        <v>27944.260000000009</v>
      </c>
      <c r="N608" s="183">
        <f t="shared" ref="N608" si="2749">M608/J608</f>
        <v>6.8156731707317092E-2</v>
      </c>
      <c r="O608" s="182">
        <f t="shared" ref="O608" si="2750">N608/(A608/365.25)</f>
        <v>2.6315270883824068E-2</v>
      </c>
      <c r="P608" s="181" t="b">
        <f t="shared" ref="P608" si="2751">L608&gt;D608</f>
        <v>1</v>
      </c>
      <c r="Q608" s="183">
        <f>COUNTIF(P$2:P608, TRUE)/(COUNTIF(P$2:P608,FALSE) + COUNTIF(P$2:P608, TRUE))</f>
        <v>0.48270181219110381</v>
      </c>
      <c r="R608" s="172">
        <v>408998.53</v>
      </c>
      <c r="S608" s="172">
        <f t="shared" si="2723"/>
        <v>28945.729999999981</v>
      </c>
      <c r="T608" s="172">
        <v>-39027</v>
      </c>
      <c r="U608" s="172">
        <f t="shared" si="2693"/>
        <v>66971.260000000009</v>
      </c>
      <c r="V608" s="183">
        <f>STDEV(D$2:D608)*SQRT(252)</f>
        <v>0.13966234092312027</v>
      </c>
      <c r="W608" s="183">
        <f>STDEV(L$2:L608)*SQRT(252)</f>
        <v>0.28138468339100431</v>
      </c>
      <c r="X608" s="173">
        <f t="shared" ref="X608" si="2752">N608/V608</f>
        <v>0.48801080704235961</v>
      </c>
      <c r="Y608" s="173">
        <f t="shared" ref="Y608" si="2753">O608/W608</f>
        <v>9.3520622966023703E-2</v>
      </c>
      <c r="Z608" s="794">
        <f t="shared" ref="Z608" si="2754">-(E608-N608)</f>
        <v>-0.22412271503075867</v>
      </c>
    </row>
    <row r="609" spans="1:26" ht="20.100000000000001" customHeight="1" x14ac:dyDescent="0.25">
      <c r="A609" s="162">
        <f t="shared" ref="A609" si="2755">B609-$B$2</f>
        <v>947</v>
      </c>
      <c r="B609" s="171">
        <v>43180</v>
      </c>
      <c r="C609" s="214">
        <v>2711.93</v>
      </c>
      <c r="D609" s="170">
        <f t="shared" ref="D609" si="2756">(C609-C608)/C608</f>
        <v>-1.8439862492363535E-3</v>
      </c>
      <c r="E609" s="208">
        <f t="shared" ref="E609" si="2757">(C609-$C$2)/$C$2</f>
        <v>0.28989650120811999</v>
      </c>
      <c r="F609" s="218">
        <v>7345.28</v>
      </c>
      <c r="G609" s="170">
        <f t="shared" ref="G609" si="2758">(F609-F608)/F608</f>
        <v>-2.582730198389587E-3</v>
      </c>
      <c r="H609" s="202">
        <f t="shared" ref="H609" si="2759">(F609-F$2)/F$2</f>
        <v>0.44259873912445746</v>
      </c>
      <c r="I609" s="220">
        <v>444291.72</v>
      </c>
      <c r="J609" s="172">
        <v>410000</v>
      </c>
      <c r="K609" s="172">
        <f t="shared" ref="K609" si="2760">I609-I608-J609+J608</f>
        <v>6347.4599999999627</v>
      </c>
      <c r="L609" s="170">
        <f t="shared" ref="L609" si="2761">K609/I608</f>
        <v>1.4493762288378806E-2</v>
      </c>
      <c r="M609" s="181">
        <f t="shared" ref="M609" si="2762">I609-J609</f>
        <v>34291.719999999972</v>
      </c>
      <c r="N609" s="183">
        <f t="shared" ref="N609" si="2763">M609/J609</f>
        <v>8.3638341463414562E-2</v>
      </c>
      <c r="O609" s="182">
        <f t="shared" ref="O609" si="2764">N609/(A609/365.25)</f>
        <v>3.2258610580266286E-2</v>
      </c>
      <c r="P609" s="181" t="b">
        <f t="shared" ref="P609" si="2765">L609&gt;D609</f>
        <v>1</v>
      </c>
      <c r="Q609" s="183">
        <f>COUNTIF(P$2:P609, TRUE)/(COUNTIF(P$2:P609,FALSE) + COUNTIF(P$2:P609, TRUE))</f>
        <v>0.48355263157894735</v>
      </c>
      <c r="R609" s="172">
        <v>388465.73</v>
      </c>
      <c r="S609" s="172">
        <f t="shared" ref="S609" si="2766">I609-R609</f>
        <v>55825.989999999991</v>
      </c>
      <c r="T609" s="172">
        <v>-38907</v>
      </c>
      <c r="U609" s="172">
        <f t="shared" ref="U609" si="2767">M609-T609</f>
        <v>73198.719999999972</v>
      </c>
      <c r="V609" s="183">
        <f>STDEV(D$2:D609)*SQRT(252)</f>
        <v>0.13955496906364678</v>
      </c>
      <c r="W609" s="183">
        <f>STDEV(L$2:L609)*SQRT(252)</f>
        <v>0.28129760062211118</v>
      </c>
      <c r="X609" s="173">
        <f t="shared" ref="X609" si="2768">N609/V609</f>
        <v>0.5993218444645253</v>
      </c>
      <c r="Y609" s="173">
        <f t="shared" ref="Y609" si="2769">O609/W609</f>
        <v>0.11467787321656459</v>
      </c>
      <c r="Z609" s="794">
        <f t="shared" ref="Z609" si="2770">-(E609-N609)</f>
        <v>-0.20625815974470543</v>
      </c>
    </row>
    <row r="610" spans="1:26" ht="20.100000000000001" customHeight="1" x14ac:dyDescent="0.25">
      <c r="A610" s="162">
        <f t="shared" ref="A610" si="2771">B610-$B$2</f>
        <v>948</v>
      </c>
      <c r="B610" s="171">
        <v>43181</v>
      </c>
      <c r="C610" s="214">
        <v>2643.69</v>
      </c>
      <c r="D610" s="170">
        <f t="shared" ref="D610" si="2772">(C610-C609)/C609</f>
        <v>-2.5162891372564847E-2</v>
      </c>
      <c r="E610" s="208">
        <f t="shared" ref="E610" si="2773">(C610-$C$2)/$C$2</f>
        <v>0.25743897566636859</v>
      </c>
      <c r="F610" s="218">
        <v>7166.67</v>
      </c>
      <c r="G610" s="170">
        <f t="shared" ref="G610" si="2774">(F610-F609)/F609</f>
        <v>-2.4316295634747714E-2</v>
      </c>
      <c r="H610" s="202">
        <f t="shared" ref="H610" si="2775">(F610-F$2)/F$2</f>
        <v>0.40752008170159287</v>
      </c>
      <c r="I610" s="220">
        <v>436497.12</v>
      </c>
      <c r="J610" s="172">
        <v>410000</v>
      </c>
      <c r="K610" s="172">
        <f t="shared" ref="K610" si="2776">I610-I609-J610+J609</f>
        <v>-7794.5999999999767</v>
      </c>
      <c r="L610" s="170">
        <f t="shared" ref="L610" si="2777">K610/I609</f>
        <v>-1.7543878603004298E-2</v>
      </c>
      <c r="M610" s="181">
        <f t="shared" ref="M610" si="2778">I610-J610</f>
        <v>26497.119999999995</v>
      </c>
      <c r="N610" s="183">
        <f t="shared" ref="N610" si="2779">M610/J610</f>
        <v>6.4627121951219502E-2</v>
      </c>
      <c r="O610" s="182">
        <f t="shared" ref="O610" si="2780">N610/(A610/365.25)</f>
        <v>2.4899848410003086E-2</v>
      </c>
      <c r="P610" s="181" t="b">
        <f t="shared" ref="P610" si="2781">L610&gt;D610</f>
        <v>1</v>
      </c>
      <c r="Q610" s="183">
        <f>COUNTIF(P$2:P610, TRUE)/(COUNTIF(P$2:P610,FALSE) + COUNTIF(P$2:P610, TRUE))</f>
        <v>0.48440065681444994</v>
      </c>
      <c r="R610" s="172">
        <v>405000.68</v>
      </c>
      <c r="S610" s="172">
        <f t="shared" ref="S610" si="2782">I610-R610</f>
        <v>31496.440000000002</v>
      </c>
      <c r="T610" s="172">
        <v>-39087</v>
      </c>
      <c r="U610" s="172">
        <f t="shared" ref="U610" si="2783">M610-T610</f>
        <v>65584.12</v>
      </c>
      <c r="V610" s="183">
        <f>STDEV(D$2:D610)*SQRT(252)</f>
        <v>0.1404121731089179</v>
      </c>
      <c r="W610" s="183">
        <f>STDEV(L$2:L610)*SQRT(252)</f>
        <v>0.28130554779717615</v>
      </c>
      <c r="X610" s="173">
        <f t="shared" ref="X610" si="2784">N610/V610</f>
        <v>0.46026722982976809</v>
      </c>
      <c r="Y610" s="173">
        <f t="shared" ref="Y610" si="2785">O610/W610</f>
        <v>8.8515312282273592E-2</v>
      </c>
      <c r="Z610" s="794">
        <f t="shared" ref="Z610" si="2786">-(E610-N610)</f>
        <v>-0.19281185371514908</v>
      </c>
    </row>
    <row r="611" spans="1:26" ht="20.100000000000001" customHeight="1" x14ac:dyDescent="0.25">
      <c r="A611" s="162">
        <f t="shared" ref="A611" si="2787">B611-$B$2</f>
        <v>949</v>
      </c>
      <c r="B611" s="171">
        <v>43182</v>
      </c>
      <c r="C611" s="214">
        <v>2588.2800000000002</v>
      </c>
      <c r="D611" s="170">
        <f t="shared" ref="D611" si="2788">(C611-C610)/C610</f>
        <v>-2.0959340921212342E-2</v>
      </c>
      <c r="E611" s="208">
        <f t="shared" ref="E611" si="2789">(C611-$C$2)/$C$2</f>
        <v>0.23108388348775716</v>
      </c>
      <c r="F611" s="218">
        <v>6992.66</v>
      </c>
      <c r="G611" s="170">
        <f t="shared" ref="G611" si="2790">(F611-F610)/F610</f>
        <v>-2.4280453823044765E-2</v>
      </c>
      <c r="H611" s="202">
        <f t="shared" ref="H611" si="2791">(F611-F$2)/F$2</f>
        <v>0.37334485535282913</v>
      </c>
      <c r="I611" s="220">
        <v>432731.74</v>
      </c>
      <c r="J611" s="172">
        <v>410000</v>
      </c>
      <c r="K611" s="172">
        <f t="shared" ref="K611" si="2792">I611-I610-J611+J610</f>
        <v>-3765.3800000000047</v>
      </c>
      <c r="L611" s="170">
        <f t="shared" ref="L611" si="2793">K611/I610</f>
        <v>-8.6263570307176483E-3</v>
      </c>
      <c r="M611" s="181">
        <f t="shared" ref="M611" si="2794">I611-J611</f>
        <v>22731.739999999991</v>
      </c>
      <c r="N611" s="183">
        <f t="shared" ref="N611" si="2795">M611/J611</f>
        <v>5.5443268292682903E-2</v>
      </c>
      <c r="O611" s="182">
        <f t="shared" ref="O611" si="2796">N611/(A611/365.25)</f>
        <v>2.1338939666915101E-2</v>
      </c>
      <c r="P611" s="181" t="b">
        <f t="shared" ref="P611" si="2797">L611&gt;D611</f>
        <v>1</v>
      </c>
      <c r="Q611" s="183">
        <f>COUNTIF(P$2:P611, TRUE)/(COUNTIF(P$2:P611,FALSE) + COUNTIF(P$2:P611, TRUE))</f>
        <v>0.48524590163934428</v>
      </c>
      <c r="R611" s="172">
        <v>410695.78</v>
      </c>
      <c r="S611" s="172">
        <f t="shared" ref="S611" si="2798">I611-R611</f>
        <v>22035.959999999963</v>
      </c>
      <c r="T611" s="172">
        <v>-38588</v>
      </c>
      <c r="U611" s="172">
        <f t="shared" ref="U611" si="2799">M611-T611</f>
        <v>61319.739999999991</v>
      </c>
      <c r="V611" s="183">
        <f>STDEV(D$2:D611)*SQRT(252)</f>
        <v>0.14096884043280336</v>
      </c>
      <c r="W611" s="183">
        <f>STDEV(L$2:L611)*SQRT(252)</f>
        <v>0.28113491852881572</v>
      </c>
      <c r="X611" s="173">
        <f t="shared" ref="X611" si="2800">N611/V611</f>
        <v>0.39330158439596052</v>
      </c>
      <c r="Y611" s="173">
        <f t="shared" ref="Y611" si="2801">O611/W611</f>
        <v>7.5902843298805325E-2</v>
      </c>
      <c r="Z611" s="794">
        <f t="shared" ref="Z611" si="2802">-(E611-N611)</f>
        <v>-0.17564061519507426</v>
      </c>
    </row>
    <row r="612" spans="1:26" ht="20.100000000000001" customHeight="1" x14ac:dyDescent="0.25">
      <c r="A612" s="162">
        <f t="shared" ref="A612" si="2803">B612-$B$2</f>
        <v>952</v>
      </c>
      <c r="B612" s="171">
        <v>43185</v>
      </c>
      <c r="C612" s="214">
        <v>2658.55</v>
      </c>
      <c r="D612" s="170">
        <f t="shared" ref="D612" si="2804">(C612-C611)/C611</f>
        <v>2.7149303784752801E-2</v>
      </c>
      <c r="E612" s="208">
        <f t="shared" ref="E612" si="2805">(C612-$C$2)/$C$2</f>
        <v>0.26450695382507949</v>
      </c>
      <c r="F612" s="218">
        <v>7220.54</v>
      </c>
      <c r="G612" s="170">
        <f t="shared" ref="G612" si="2806">(F612-F611)/F611</f>
        <v>3.2588457039238301E-2</v>
      </c>
      <c r="H612" s="202">
        <f t="shared" ref="H612" si="2807">(F612-F$2)/F$2</f>
        <v>0.41810004517155375</v>
      </c>
      <c r="I612" s="220">
        <v>442155.65</v>
      </c>
      <c r="J612" s="172">
        <v>410000</v>
      </c>
      <c r="K612" s="172">
        <f t="shared" ref="K612" si="2808">I612-I611-J612+J611</f>
        <v>9423.9100000000326</v>
      </c>
      <c r="L612" s="170">
        <f t="shared" ref="L612" si="2809">K612/I611</f>
        <v>2.1777718454394013E-2</v>
      </c>
      <c r="M612" s="181">
        <f t="shared" ref="M612" si="2810">I612-J612</f>
        <v>32155.650000000023</v>
      </c>
      <c r="N612" s="183">
        <f t="shared" ref="N612" si="2811">M612/J612</f>
        <v>7.8428414634146404E-2</v>
      </c>
      <c r="O612" s="182">
        <f t="shared" ref="O612" si="2812">N612/(A612/365.25)</f>
        <v>3.0090313492775182E-2</v>
      </c>
      <c r="P612" s="181" t="b">
        <f t="shared" ref="P612" si="2813">L612&gt;D612</f>
        <v>0</v>
      </c>
      <c r="Q612" s="183">
        <f>COUNTIF(P$2:P612, TRUE)/(COUNTIF(P$2:P612,FALSE) + COUNTIF(P$2:P612, TRUE))</f>
        <v>0.48445171849427171</v>
      </c>
      <c r="R612" s="172">
        <v>420120.18</v>
      </c>
      <c r="S612" s="172">
        <f t="shared" ref="S612" si="2814">I612-R612</f>
        <v>22035.47000000003</v>
      </c>
      <c r="T612" s="172">
        <v>-36818</v>
      </c>
      <c r="U612" s="172">
        <f t="shared" ref="U612" si="2815">M612-T612</f>
        <v>68973.650000000023</v>
      </c>
      <c r="V612" s="183">
        <f>STDEV(D$2:D612)*SQRT(252)</f>
        <v>0.14189996990715831</v>
      </c>
      <c r="W612" s="183">
        <f>STDEV(L$2:L612)*SQRT(252)</f>
        <v>0.28123835873909325</v>
      </c>
      <c r="X612" s="173">
        <f t="shared" ref="X612" si="2816">N612/V612</f>
        <v>0.55270212309037281</v>
      </c>
      <c r="Y612" s="173">
        <f t="shared" ref="Y612" si="2817">O612/W612</f>
        <v>0.10699220983823964</v>
      </c>
      <c r="Z612" s="794">
        <f t="shared" ref="Z612" si="2818">-(E612-N612)</f>
        <v>-0.18607853919093309</v>
      </c>
    </row>
    <row r="613" spans="1:26" ht="20.100000000000001" customHeight="1" x14ac:dyDescent="0.25">
      <c r="A613" s="162">
        <f t="shared" ref="A613" si="2819">B613-$B$2</f>
        <v>953</v>
      </c>
      <c r="B613" s="171">
        <v>43186</v>
      </c>
      <c r="C613" s="214">
        <v>2612.62</v>
      </c>
      <c r="D613" s="170">
        <f t="shared" ref="D613" si="2820">(C613-C612)/C612</f>
        <v>-1.7276334844182086E-2</v>
      </c>
      <c r="E613" s="208">
        <f t="shared" ref="E613" si="2821">(C613-$C$2)/$C$2</f>
        <v>0.24266090827800071</v>
      </c>
      <c r="F613" s="218">
        <v>7008.8</v>
      </c>
      <c r="G613" s="170">
        <f t="shared" ref="G613" si="2822">(F613-F612)/F612</f>
        <v>-2.9324676547737398E-2</v>
      </c>
      <c r="H613" s="202">
        <f t="shared" ref="H613" si="2823">(F613-F$2)/F$2</f>
        <v>0.37651472003456615</v>
      </c>
      <c r="I613" s="220">
        <v>435282.26</v>
      </c>
      <c r="J613" s="172">
        <v>410000</v>
      </c>
      <c r="K613" s="172">
        <f t="shared" ref="K613" si="2824">I613-I612-J613+J612</f>
        <v>-6873.390000000014</v>
      </c>
      <c r="L613" s="170">
        <f t="shared" ref="L613" si="2825">K613/I612</f>
        <v>-1.5545181883348124E-2</v>
      </c>
      <c r="M613" s="181">
        <f t="shared" ref="M613" si="2826">I613-J613</f>
        <v>25282.260000000009</v>
      </c>
      <c r="N613" s="183">
        <f t="shared" ref="N613" si="2827">M613/J613</f>
        <v>6.1664048780487826E-2</v>
      </c>
      <c r="O613" s="182">
        <f t="shared" ref="O613" si="2828">N613/(A613/365.25)</f>
        <v>2.363357168633072E-2</v>
      </c>
      <c r="P613" s="181" t="b">
        <f t="shared" ref="P613" si="2829">L613&gt;D613</f>
        <v>1</v>
      </c>
      <c r="Q613" s="183">
        <f>COUNTIF(P$2:P613, TRUE)/(COUNTIF(P$2:P613,FALSE) + COUNTIF(P$2:P613, TRUE))</f>
        <v>0.48529411764705882</v>
      </c>
      <c r="R613" s="172">
        <v>416208.39</v>
      </c>
      <c r="S613" s="172">
        <f t="shared" ref="S613" si="2830">I613-R613</f>
        <v>19073.869999999995</v>
      </c>
      <c r="T613" s="172">
        <v>-38018</v>
      </c>
      <c r="U613" s="172">
        <f t="shared" ref="U613" si="2831">M613-T613</f>
        <v>63300.260000000009</v>
      </c>
      <c r="V613" s="183">
        <f>STDEV(D$2:D613)*SQRT(252)</f>
        <v>0.14223860281970682</v>
      </c>
      <c r="W613" s="183">
        <f>STDEV(L$2:L613)*SQRT(252)</f>
        <v>0.28119620130080319</v>
      </c>
      <c r="X613" s="173">
        <f t="shared" ref="X613" si="2832">N613/V613</f>
        <v>0.43352541123206545</v>
      </c>
      <c r="Y613" s="173">
        <f t="shared" ref="Y613" si="2833">O613/W613</f>
        <v>8.4046553890140388E-2</v>
      </c>
      <c r="Z613" s="794">
        <f t="shared" ref="Z613" si="2834">-(E613-N613)</f>
        <v>-0.18099685949751287</v>
      </c>
    </row>
    <row r="614" spans="1:26" ht="20.100000000000001" customHeight="1" x14ac:dyDescent="0.25">
      <c r="A614" s="162">
        <f t="shared" ref="A614" si="2835">B614-$B$2</f>
        <v>954</v>
      </c>
      <c r="B614" s="171">
        <v>43187</v>
      </c>
      <c r="C614" s="214">
        <v>2605</v>
      </c>
      <c r="D614" s="170">
        <f t="shared" ref="D614" si="2836">(C614-C613)/C613</f>
        <v>-2.9166124426820168E-3</v>
      </c>
      <c r="E614" s="208">
        <f t="shared" ref="E614" si="2837">(C614-$C$2)/$C$2</f>
        <v>0.23903654801088256</v>
      </c>
      <c r="F614" s="218">
        <v>6949.22</v>
      </c>
      <c r="G614" s="170">
        <f t="shared" ref="G614" si="2838">(F614-F613)/F613</f>
        <v>-8.5007419244378397E-3</v>
      </c>
      <c r="H614" s="202">
        <f t="shared" ref="H614" si="2839">(F614-F$2)/F$2</f>
        <v>0.36481332364436247</v>
      </c>
      <c r="I614" s="220">
        <v>434900.1</v>
      </c>
      <c r="J614" s="172">
        <v>410000</v>
      </c>
      <c r="K614" s="172">
        <f t="shared" ref="K614" si="2840">I614-I613-J614+J613</f>
        <v>-382.1600000000326</v>
      </c>
      <c r="L614" s="170">
        <f t="shared" ref="L614" si="2841">K614/I613</f>
        <v>-8.7795905121433755E-4</v>
      </c>
      <c r="M614" s="181">
        <f t="shared" ref="M614" si="2842">I614-J614</f>
        <v>24900.099999999977</v>
      </c>
      <c r="N614" s="183">
        <f t="shared" ref="N614" si="2843">M614/J614</f>
        <v>6.0731951219512137E-2</v>
      </c>
      <c r="O614" s="182">
        <f t="shared" ref="O614" si="2844">N614/(A614/365.25)</f>
        <v>2.325193415401133E-2</v>
      </c>
      <c r="P614" s="181" t="b">
        <f t="shared" ref="P614" si="2845">L614&gt;D614</f>
        <v>1</v>
      </c>
      <c r="Q614" s="183">
        <f>COUNTIF(P$2:P614, TRUE)/(COUNTIF(P$2:P614,FALSE) + COUNTIF(P$2:P614, TRUE))</f>
        <v>0.48613376835236544</v>
      </c>
      <c r="R614" s="172">
        <v>423639.23</v>
      </c>
      <c r="S614" s="172">
        <f t="shared" ref="S614" si="2846">I614-R614</f>
        <v>11260.869999999995</v>
      </c>
      <c r="T614" s="172">
        <v>-37568</v>
      </c>
      <c r="U614" s="172">
        <f t="shared" ref="U614" si="2847">M614-T614</f>
        <v>62468.099999999977</v>
      </c>
      <c r="V614" s="183">
        <f>STDEV(D$2:D614)*SQRT(252)</f>
        <v>0.14213804976079963</v>
      </c>
      <c r="W614" s="183">
        <f>STDEV(L$2:L614)*SQRT(252)</f>
        <v>0.28096730052537355</v>
      </c>
      <c r="X614" s="173">
        <f t="shared" ref="X614" si="2848">N614/V614</f>
        <v>0.42727440908128633</v>
      </c>
      <c r="Y614" s="173">
        <f t="shared" ref="Y614" si="2849">O614/W614</f>
        <v>8.2756726887908791E-2</v>
      </c>
      <c r="Z614" s="794">
        <f t="shared" ref="Z614" si="2850">-(E614-N614)</f>
        <v>-0.17830459679137042</v>
      </c>
    </row>
    <row r="615" spans="1:26" ht="20.100000000000001" customHeight="1" x14ac:dyDescent="0.25">
      <c r="A615" s="162">
        <f t="shared" ref="A615" si="2851">B615-$B$2</f>
        <v>955</v>
      </c>
      <c r="B615" s="171">
        <v>43188</v>
      </c>
      <c r="C615" s="214">
        <v>2640.87</v>
      </c>
      <c r="D615" s="170">
        <f t="shared" ref="D615" si="2852">(C615-C614)/C614</f>
        <v>1.3769673704414545E-2</v>
      </c>
      <c r="E615" s="208">
        <f t="shared" ref="E615" si="2853">(C615-$C$2)/$C$2</f>
        <v>0.2560976769848366</v>
      </c>
      <c r="F615" s="218">
        <v>7063.44</v>
      </c>
      <c r="G615" s="170">
        <f t="shared" ref="G615" si="2854">(F615-F614)/F614</f>
        <v>1.6436377032242374E-2</v>
      </c>
      <c r="H615" s="202">
        <f t="shared" ref="H615" si="2855">(F615-F$2)/F$2</f>
        <v>0.38724591001040909</v>
      </c>
      <c r="I615" s="409">
        <v>442598.74</v>
      </c>
      <c r="J615" s="172">
        <v>410000</v>
      </c>
      <c r="K615" s="172">
        <f t="shared" ref="K615" si="2856">I615-I614-J615+J614</f>
        <v>7698.640000000014</v>
      </c>
      <c r="L615" s="170">
        <f t="shared" ref="L615" si="2857">K615/I614</f>
        <v>1.770208836466125E-2</v>
      </c>
      <c r="M615" s="409">
        <f t="shared" ref="M615" si="2858">I615-J615</f>
        <v>32598.739999999991</v>
      </c>
      <c r="N615" s="183">
        <f t="shared" ref="N615" si="2859">M615/J615</f>
        <v>7.9509121951219494E-2</v>
      </c>
      <c r="O615" s="182">
        <f t="shared" ref="O615" si="2860">N615/(A615/365.25)</f>
        <v>3.0409117060400961E-2</v>
      </c>
      <c r="P615" s="181" t="b">
        <f t="shared" ref="P615" si="2861">L615&gt;D615</f>
        <v>1</v>
      </c>
      <c r="Q615" s="183">
        <f>COUNTIF(P$2:P615, TRUE)/(COUNTIF(P$2:P615,FALSE) + COUNTIF(P$2:P615, TRUE))</f>
        <v>0.48697068403908794</v>
      </c>
      <c r="R615" s="172">
        <v>415205.93</v>
      </c>
      <c r="S615" s="172">
        <f t="shared" ref="S615" si="2862">I615-R615</f>
        <v>27392.809999999998</v>
      </c>
      <c r="T615" s="172">
        <v>-36608</v>
      </c>
      <c r="U615" s="172">
        <f t="shared" ref="U615" si="2863">M615-T615</f>
        <v>69206.739999999991</v>
      </c>
      <c r="V615" s="183">
        <f>STDEV(D$2:D615)*SQRT(252)</f>
        <v>0.1422807158227519</v>
      </c>
      <c r="W615" s="183">
        <f>STDEV(L$2:L615)*SQRT(252)</f>
        <v>0.28095538225453753</v>
      </c>
      <c r="X615" s="173">
        <f t="shared" ref="X615" si="2864">N615/V615</f>
        <v>0.5588186810239909</v>
      </c>
      <c r="Y615" s="173">
        <f t="shared" ref="Y615" si="2865">O615/W615</f>
        <v>0.10823468415654401</v>
      </c>
      <c r="Z615" s="794">
        <f t="shared" ref="Z615" si="2866">-(E615-N615)</f>
        <v>-0.17658855503361709</v>
      </c>
    </row>
    <row r="616" spans="1:26" ht="20.100000000000001" customHeight="1" x14ac:dyDescent="0.25">
      <c r="A616" s="162">
        <f t="shared" ref="A616" si="2867">B616-$B$2</f>
        <v>959</v>
      </c>
      <c r="B616" s="171">
        <v>43192</v>
      </c>
      <c r="C616" s="214">
        <v>2581.88</v>
      </c>
      <c r="D616" s="170">
        <f t="shared" ref="D616" si="2868">(C616-C615)/C615</f>
        <v>-2.2337335802216612E-2</v>
      </c>
      <c r="E616" s="208">
        <f t="shared" ref="E616" si="2869">(C616-$C$2)/$C$2</f>
        <v>0.22803980137364208</v>
      </c>
      <c r="F616" s="218">
        <v>6870.11</v>
      </c>
      <c r="G616" s="170">
        <f t="shared" ref="G616" si="2870">(F616-F615)/F615</f>
        <v>-2.737051634897443E-2</v>
      </c>
      <c r="H616" s="202">
        <f t="shared" ref="H616" si="2871">(F616-F$2)/F$2</f>
        <v>0.34927627315042126</v>
      </c>
      <c r="I616" s="220">
        <v>431276</v>
      </c>
      <c r="J616" s="172">
        <v>410000</v>
      </c>
      <c r="K616" s="172">
        <f t="shared" ref="K616" si="2872">I616-I615-J616+J615</f>
        <v>-11322.739999999991</v>
      </c>
      <c r="L616" s="170">
        <f t="shared" ref="L616" si="2873">K616/I615</f>
        <v>-2.558240450481172E-2</v>
      </c>
      <c r="M616" s="181">
        <f t="shared" ref="M616" si="2874">I616-J616</f>
        <v>21276</v>
      </c>
      <c r="N616" s="183">
        <f t="shared" ref="N616" si="2875">M616/J616</f>
        <v>5.1892682926829269E-2</v>
      </c>
      <c r="O616" s="182">
        <f t="shared" ref="O616" si="2876">N616/(A616/365.25)</f>
        <v>1.9764131844655256E-2</v>
      </c>
      <c r="P616" s="181" t="b">
        <f t="shared" ref="P616" si="2877">L616&gt;D616</f>
        <v>0</v>
      </c>
      <c r="Q616" s="183">
        <f>COUNTIF(P$2:P616, TRUE)/(COUNTIF(P$2:P616,FALSE) + COUNTIF(P$2:P616, TRUE))</f>
        <v>0.48617886178861791</v>
      </c>
      <c r="R616" s="172"/>
      <c r="S616" s="172"/>
      <c r="T616" s="172"/>
      <c r="U616" s="172"/>
      <c r="V616" s="183">
        <f>STDEV(D$2:D616)*SQRT(252)</f>
        <v>0.14290971909934441</v>
      </c>
      <c r="W616" s="183">
        <f>STDEV(L$2:L616)*SQRT(252)</f>
        <v>0.28122231314673968</v>
      </c>
      <c r="X616" s="173">
        <f t="shared" ref="X616" si="2878">N616/V616</f>
        <v>0.36311514188027905</v>
      </c>
      <c r="Y616" s="173">
        <f t="shared" ref="Y616" si="2879">O616/W616</f>
        <v>7.0279387234619906E-2</v>
      </c>
      <c r="Z616" s="794">
        <f t="shared" ref="Z616" si="2880">-(E616-N616)</f>
        <v>-0.1761471184468128</v>
      </c>
    </row>
    <row r="617" spans="1:26" ht="20.100000000000001" customHeight="1" x14ac:dyDescent="0.25">
      <c r="A617" s="162">
        <f t="shared" ref="A617" si="2881">B617-$B$2</f>
        <v>960</v>
      </c>
      <c r="B617" s="171">
        <v>43193</v>
      </c>
      <c r="C617" s="214">
        <v>2614.4499999999998</v>
      </c>
      <c r="D617" s="170">
        <f t="shared" ref="D617" si="2882">(C617-C616)/C616</f>
        <v>1.2614838799634261E-2</v>
      </c>
      <c r="E617" s="208">
        <f t="shared" ref="E617" si="2883">(C617-$C$2)/$C$2</f>
        <v>0.24353132550750545</v>
      </c>
      <c r="F617" s="218">
        <v>6941.28</v>
      </c>
      <c r="G617" s="170">
        <f t="shared" ref="G617" si="2884">(F617-F616)/F616</f>
        <v>1.0359368336169301E-2</v>
      </c>
      <c r="H617" s="202">
        <f t="shared" ref="H617" si="2885">(F617-F$2)/F$2</f>
        <v>0.36325392305124027</v>
      </c>
      <c r="I617" s="220">
        <v>437107.28</v>
      </c>
      <c r="J617" s="172">
        <v>410000</v>
      </c>
      <c r="K617" s="172">
        <f t="shared" ref="K617" si="2886">I617-I616-J617+J616</f>
        <v>5831.2800000000279</v>
      </c>
      <c r="L617" s="170">
        <f t="shared" ref="L617" si="2887">K617/I616</f>
        <v>1.3520993516912669E-2</v>
      </c>
      <c r="M617" s="181">
        <f t="shared" ref="M617" si="2888">I617-J617</f>
        <v>27107.280000000028</v>
      </c>
      <c r="N617" s="183">
        <f t="shared" ref="N617" si="2889">M617/J617</f>
        <v>6.6115317073170796E-2</v>
      </c>
      <c r="O617" s="182">
        <f t="shared" ref="O617" si="2890">N617/(A617/365.25)</f>
        <v>2.5154812042682953E-2</v>
      </c>
      <c r="P617" s="181" t="b">
        <f t="shared" ref="P617" si="2891">L617&gt;D617</f>
        <v>1</v>
      </c>
      <c r="Q617" s="183">
        <f>COUNTIF(P$2:P617, TRUE)/(COUNTIF(P$2:P617,FALSE) + COUNTIF(P$2:P617, TRUE))</f>
        <v>0.48701298701298701</v>
      </c>
      <c r="R617" s="172">
        <v>418088.69</v>
      </c>
      <c r="S617" s="172">
        <f t="shared" ref="S617" si="2892">I617-R617</f>
        <v>19018.590000000026</v>
      </c>
      <c r="T617" s="172">
        <v>-37594</v>
      </c>
      <c r="U617" s="172">
        <f t="shared" ref="U617" si="2893">M617-T617</f>
        <v>64701.280000000028</v>
      </c>
      <c r="V617" s="183">
        <f>STDEV(D$2:D617)*SQRT(252)</f>
        <v>0.14300808205246943</v>
      </c>
      <c r="W617" s="183">
        <f>STDEV(L$2:L617)*SQRT(252)</f>
        <v>0.28111794508373883</v>
      </c>
      <c r="X617" s="173">
        <f t="shared" ref="X617" si="2894">N617/V617</f>
        <v>0.46231874537631512</v>
      </c>
      <c r="Y617" s="173">
        <f t="shared" ref="Y617" si="2895">O617/W617</f>
        <v>8.9481345757524977E-2</v>
      </c>
      <c r="Z617" s="794">
        <f t="shared" ref="Z617" si="2896">-(E617-N617)</f>
        <v>-0.17741600843433464</v>
      </c>
    </row>
    <row r="618" spans="1:26" ht="20.100000000000001" customHeight="1" x14ac:dyDescent="0.25">
      <c r="A618" s="162">
        <f t="shared" ref="A618" si="2897">B618-$B$2</f>
        <v>961</v>
      </c>
      <c r="B618" s="171">
        <v>43194</v>
      </c>
      <c r="C618" s="214">
        <v>2644.69</v>
      </c>
      <c r="D618" s="170">
        <f t="shared" ref="D618" si="2898">(C618-C617)/C617</f>
        <v>1.1566486259060314E-2</v>
      </c>
      <c r="E618" s="208">
        <f t="shared" ref="E618" si="2899">(C618-$C$2)/$C$2</f>
        <v>0.25791461349669909</v>
      </c>
      <c r="F618" s="218">
        <v>7042.1</v>
      </c>
      <c r="G618" s="170">
        <f t="shared" ref="G618" si="2900">(F618-F617)/F617</f>
        <v>1.452469861466482E-2</v>
      </c>
      <c r="H618" s="202">
        <f t="shared" ref="H618" si="2901">(F618-F$2)/F$2</f>
        <v>0.38305477541881899</v>
      </c>
      <c r="I618" s="220">
        <v>442334.44</v>
      </c>
      <c r="J618" s="172">
        <v>410000</v>
      </c>
      <c r="K618" s="172">
        <f t="shared" ref="K618" si="2902">I618-I617-J618+J617</f>
        <v>5227.1599999999744</v>
      </c>
      <c r="L618" s="170">
        <f t="shared" ref="L618" si="2903">K618/I617</f>
        <v>1.1958528807847753E-2</v>
      </c>
      <c r="M618" s="181">
        <f t="shared" ref="M618" si="2904">I618-J618</f>
        <v>32334.440000000002</v>
      </c>
      <c r="N618" s="183">
        <f t="shared" ref="N618:N623" si="2905">M618/J618</f>
        <v>7.886448780487805E-2</v>
      </c>
      <c r="O618" s="182">
        <f t="shared" ref="O618" si="2906">N618/(A618/365.25)</f>
        <v>2.9974249917514788E-2</v>
      </c>
      <c r="P618" s="181" t="b">
        <f t="shared" ref="P618" si="2907">L618&gt;D618</f>
        <v>1</v>
      </c>
      <c r="Q618" s="183">
        <f>COUNTIF(P$2:P618, TRUE)/(COUNTIF(P$2:P618,FALSE) + COUNTIF(P$2:P618, TRUE))</f>
        <v>0.4878444084278768</v>
      </c>
      <c r="R618" s="172">
        <v>400282.39</v>
      </c>
      <c r="S618" s="172">
        <f t="shared" ref="S618" si="2908">I618-R618</f>
        <v>42052.049999999988</v>
      </c>
      <c r="T618" s="172">
        <v>-36222</v>
      </c>
      <c r="U618" s="172">
        <f t="shared" ref="U618" si="2909">M618-T618</f>
        <v>68556.44</v>
      </c>
      <c r="V618" s="183">
        <f>STDEV(D$2:D618)*SQRT(252)</f>
        <v>0.14307030762480688</v>
      </c>
      <c r="W618" s="183">
        <f>STDEV(L$2:L618)*SQRT(252)</f>
        <v>0.28098554360281597</v>
      </c>
      <c r="X618" s="173">
        <f t="shared" ref="X618" si="2910">N618/V618</f>
        <v>0.55122889657646745</v>
      </c>
      <c r="Y618" s="173">
        <f t="shared" ref="Y618" si="2911">O618/W618</f>
        <v>0.10667541658258604</v>
      </c>
      <c r="Z618" s="794">
        <f t="shared" ref="Z618:Z623" si="2912">-(E618-N618)</f>
        <v>-0.17905012569182105</v>
      </c>
    </row>
    <row r="619" spans="1:26" ht="20.100000000000001" customHeight="1" x14ac:dyDescent="0.25">
      <c r="A619" s="162">
        <f t="shared" ref="A619" si="2913">B619-$B$2</f>
        <v>962</v>
      </c>
      <c r="B619" s="171">
        <v>43195</v>
      </c>
      <c r="C619" s="214">
        <v>2662.84</v>
      </c>
      <c r="D619" s="170">
        <f t="shared" ref="D619" si="2914">(C619-C618)/C618</f>
        <v>6.8628081173975368E-3</v>
      </c>
      <c r="E619" s="208">
        <f t="shared" ref="E619" si="2915">(C619-$C$2)/$C$2</f>
        <v>0.26654744011719722</v>
      </c>
      <c r="F619" s="218">
        <v>7076.55</v>
      </c>
      <c r="G619" s="170">
        <f t="shared" ref="G619" si="2916">(F619-F618)/F618</f>
        <v>4.8920066457448508E-3</v>
      </c>
      <c r="H619" s="202">
        <f t="shared" ref="H619" si="2917">(F619-F$2)/F$2</f>
        <v>0.38982068857159702</v>
      </c>
      <c r="I619" s="220">
        <v>448428.71</v>
      </c>
      <c r="J619" s="172">
        <v>410000</v>
      </c>
      <c r="K619" s="172">
        <f t="shared" ref="K619" si="2918">I619-I618-J619+J618</f>
        <v>6094.2700000000186</v>
      </c>
      <c r="L619" s="170">
        <f t="shared" ref="L619" si="2919">K619/I618</f>
        <v>1.3777516396869343E-2</v>
      </c>
      <c r="M619" s="181">
        <f t="shared" ref="M619" si="2920">I619-J619</f>
        <v>38428.710000000021</v>
      </c>
      <c r="N619" s="183">
        <f t="shared" si="2905"/>
        <v>9.3728560975609804E-2</v>
      </c>
      <c r="O619" s="182">
        <f t="shared" ref="O619" si="2921">N619/(A619/365.25)</f>
        <v>3.5586649580396555E-2</v>
      </c>
      <c r="P619" s="181" t="b">
        <f t="shared" ref="P619" si="2922">L619&gt;D619</f>
        <v>1</v>
      </c>
      <c r="Q619" s="183">
        <f>COUNTIF(P$2:P619, TRUE)/(COUNTIF(P$2:P619,FALSE) + COUNTIF(P$2:P619, TRUE))</f>
        <v>0.48867313915857608</v>
      </c>
      <c r="R619" s="172">
        <v>387887.09</v>
      </c>
      <c r="S619" s="172">
        <f t="shared" ref="S619" si="2923">I619-R619</f>
        <v>60541.619999999995</v>
      </c>
      <c r="T619" s="172">
        <v>-36897</v>
      </c>
      <c r="U619" s="172">
        <f t="shared" ref="U619" si="2924">M619-T619</f>
        <v>75325.710000000021</v>
      </c>
      <c r="V619" s="183">
        <f>STDEV(D$2:D619)*SQRT(252)</f>
        <v>0.14301354420635809</v>
      </c>
      <c r="W619" s="183">
        <f>STDEV(L$2:L619)*SQRT(252)</f>
        <v>0.28088596589043324</v>
      </c>
      <c r="X619" s="173">
        <f t="shared" ref="X619" si="2925">N619/V619</f>
        <v>0.6553824079792494</v>
      </c>
      <c r="Y619" s="173">
        <f t="shared" ref="Y619" si="2926">O619/W619</f>
        <v>0.1266942955572157</v>
      </c>
      <c r="Z619" s="794">
        <f t="shared" si="2912"/>
        <v>-0.17281887914158742</v>
      </c>
    </row>
    <row r="620" spans="1:26" ht="20.100000000000001" customHeight="1" x14ac:dyDescent="0.25">
      <c r="A620" s="162">
        <f t="shared" ref="A620" si="2927">B620-$B$2</f>
        <v>963</v>
      </c>
      <c r="B620" s="171">
        <v>43196</v>
      </c>
      <c r="C620" s="214">
        <v>2604.4699999999998</v>
      </c>
      <c r="D620" s="170">
        <f t="shared" ref="D620" si="2928">(C620-C619)/C619</f>
        <v>-2.1920205494885287E-2</v>
      </c>
      <c r="E620" s="208">
        <f t="shared" ref="E620" si="2929">(C620-$C$2)/$C$2</f>
        <v>0.23878445996080733</v>
      </c>
      <c r="F620" s="218">
        <v>6915.11</v>
      </c>
      <c r="G620" s="170">
        <f t="shared" ref="G620" si="2930">(F620-F619)/F619</f>
        <v>-2.2813376574743412E-2</v>
      </c>
      <c r="H620" s="202">
        <f t="shared" ref="H620" si="2931">(F620-F$2)/F$2</f>
        <v>0.35811418583184396</v>
      </c>
      <c r="I620" s="220">
        <v>452280.76</v>
      </c>
      <c r="J620" s="172">
        <v>420000</v>
      </c>
      <c r="K620" s="172">
        <f t="shared" ref="K620" si="2932">I620-I619-J620+J619</f>
        <v>-6147.9500000000116</v>
      </c>
      <c r="L620" s="170">
        <f t="shared" ref="L620" si="2933">K620/I619</f>
        <v>-1.3709983020489503E-2</v>
      </c>
      <c r="M620" s="181">
        <f t="shared" ref="M620" si="2934">I620-J620</f>
        <v>32280.760000000009</v>
      </c>
      <c r="N620" s="183">
        <f t="shared" si="2905"/>
        <v>7.6858952380952403E-2</v>
      </c>
      <c r="O620" s="182">
        <f t="shared" ref="O620" si="2935">N620/(A620/365.25)</f>
        <v>2.9151331627354997E-2</v>
      </c>
      <c r="P620" s="181" t="b">
        <f t="shared" ref="P620" si="2936">L620&gt;D620</f>
        <v>1</v>
      </c>
      <c r="Q620" s="183">
        <f>COUNTIF(P$2:P620, TRUE)/(COUNTIF(P$2:P620,FALSE) + COUNTIF(P$2:P620, TRUE))</f>
        <v>0.48949919224555732</v>
      </c>
      <c r="R620" s="172">
        <v>405076.57</v>
      </c>
      <c r="S620" s="172">
        <f t="shared" ref="S620" si="2937">I620-R620</f>
        <v>47204.19</v>
      </c>
      <c r="T620" s="172">
        <v>-36997</v>
      </c>
      <c r="U620" s="172">
        <f t="shared" ref="U620:U622" si="2938">M620-T620</f>
        <v>69277.760000000009</v>
      </c>
      <c r="V620" s="183">
        <f>STDEV(D$2:D620)*SQRT(252)</f>
        <v>0.14360814849494091</v>
      </c>
      <c r="W620" s="183">
        <f>STDEV(L$2:L620)*SQRT(252)</f>
        <v>0.28080493083804442</v>
      </c>
      <c r="X620" s="173">
        <f t="shared" ref="X620" si="2939">N620/V620</f>
        <v>0.53519910385628311</v>
      </c>
      <c r="Y620" s="173">
        <f t="shared" ref="Y620" si="2940">O620/W620</f>
        <v>0.10381346061251384</v>
      </c>
      <c r="Z620" s="794">
        <f t="shared" si="2912"/>
        <v>-0.16192550757985491</v>
      </c>
    </row>
    <row r="621" spans="1:26" ht="20.100000000000001" customHeight="1" x14ac:dyDescent="0.25">
      <c r="A621" s="162">
        <f t="shared" ref="A621" si="2941">B621-$B$2</f>
        <v>966</v>
      </c>
      <c r="B621" s="171">
        <v>43199</v>
      </c>
      <c r="C621" s="214">
        <v>2613.16</v>
      </c>
      <c r="D621" s="170">
        <f t="shared" ref="D621" si="2942">(C621-C620)/C620</f>
        <v>3.3365713561684545E-3</v>
      </c>
      <c r="E621" s="208">
        <f t="shared" ref="E621" si="2943">(C621-$C$2)/$C$2</f>
        <v>0.24291775270637916</v>
      </c>
      <c r="F621" s="218">
        <v>6950.34</v>
      </c>
      <c r="G621" s="170">
        <f t="shared" ref="G621" si="2944">(F621-F620)/F620</f>
        <v>5.0946405769395535E-3</v>
      </c>
      <c r="H621" s="202">
        <f t="shared" ref="H621" si="2945">(F621-F$2)/F$2</f>
        <v>0.36503328947110009</v>
      </c>
      <c r="I621" s="220">
        <v>451911.76</v>
      </c>
      <c r="J621" s="172">
        <v>420000</v>
      </c>
      <c r="K621" s="172">
        <f t="shared" ref="K621" si="2946">I621-I620-J621+J620</f>
        <v>-369</v>
      </c>
      <c r="L621" s="170">
        <f t="shared" ref="L621" si="2947">K621/I620</f>
        <v>-8.1586490656821212E-4</v>
      </c>
      <c r="M621" s="181">
        <f t="shared" ref="M621" si="2948">I621-J621</f>
        <v>31911.760000000009</v>
      </c>
      <c r="N621" s="183">
        <f t="shared" si="2905"/>
        <v>7.598038095238098E-2</v>
      </c>
      <c r="O621" s="182">
        <f t="shared" ref="O621" si="2949">N621/(A621/365.25)</f>
        <v>2.8728606773144049E-2</v>
      </c>
      <c r="P621" s="181" t="b">
        <f t="shared" ref="P621" si="2950">L621&gt;D621</f>
        <v>0</v>
      </c>
      <c r="Q621" s="183">
        <f>COUNTIF(P$2:P621, TRUE)/(COUNTIF(P$2:P621,FALSE) + COUNTIF(P$2:P621, TRUE))</f>
        <v>0.48870967741935484</v>
      </c>
      <c r="R621" s="172">
        <v>397094.35</v>
      </c>
      <c r="S621" s="172">
        <f t="shared" ref="S621" si="2951">I621-R621</f>
        <v>54817.410000000033</v>
      </c>
      <c r="T621" s="172"/>
      <c r="U621" s="172">
        <f t="shared" si="2938"/>
        <v>31911.760000000009</v>
      </c>
      <c r="V621" s="183">
        <f>STDEV(D$2:D621)*SQRT(252)</f>
        <v>0.14350425117553484</v>
      </c>
      <c r="W621" s="183">
        <f>STDEV(L$2:L621)*SQRT(252)</f>
        <v>0.28057886587067182</v>
      </c>
      <c r="X621" s="173">
        <f t="shared" ref="X621" si="2952">N621/V621</f>
        <v>0.52946432130042997</v>
      </c>
      <c r="Y621" s="173">
        <f t="shared" ref="Y621" si="2953">O621/W621</f>
        <v>0.10239048719509054</v>
      </c>
      <c r="Z621" s="794">
        <f t="shared" si="2912"/>
        <v>-0.1669373717539982</v>
      </c>
    </row>
    <row r="622" spans="1:26" ht="20.100000000000001" customHeight="1" x14ac:dyDescent="0.25">
      <c r="A622" s="162">
        <f t="shared" ref="A622" si="2954">B622-$B$2</f>
        <v>967</v>
      </c>
      <c r="B622" s="171">
        <v>43200</v>
      </c>
      <c r="C622" s="214">
        <v>2656.87</v>
      </c>
      <c r="D622" s="170">
        <f t="shared" ref="D622" si="2955">(C622-C621)/C621</f>
        <v>1.6726874741692065E-2</v>
      </c>
      <c r="E622" s="208">
        <f t="shared" ref="E622" si="2956">(C622-$C$2)/$C$2</f>
        <v>0.26370788227012415</v>
      </c>
      <c r="F622" s="218">
        <v>7094.3</v>
      </c>
      <c r="G622" s="170">
        <f t="shared" ref="G622" si="2957">(F622-F621)/F621</f>
        <v>2.0712655783745836E-2</v>
      </c>
      <c r="H622" s="202">
        <f t="shared" ref="H622" si="2958">(F622-F$2)/F$2</f>
        <v>0.3933067541292693</v>
      </c>
      <c r="I622" s="220">
        <v>439634.82</v>
      </c>
      <c r="J622" s="172">
        <v>400000</v>
      </c>
      <c r="K622" s="172">
        <f t="shared" ref="K622" si="2959">I622-I621-J622+J621</f>
        <v>7723.0599999999977</v>
      </c>
      <c r="L622" s="170">
        <f t="shared" ref="L622" si="2960">K622/I621</f>
        <v>1.7089752211803467E-2</v>
      </c>
      <c r="M622" s="181">
        <f t="shared" ref="M622" si="2961">I622-J622</f>
        <v>39634.820000000007</v>
      </c>
      <c r="N622" s="183">
        <f t="shared" si="2905"/>
        <v>9.9087050000000024E-2</v>
      </c>
      <c r="O622" s="182">
        <f t="shared" ref="O622" si="2962">N622/(A622/365.25)</f>
        <v>3.7426623591003107E-2</v>
      </c>
      <c r="P622" s="181" t="b">
        <f t="shared" ref="P622" si="2963">L622&gt;D622</f>
        <v>1</v>
      </c>
      <c r="Q622" s="183">
        <f>COUNTIF(P$2:P622, TRUE)/(COUNTIF(P$2:P622,FALSE) + COUNTIF(P$2:P622, TRUE))</f>
        <v>0.48953301127214172</v>
      </c>
      <c r="R622" s="172">
        <v>379508.19</v>
      </c>
      <c r="S622" s="172">
        <f t="shared" ref="S622" si="2964">I622-R622</f>
        <v>60126.630000000005</v>
      </c>
      <c r="T622" s="172">
        <v>-37772</v>
      </c>
      <c r="U622" s="172">
        <f t="shared" si="2938"/>
        <v>77406.820000000007</v>
      </c>
      <c r="V622" s="183">
        <f>STDEV(D$2:D622)*SQRT(252)</f>
        <v>0.14376596078910708</v>
      </c>
      <c r="W622" s="183">
        <f>STDEV(L$2:L622)*SQRT(252)</f>
        <v>0.28055213722502925</v>
      </c>
      <c r="X622" s="173">
        <f t="shared" ref="X622" si="2965">N622/V622</f>
        <v>0.68922469168729461</v>
      </c>
      <c r="Y622" s="173">
        <f t="shared" ref="Y622" si="2966">O622/W622</f>
        <v>0.13340345206845966</v>
      </c>
      <c r="Z622" s="794">
        <f t="shared" si="2912"/>
        <v>-0.16462083227012414</v>
      </c>
    </row>
    <row r="623" spans="1:26" ht="20.100000000000001" customHeight="1" x14ac:dyDescent="0.25">
      <c r="A623" s="162">
        <f t="shared" ref="A623" si="2967">B623-$B$2</f>
        <v>968</v>
      </c>
      <c r="B623" s="171">
        <v>43201</v>
      </c>
      <c r="C623" s="214">
        <v>2642.19</v>
      </c>
      <c r="D623" s="170">
        <f t="shared" ref="D623" si="2968">(C623-C622)/C622</f>
        <v>-5.5252985656053313E-3</v>
      </c>
      <c r="E623" s="208">
        <f t="shared" ref="E623" si="2969">(C623-$C$2)/$C$2</f>
        <v>0.25672551892087286</v>
      </c>
      <c r="F623" s="218">
        <v>7069.02</v>
      </c>
      <c r="G623" s="170">
        <f t="shared" ref="G623" si="2970">(F623-F622)/F622</f>
        <v>-3.56342415742212E-3</v>
      </c>
      <c r="H623" s="202">
        <f t="shared" ref="H623" si="2971">(F623-F$2)/F$2</f>
        <v>0.38834181118290567</v>
      </c>
      <c r="I623" s="220">
        <v>440157.4</v>
      </c>
      <c r="J623" s="172">
        <v>400000</v>
      </c>
      <c r="K623" s="172">
        <f t="shared" ref="K623" si="2972">I623-I622-J623+J622</f>
        <v>522.5800000000163</v>
      </c>
      <c r="L623" s="170">
        <f t="shared" ref="L623" si="2973">K623/I622</f>
        <v>1.1886683588893535E-3</v>
      </c>
      <c r="M623" s="181">
        <f t="shared" ref="M623" si="2974">I623-J623</f>
        <v>40157.400000000023</v>
      </c>
      <c r="N623" s="183">
        <f t="shared" si="2905"/>
        <v>0.10039350000000005</v>
      </c>
      <c r="O623" s="182">
        <f t="shared" ref="O623" si="2975">N623/(A623/365.25)</f>
        <v>3.7880915160123985E-2</v>
      </c>
      <c r="P623" s="181" t="b">
        <f t="shared" ref="P623" si="2976">L623&gt;D623</f>
        <v>1</v>
      </c>
      <c r="Q623" s="183">
        <f>COUNTIF(P$2:P623, TRUE)/(COUNTIF(P$2:P623,FALSE) + COUNTIF(P$2:P623, TRUE))</f>
        <v>0.49035369774919613</v>
      </c>
      <c r="R623" s="172">
        <v>380030.77</v>
      </c>
      <c r="S623" s="172">
        <f t="shared" ref="S623" si="2977">I623-R623</f>
        <v>60126.630000000005</v>
      </c>
      <c r="T623" s="172">
        <v>-37722</v>
      </c>
      <c r="U623" s="172">
        <f t="shared" ref="U623" si="2978">M623-T623</f>
        <v>77879.400000000023</v>
      </c>
      <c r="V623" s="183">
        <f>STDEV(D$2:D623)*SQRT(252)</f>
        <v>0.14369986563516796</v>
      </c>
      <c r="W623" s="183">
        <f>STDEV(L$2:L623)*SQRT(252)</f>
        <v>0.28032613427425968</v>
      </c>
      <c r="X623" s="173">
        <f t="shared" ref="X623" si="2979">N623/V623</f>
        <v>0.69863322109767201</v>
      </c>
      <c r="Y623" s="173">
        <f t="shared" ref="Y623" si="2980">O623/W623</f>
        <v>0.13513158613696302</v>
      </c>
      <c r="Z623" s="794">
        <f t="shared" si="2912"/>
        <v>-0.15633201892087281</v>
      </c>
    </row>
    <row r="624" spans="1:26" ht="20.100000000000001" customHeight="1" x14ac:dyDescent="0.25">
      <c r="A624" s="162">
        <f t="shared" ref="A624" si="2981">B624-$B$2</f>
        <v>969</v>
      </c>
      <c r="B624" s="171">
        <v>43202</v>
      </c>
      <c r="C624" s="214">
        <v>2663.99</v>
      </c>
      <c r="D624" s="170">
        <f t="shared" ref="D624" si="2982">(C624-C623)/C623</f>
        <v>8.2507314008454079E-3</v>
      </c>
      <c r="E624" s="208">
        <f t="shared" ref="E624" si="2983">(C624-$C$2)/$C$2</f>
        <v>0.26709442362207708</v>
      </c>
      <c r="F624" s="218">
        <v>7140.24</v>
      </c>
      <c r="G624" s="170">
        <f t="shared" ref="G624" si="2984">(F624-F623)/F623</f>
        <v>1.0074946739434792E-2</v>
      </c>
      <c r="H624" s="202">
        <f t="shared" ref="H624" si="2985">(F624-F$2)/F$2</f>
        <v>0.40232928098670384</v>
      </c>
      <c r="I624" s="220">
        <v>442188.11</v>
      </c>
      <c r="J624" s="172">
        <v>400000</v>
      </c>
      <c r="K624" s="172">
        <f t="shared" ref="K624" si="2986">I624-I623-J624+J623</f>
        <v>2030.7099999999627</v>
      </c>
      <c r="L624" s="170">
        <f t="shared" ref="L624" si="2987">K624/I623</f>
        <v>4.6135995896012709E-3</v>
      </c>
      <c r="M624" s="181">
        <f t="shared" ref="M624" si="2988">I624-J624</f>
        <v>42188.109999999986</v>
      </c>
      <c r="N624" s="183">
        <f t="shared" ref="N624" si="2989">M624/J624</f>
        <v>0.10547027499999996</v>
      </c>
      <c r="O624" s="182">
        <f t="shared" ref="O624" si="2990">N624/(A624/365.25)</f>
        <v>3.9755436474458186E-2</v>
      </c>
      <c r="P624" s="181" t="b">
        <f t="shared" ref="P624" si="2991">L624&gt;D624</f>
        <v>0</v>
      </c>
      <c r="Q624" s="183">
        <f>COUNTIF(P$2:P624, TRUE)/(COUNTIF(P$2:P624,FALSE) + COUNTIF(P$2:P624, TRUE))</f>
        <v>0.4895666131621188</v>
      </c>
      <c r="R624" s="172">
        <v>378301.55</v>
      </c>
      <c r="S624" s="172">
        <f t="shared" ref="S624" si="2992">I624-R624</f>
        <v>63886.559999999998</v>
      </c>
      <c r="T624" s="172">
        <v>-37422</v>
      </c>
      <c r="U624" s="172">
        <f t="shared" ref="U624" si="2993">M624-T624</f>
        <v>79610.109999999986</v>
      </c>
      <c r="V624" s="183">
        <f>STDEV(D$2:D624)*SQRT(252)</f>
        <v>0.14367084903913591</v>
      </c>
      <c r="W624" s="183">
        <f>STDEV(L$2:L624)*SQRT(252)</f>
        <v>0.28011254999585899</v>
      </c>
      <c r="X624" s="173">
        <f t="shared" ref="X624" si="2994">N624/V624</f>
        <v>0.73411047338677504</v>
      </c>
      <c r="Y624" s="173">
        <f t="shared" ref="Y624" si="2995">O624/W624</f>
        <v>0.14192665225119655</v>
      </c>
      <c r="Z624" s="794">
        <f t="shared" ref="Z624" si="2996">-(E624-N624)</f>
        <v>-0.16162414862207714</v>
      </c>
    </row>
    <row r="625" spans="1:26" ht="20.100000000000001" customHeight="1" x14ac:dyDescent="0.25">
      <c r="A625" s="162">
        <f t="shared" ref="A625" si="2997">B625-$B$2</f>
        <v>970</v>
      </c>
      <c r="B625" s="171">
        <v>43203</v>
      </c>
      <c r="C625" s="214">
        <v>2656.3</v>
      </c>
      <c r="D625" s="170">
        <f t="shared" ref="D625" si="2998">(C625-C624)/C624</f>
        <v>-2.8866474724002721E-3</v>
      </c>
      <c r="E625" s="208">
        <f t="shared" ref="E625" si="2999">(C625-$C$2)/$C$2</f>
        <v>0.26343676870683591</v>
      </c>
      <c r="F625" s="218">
        <v>7106.65</v>
      </c>
      <c r="G625" s="170">
        <f t="shared" ref="G625" si="3000">(F625-F624)/F624</f>
        <v>-4.70432366419058E-3</v>
      </c>
      <c r="H625" s="202">
        <f t="shared" ref="H625" si="3001">(F625-F$2)/F$2</f>
        <v>0.39573227016517076</v>
      </c>
      <c r="I625" s="220">
        <v>443860.83</v>
      </c>
      <c r="J625" s="172">
        <v>400000</v>
      </c>
      <c r="K625" s="172">
        <f t="shared" ref="K625" si="3002">I625-I624-J625+J624</f>
        <v>1672.7200000000303</v>
      </c>
      <c r="L625" s="170">
        <f t="shared" ref="L625" si="3003">K625/I624</f>
        <v>3.7828244635524696E-3</v>
      </c>
      <c r="M625" s="181">
        <f t="shared" ref="M625" si="3004">I625-J625</f>
        <v>43860.830000000016</v>
      </c>
      <c r="N625" s="183">
        <f t="shared" ref="N625" si="3005">M625/J625</f>
        <v>0.10965207500000004</v>
      </c>
      <c r="O625" s="182">
        <f t="shared" ref="O625" si="3006">N625/(A625/365.25)</f>
        <v>4.1289093189433003E-2</v>
      </c>
      <c r="P625" s="181" t="b">
        <f t="shared" ref="P625" si="3007">L625&gt;D625</f>
        <v>1</v>
      </c>
      <c r="Q625" s="183">
        <f>COUNTIF(P$2:P625, TRUE)/(COUNTIF(P$2:P625,FALSE) + COUNTIF(P$2:P625, TRUE))</f>
        <v>0.49038461538461536</v>
      </c>
      <c r="R625" s="172">
        <v>379974.29</v>
      </c>
      <c r="S625" s="172">
        <f t="shared" ref="S625" si="3008">I625-R625</f>
        <v>63886.540000000037</v>
      </c>
      <c r="T625" s="172">
        <v>-37097</v>
      </c>
      <c r="U625" s="172">
        <f t="shared" ref="U625" si="3009">M625-T625</f>
        <v>80957.830000000016</v>
      </c>
      <c r="V625" s="183">
        <f>STDEV(D$2:D625)*SQRT(252)</f>
        <v>0.14357072949050406</v>
      </c>
      <c r="W625" s="183">
        <f>STDEV(L$2:L625)*SQRT(252)</f>
        <v>0.27989502416613538</v>
      </c>
      <c r="X625" s="173">
        <f t="shared" ref="X625" si="3010">N625/V625</f>
        <v>0.76374951488459608</v>
      </c>
      <c r="Y625" s="173">
        <f t="shared" ref="Y625" si="3011">O625/W625</f>
        <v>0.14751635300570873</v>
      </c>
      <c r="Z625" s="794">
        <f t="shared" ref="Z625" si="3012">-(E625-N625)</f>
        <v>-0.15378469370683587</v>
      </c>
    </row>
    <row r="626" spans="1:26" ht="20.100000000000001" customHeight="1" x14ac:dyDescent="0.25">
      <c r="A626" s="162">
        <f t="shared" ref="A626" si="3013">B626-$B$2</f>
        <v>973</v>
      </c>
      <c r="B626" s="171">
        <v>43206</v>
      </c>
      <c r="C626" s="214">
        <v>2677.84</v>
      </c>
      <c r="D626" s="170">
        <f t="shared" ref="D626" si="3014">(C626-C625)/C625</f>
        <v>8.1090238301396531E-3</v>
      </c>
      <c r="E626" s="208">
        <f t="shared" ref="E626" si="3015">(C626-$C$2)/$C$2</f>
        <v>0.27368200757215427</v>
      </c>
      <c r="F626" s="218">
        <v>7156.28</v>
      </c>
      <c r="G626" s="170">
        <f t="shared" ref="G626" si="3016">(F626-F625)/F625</f>
        <v>6.9835998677295367E-3</v>
      </c>
      <c r="H626" s="202">
        <f t="shared" ref="H626" si="3017">(F626-F$2)/F$2</f>
        <v>0.4054795058624821</v>
      </c>
      <c r="I626" s="220">
        <v>447856.68</v>
      </c>
      <c r="J626" s="172">
        <v>400000</v>
      </c>
      <c r="K626" s="172">
        <f t="shared" ref="K626" si="3018">I626-I625-J626+J625</f>
        <v>3995.8499999999767</v>
      </c>
      <c r="L626" s="170">
        <f t="shared" ref="L626" si="3019">K626/I625</f>
        <v>9.0024839542610161E-3</v>
      </c>
      <c r="M626" s="181">
        <f t="shared" ref="M626" si="3020">I626-J626</f>
        <v>47856.679999999993</v>
      </c>
      <c r="N626" s="183">
        <f t="shared" ref="N626" si="3021">M626/J626</f>
        <v>0.11964169999999998</v>
      </c>
      <c r="O626" s="182">
        <f t="shared" ref="O626" si="3022">N626/(A626/365.25)</f>
        <v>4.4911748124357651E-2</v>
      </c>
      <c r="P626" s="181" t="b">
        <f t="shared" ref="P626" si="3023">L626&gt;D626</f>
        <v>1</v>
      </c>
      <c r="Q626" s="183">
        <f>COUNTIF(P$2:P626, TRUE)/(COUNTIF(P$2:P626,FALSE) + COUNTIF(P$2:P626, TRUE))</f>
        <v>0.49120000000000003</v>
      </c>
      <c r="R626" s="172">
        <v>377596.34</v>
      </c>
      <c r="S626" s="172">
        <f t="shared" ref="S626" si="3024">I626-R626</f>
        <v>70260.339999999967</v>
      </c>
      <c r="T626" s="172">
        <v>-35997</v>
      </c>
      <c r="U626" s="172">
        <f t="shared" ref="U626" si="3025">M626-T626</f>
        <v>83853.679999999993</v>
      </c>
      <c r="V626" s="183">
        <f>STDEV(D$2:D626)*SQRT(252)</f>
        <v>0.14353873169966588</v>
      </c>
      <c r="W626" s="183">
        <f>STDEV(L$2:L626)*SQRT(252)</f>
        <v>0.27972229117666914</v>
      </c>
      <c r="X626" s="173">
        <f t="shared" ref="X626" si="3026">N626/V626</f>
        <v>0.83351509786454714</v>
      </c>
      <c r="Y626" s="173">
        <f t="shared" ref="Y626" si="3027">O626/W626</f>
        <v>0.16055834497648935</v>
      </c>
      <c r="Z626" s="794">
        <f t="shared" ref="Z626" si="3028">-(E626-N626)</f>
        <v>-0.15404030757215431</v>
      </c>
    </row>
    <row r="627" spans="1:26" ht="20.100000000000001" customHeight="1" x14ac:dyDescent="0.25">
      <c r="A627" s="162">
        <f t="shared" ref="A627" si="3029">B627-$B$2</f>
        <v>974</v>
      </c>
      <c r="B627" s="171">
        <v>43207</v>
      </c>
      <c r="C627" s="214">
        <v>2706.39</v>
      </c>
      <c r="D627" s="170">
        <f t="shared" ref="D627" si="3030">(C627-C626)/C626</f>
        <v>1.0661577988229217E-2</v>
      </c>
      <c r="E627" s="208">
        <f t="shared" ref="E627" si="3031">(C627-$C$2)/$C$2</f>
        <v>0.28726146762808918</v>
      </c>
      <c r="F627" s="218">
        <v>7281.09</v>
      </c>
      <c r="G627" s="170">
        <f t="shared" ref="G627" si="3032">(F627-F626)/F626</f>
        <v>1.7440625576416853E-2</v>
      </c>
      <c r="H627" s="202">
        <f t="shared" ref="H627" si="3033">(F627-F$2)/F$2</f>
        <v>0.42999194767955701</v>
      </c>
      <c r="I627" s="220">
        <v>449537.42</v>
      </c>
      <c r="J627" s="172">
        <v>400000</v>
      </c>
      <c r="K627" s="172">
        <f t="shared" ref="K627" si="3034">I627-I626-J627+J626</f>
        <v>1680.7399999999907</v>
      </c>
      <c r="L627" s="170">
        <f t="shared" ref="L627" si="3035">K627/I626</f>
        <v>3.7528523633944474E-3</v>
      </c>
      <c r="M627" s="181">
        <f t="shared" ref="M627" si="3036">I627-J627</f>
        <v>49537.419999999984</v>
      </c>
      <c r="N627" s="183">
        <f t="shared" ref="N627" si="3037">M627/J627</f>
        <v>0.12384354999999996</v>
      </c>
      <c r="O627" s="182">
        <f t="shared" ref="O627" si="3038">N627/(A627/365.25)</f>
        <v>4.6441331249999988E-2</v>
      </c>
      <c r="P627" s="181" t="b">
        <f t="shared" ref="P627" si="3039">L627&gt;D627</f>
        <v>0</v>
      </c>
      <c r="Q627" s="183">
        <f>COUNTIF(P$2:P627, TRUE)/(COUNTIF(P$2:P627,FALSE) + COUNTIF(P$2:P627, TRUE))</f>
        <v>0.49041533546325877</v>
      </c>
      <c r="R627" s="172">
        <v>379256.65</v>
      </c>
      <c r="S627" s="172">
        <f t="shared" ref="S627" si="3040">I627-R627</f>
        <v>70280.76999999996</v>
      </c>
      <c r="T627" s="172">
        <v>-35847</v>
      </c>
      <c r="U627" s="172">
        <f t="shared" ref="U627" si="3041">M627-T627</f>
        <v>85384.419999999984</v>
      </c>
      <c r="V627" s="183">
        <f>STDEV(D$2:D627)*SQRT(252)</f>
        <v>0.14357078410269888</v>
      </c>
      <c r="W627" s="183">
        <f>STDEV(L$2:L627)*SQRT(252)</f>
        <v>0.279505557722312</v>
      </c>
      <c r="X627" s="173">
        <f t="shared" ref="X627" si="3042">N627/V627</f>
        <v>0.8625957625989723</v>
      </c>
      <c r="Y627" s="173">
        <f t="shared" ref="Y627" si="3043">O627/W627</f>
        <v>0.16615530520555633</v>
      </c>
      <c r="Z627" s="794">
        <f t="shared" ref="Z627" si="3044">-(E627-N627)</f>
        <v>-0.16341791762808922</v>
      </c>
    </row>
    <row r="628" spans="1:26" ht="20.100000000000001" customHeight="1" x14ac:dyDescent="0.25">
      <c r="A628" s="162">
        <f t="shared" ref="A628" si="3045">B628-$B$2</f>
        <v>975</v>
      </c>
      <c r="B628" s="171">
        <v>43208</v>
      </c>
      <c r="C628" s="214">
        <v>2708.64</v>
      </c>
      <c r="D628" s="170">
        <f t="shared" ref="D628" si="3046">(C628-C627)/C627</f>
        <v>8.3136576768314994E-4</v>
      </c>
      <c r="E628" s="208">
        <f t="shared" ref="E628" si="3047">(C628-$C$2)/$C$2</f>
        <v>0.28833165274633271</v>
      </c>
      <c r="F628" s="218">
        <v>7295.23</v>
      </c>
      <c r="G628" s="170">
        <f t="shared" ref="G628" si="3048">(F628-F627)/F627</f>
        <v>1.9420169232902515E-3</v>
      </c>
      <c r="H628" s="202">
        <f t="shared" ref="H628" si="3049">(F628-F$2)/F$2</f>
        <v>0.4327690162421195</v>
      </c>
      <c r="I628" s="220">
        <v>450989.65</v>
      </c>
      <c r="J628" s="172">
        <v>400000</v>
      </c>
      <c r="K628" s="172">
        <f t="shared" ref="K628" si="3050">I628-I627-J628+J627</f>
        <v>1452.2300000000396</v>
      </c>
      <c r="L628" s="170">
        <f t="shared" ref="L628" si="3051">K628/I627</f>
        <v>3.230498586747327E-3</v>
      </c>
      <c r="M628" s="181">
        <f t="shared" ref="M628" si="3052">I628-J628</f>
        <v>50989.650000000023</v>
      </c>
      <c r="N628" s="183">
        <f t="shared" ref="N628" si="3053">M628/J628</f>
        <v>0.12747412500000005</v>
      </c>
      <c r="O628" s="182">
        <f t="shared" ref="O628" si="3054">N628/(A628/365.25)</f>
        <v>4.7753768365384634E-2</v>
      </c>
      <c r="P628" s="181" t="b">
        <f t="shared" ref="P628" si="3055">L628&gt;D628</f>
        <v>1</v>
      </c>
      <c r="Q628" s="183">
        <f>COUNTIF(P$2:P628, TRUE)/(COUNTIF(P$2:P628,FALSE) + COUNTIF(P$2:P628, TRUE))</f>
        <v>0.49122807017543857</v>
      </c>
      <c r="R628" s="172">
        <v>368369.17</v>
      </c>
      <c r="S628" s="172">
        <f t="shared" ref="S628" si="3056">I628-R628</f>
        <v>82620.48000000004</v>
      </c>
      <c r="T628" s="172">
        <v>-34922</v>
      </c>
      <c r="U628" s="172">
        <f t="shared" ref="U628" si="3057">M628-T628</f>
        <v>85911.650000000023</v>
      </c>
      <c r="V628" s="183">
        <f>STDEV(D$2:D628)*SQRT(252)</f>
        <v>0.14345609099216267</v>
      </c>
      <c r="W628" s="183">
        <f>STDEV(L$2:L628)*SQRT(252)</f>
        <v>0.27928710037433652</v>
      </c>
      <c r="X628" s="173">
        <f t="shared" ref="X628" si="3058">N628/V628</f>
        <v>0.8885933257930767</v>
      </c>
      <c r="Y628" s="173">
        <f t="shared" ref="Y628" si="3059">O628/W628</f>
        <v>0.1709845112838326</v>
      </c>
      <c r="Z628" s="794">
        <f t="shared" ref="Z628" si="3060">-(E628-N628)</f>
        <v>-0.16085752774633266</v>
      </c>
    </row>
  </sheetData>
  <conditionalFormatting sqref="D3:D628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28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28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28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29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9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272.39999999999998</v>
      </c>
      <c r="V3" s="1"/>
      <c r="Z3" s="228"/>
      <c r="AC3" s="228"/>
    </row>
    <row r="4" spans="1:29" x14ac:dyDescent="0.25">
      <c r="G4" s="72"/>
      <c r="H4" s="179"/>
      <c r="I4" s="3"/>
      <c r="J4" s="3"/>
      <c r="K4" s="3"/>
      <c r="L4" s="4"/>
      <c r="O4" s="11" t="s">
        <v>66</v>
      </c>
      <c r="Q4" s="54">
        <v>272.39999999999998</v>
      </c>
      <c r="R4" s="493">
        <v>2.2200000000000001E-2</v>
      </c>
      <c r="T4" s="1"/>
      <c r="Z4" s="228"/>
      <c r="AC4" s="228"/>
    </row>
    <row r="5" spans="1:29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Z5" s="228"/>
      <c r="AC5" s="228"/>
    </row>
    <row r="6" spans="1:29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Z6" s="228"/>
      <c r="AC6" s="228"/>
    </row>
    <row r="7" spans="1:29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8"/>
      <c r="AC7" s="228"/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8"/>
      <c r="AC8" s="228"/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</row>
    <row r="21" spans="1:14" x14ac:dyDescent="0.25">
      <c r="B21" s="187"/>
      <c r="C21" s="10"/>
      <c r="D21" s="39"/>
      <c r="E21" s="39"/>
      <c r="F21" s="39"/>
      <c r="G21" s="39"/>
      <c r="H21" s="225"/>
      <c r="I21" s="225"/>
    </row>
    <row r="22" spans="1:14" x14ac:dyDescent="0.25">
      <c r="B22" s="187"/>
      <c r="C22" s="10"/>
      <c r="D22" s="39"/>
      <c r="E22" s="39"/>
      <c r="F22" s="39"/>
      <c r="G22" s="39"/>
      <c r="H22" s="225"/>
      <c r="I22" s="225"/>
    </row>
    <row r="23" spans="1:14" x14ac:dyDescent="0.25">
      <c r="B23" s="187"/>
      <c r="C23" s="10"/>
      <c r="D23" s="39"/>
      <c r="E23" s="39"/>
      <c r="F23" s="39"/>
      <c r="G23" s="39"/>
      <c r="H23" s="225"/>
      <c r="I23" s="225"/>
    </row>
    <row r="24" spans="1:14" x14ac:dyDescent="0.25">
      <c r="B24" s="187"/>
      <c r="C24" s="10"/>
      <c r="D24" s="39"/>
      <c r="E24" s="39"/>
      <c r="F24" s="39"/>
      <c r="G24" s="39"/>
      <c r="H24" s="225"/>
      <c r="I24" s="225"/>
    </row>
    <row r="25" spans="1:14" x14ac:dyDescent="0.25">
      <c r="B25" s="187"/>
      <c r="C25" s="10"/>
      <c r="D25" s="39"/>
      <c r="E25" s="39"/>
      <c r="F25" s="39"/>
      <c r="G25" s="39"/>
      <c r="H25" s="226"/>
      <c r="I25" s="226"/>
    </row>
    <row r="26" spans="1:14" x14ac:dyDescent="0.25">
      <c r="B26" s="187"/>
      <c r="C26" s="10"/>
      <c r="D26" s="39"/>
      <c r="E26" s="39"/>
      <c r="F26" s="39"/>
      <c r="G26" s="39"/>
      <c r="H26" s="226"/>
      <c r="I26" s="226"/>
    </row>
    <row r="27" spans="1:14" x14ac:dyDescent="0.25">
      <c r="B27" s="187"/>
      <c r="C27" s="10"/>
      <c r="D27" s="39"/>
      <c r="E27" s="39"/>
      <c r="F27" s="39"/>
      <c r="G27" s="39"/>
      <c r="H27" s="226"/>
      <c r="I27" s="226"/>
    </row>
    <row r="28" spans="1:14" x14ac:dyDescent="0.25">
      <c r="B28" s="187"/>
      <c r="C28" s="10"/>
      <c r="D28" s="39"/>
      <c r="E28" s="39"/>
      <c r="F28" s="39"/>
      <c r="G28" s="39"/>
      <c r="H28" s="226"/>
      <c r="I28" s="226"/>
    </row>
    <row r="29" spans="1:14" x14ac:dyDescent="0.25">
      <c r="B29" s="187"/>
      <c r="C29" s="10"/>
      <c r="D29" s="39"/>
      <c r="E29" s="39"/>
      <c r="F29" s="39"/>
      <c r="G29" s="39"/>
      <c r="H29" s="226"/>
      <c r="I29" s="226"/>
    </row>
    <row r="30" spans="1:14" x14ac:dyDescent="0.25">
      <c r="B30" s="187"/>
      <c r="C30" s="10"/>
      <c r="D30" s="39"/>
      <c r="E30" s="39"/>
      <c r="F30" s="39"/>
      <c r="G30" s="39"/>
      <c r="H30" s="226"/>
      <c r="I30" s="226"/>
    </row>
    <row r="31" spans="1:14" x14ac:dyDescent="0.25">
      <c r="B31" s="187"/>
      <c r="C31" s="10"/>
      <c r="D31" s="39"/>
      <c r="E31" s="39"/>
      <c r="F31" s="39"/>
      <c r="G31" s="39"/>
      <c r="H31" s="226"/>
      <c r="I31" s="226"/>
    </row>
    <row r="32" spans="1:14" x14ac:dyDescent="0.25">
      <c r="B32" s="187"/>
      <c r="C32" s="10"/>
      <c r="D32" s="39"/>
      <c r="E32" s="39"/>
      <c r="F32" s="39"/>
      <c r="G32" s="39"/>
      <c r="H32" s="226"/>
      <c r="I32" s="226"/>
    </row>
    <row r="33" spans="1:21" x14ac:dyDescent="0.25">
      <c r="B33" s="10"/>
      <c r="C33" s="10"/>
      <c r="D33" s="39"/>
      <c r="E33" s="39"/>
      <c r="F33" s="39"/>
      <c r="G33" s="39"/>
      <c r="H33" s="226"/>
      <c r="I33" s="226"/>
    </row>
    <row r="34" spans="1:21" x14ac:dyDescent="0.25">
      <c r="B34" s="10"/>
      <c r="C34" s="10"/>
      <c r="D34" s="39"/>
      <c r="E34" s="39"/>
      <c r="F34" s="39"/>
      <c r="G34" s="39"/>
      <c r="H34" s="226"/>
      <c r="I34" s="226"/>
    </row>
    <row r="35" spans="1:21" x14ac:dyDescent="0.25">
      <c r="B35" s="10"/>
      <c r="C35" s="10"/>
      <c r="D35" s="39"/>
      <c r="E35" s="39"/>
      <c r="F35" s="39"/>
      <c r="G35" s="39"/>
      <c r="H35" s="226"/>
      <c r="I35" s="226"/>
    </row>
    <row r="39" spans="1:21" x14ac:dyDescent="0.25">
      <c r="A39" s="253"/>
      <c r="B39" s="253"/>
      <c r="C39" s="253"/>
      <c r="D39" s="254"/>
      <c r="E39" s="254"/>
      <c r="F39" s="254"/>
      <c r="G39" s="253"/>
      <c r="H39" s="253"/>
      <c r="I39" s="253"/>
      <c r="J39" s="253"/>
      <c r="K39" s="255" t="s">
        <v>130</v>
      </c>
      <c r="L39" s="253"/>
      <c r="M39" s="254">
        <f>K57+M57-F57</f>
        <v>1659.3600000000079</v>
      </c>
      <c r="T39" s="415"/>
    </row>
    <row r="40" spans="1:21" x14ac:dyDescent="0.25">
      <c r="A40" s="255" t="s">
        <v>1</v>
      </c>
      <c r="B40" s="255" t="s">
        <v>2</v>
      </c>
      <c r="C40" s="255" t="s">
        <v>4</v>
      </c>
      <c r="D40" s="256" t="s">
        <v>5</v>
      </c>
      <c r="E40" s="256" t="s">
        <v>94</v>
      </c>
      <c r="F40" s="256" t="s">
        <v>60</v>
      </c>
      <c r="G40" s="255" t="s">
        <v>3</v>
      </c>
      <c r="H40" s="255" t="s">
        <v>6</v>
      </c>
      <c r="I40" s="255" t="s">
        <v>7</v>
      </c>
      <c r="J40" s="255" t="s">
        <v>95</v>
      </c>
      <c r="K40" s="256" t="s">
        <v>61</v>
      </c>
      <c r="L40" s="255" t="s">
        <v>77</v>
      </c>
      <c r="M40" s="255" t="s">
        <v>38</v>
      </c>
      <c r="T40" s="415"/>
    </row>
    <row r="41" spans="1:21" x14ac:dyDescent="0.25">
      <c r="A41" s="257" t="s">
        <v>62</v>
      </c>
      <c r="B41" s="258">
        <v>42222</v>
      </c>
      <c r="C41" s="253">
        <v>5</v>
      </c>
      <c r="D41" s="254">
        <v>320</v>
      </c>
      <c r="E41" s="254">
        <v>0</v>
      </c>
      <c r="F41" s="254">
        <f>C41*D41 + E41</f>
        <v>1600</v>
      </c>
      <c r="G41" s="258">
        <v>42257</v>
      </c>
      <c r="H41" s="259">
        <v>5</v>
      </c>
      <c r="I41" s="254">
        <v>303.60000000000002</v>
      </c>
      <c r="J41" s="254">
        <v>0.03</v>
      </c>
      <c r="K41" s="254">
        <f t="shared" ref="K41:K48" si="1">H41*I41-J41</f>
        <v>1517.97</v>
      </c>
      <c r="L41" s="253" t="s">
        <v>80</v>
      </c>
      <c r="M41" s="253"/>
      <c r="T41" s="415"/>
    </row>
    <row r="42" spans="1:21" ht="20.25" thickBot="1" x14ac:dyDescent="0.35">
      <c r="A42" s="260"/>
      <c r="B42" s="258">
        <v>42247</v>
      </c>
      <c r="C42" s="253">
        <v>5</v>
      </c>
      <c r="D42" s="254">
        <v>298.7</v>
      </c>
      <c r="E42" s="254">
        <v>0</v>
      </c>
      <c r="F42" s="254">
        <f>C42*D42 + E42</f>
        <v>1493.5</v>
      </c>
      <c r="G42" s="258">
        <v>42290</v>
      </c>
      <c r="H42" s="259">
        <v>5</v>
      </c>
      <c r="I42" s="254">
        <v>280.2</v>
      </c>
      <c r="J42" s="254">
        <v>0.03</v>
      </c>
      <c r="K42" s="254">
        <f t="shared" si="1"/>
        <v>1400.97</v>
      </c>
      <c r="L42" s="253"/>
      <c r="M42" s="253"/>
      <c r="O42" s="847" t="s">
        <v>78</v>
      </c>
      <c r="P42" s="847"/>
      <c r="T42" s="415"/>
      <c r="U42" s="4"/>
    </row>
    <row r="43" spans="1:21" ht="15.75" thickTop="1" x14ac:dyDescent="0.25">
      <c r="A43" s="253"/>
      <c r="B43" s="258">
        <v>42271</v>
      </c>
      <c r="C43" s="253">
        <v>10</v>
      </c>
      <c r="D43" s="254">
        <v>297</v>
      </c>
      <c r="E43" s="254">
        <v>0</v>
      </c>
      <c r="F43" s="254">
        <f>C43*D43 + E43</f>
        <v>2970</v>
      </c>
      <c r="G43" s="258">
        <v>42303</v>
      </c>
      <c r="H43" s="259">
        <v>10</v>
      </c>
      <c r="I43" s="254">
        <v>290</v>
      </c>
      <c r="J43" s="254">
        <v>0.05</v>
      </c>
      <c r="K43" s="254">
        <f t="shared" si="1"/>
        <v>2899.95</v>
      </c>
      <c r="L43" s="253"/>
      <c r="M43" s="253"/>
      <c r="O43" s="81">
        <v>1.1000000000000001</v>
      </c>
      <c r="P43" s="81">
        <f>O43*$Q$4</f>
        <v>299.64</v>
      </c>
      <c r="Q43" s="2"/>
      <c r="T43" s="415"/>
      <c r="U43" s="473"/>
    </row>
    <row r="44" spans="1:21" x14ac:dyDescent="0.25">
      <c r="A44" s="253"/>
      <c r="B44" s="258">
        <v>42285</v>
      </c>
      <c r="C44" s="253">
        <v>15</v>
      </c>
      <c r="D44" s="254">
        <v>283</v>
      </c>
      <c r="E44" s="254">
        <v>0</v>
      </c>
      <c r="F44" s="254">
        <f t="shared" ref="F44:F53" si="2">C44*D44 + E44</f>
        <v>4245</v>
      </c>
      <c r="G44" s="258">
        <v>42307</v>
      </c>
      <c r="H44" s="259">
        <v>10</v>
      </c>
      <c r="I44" s="254">
        <v>289.35000000000002</v>
      </c>
      <c r="J44" s="254">
        <v>7</v>
      </c>
      <c r="K44" s="254">
        <f t="shared" si="1"/>
        <v>2886.5</v>
      </c>
      <c r="L44" s="253"/>
      <c r="M44" s="253"/>
      <c r="O44" s="81">
        <v>1.0900000000000001</v>
      </c>
      <c r="P44" s="81">
        <f t="shared" ref="P44:P63" si="3">O44*$Q$4</f>
        <v>296.916</v>
      </c>
      <c r="Q44" s="2"/>
      <c r="T44" s="415"/>
      <c r="U44" s="473"/>
    </row>
    <row r="45" spans="1:21" x14ac:dyDescent="0.25">
      <c r="A45" s="253"/>
      <c r="B45" s="343">
        <v>42286</v>
      </c>
      <c r="C45" s="253">
        <v>5</v>
      </c>
      <c r="D45" s="254">
        <v>278.5</v>
      </c>
      <c r="E45" s="254">
        <v>0</v>
      </c>
      <c r="F45" s="254">
        <f t="shared" si="2"/>
        <v>1392.5</v>
      </c>
      <c r="G45" s="258">
        <v>42313</v>
      </c>
      <c r="H45" s="259">
        <v>10</v>
      </c>
      <c r="I45" s="254">
        <v>300</v>
      </c>
      <c r="J45" s="254">
        <v>0.06</v>
      </c>
      <c r="K45" s="254">
        <f t="shared" si="1"/>
        <v>2999.94</v>
      </c>
      <c r="L45" s="253"/>
      <c r="M45" s="253"/>
      <c r="O45" s="81">
        <v>1.08</v>
      </c>
      <c r="P45" s="81">
        <f t="shared" si="3"/>
        <v>294.19200000000001</v>
      </c>
      <c r="Q45" s="2"/>
      <c r="T45" s="415"/>
      <c r="U45" s="473"/>
    </row>
    <row r="46" spans="1:21" x14ac:dyDescent="0.25">
      <c r="A46" s="253"/>
      <c r="B46" s="343"/>
      <c r="C46" s="253">
        <v>5</v>
      </c>
      <c r="D46" s="254">
        <v>278.5</v>
      </c>
      <c r="E46" s="254">
        <v>0</v>
      </c>
      <c r="F46" s="254">
        <f t="shared" si="2"/>
        <v>1392.5</v>
      </c>
      <c r="G46" s="258">
        <v>42331</v>
      </c>
      <c r="H46" s="259">
        <v>40</v>
      </c>
      <c r="I46" s="254">
        <v>287.99</v>
      </c>
      <c r="J46" s="254">
        <v>0.21</v>
      </c>
      <c r="K46" s="254">
        <f t="shared" si="1"/>
        <v>11519.390000000001</v>
      </c>
      <c r="L46" s="253"/>
      <c r="M46" s="253"/>
      <c r="O46" s="81">
        <v>1.07</v>
      </c>
      <c r="P46" s="81">
        <f t="shared" si="3"/>
        <v>291.46800000000002</v>
      </c>
      <c r="Q46" s="2"/>
      <c r="T46" s="415"/>
      <c r="U46" s="473"/>
    </row>
    <row r="47" spans="1:21" x14ac:dyDescent="0.25">
      <c r="A47" s="253"/>
      <c r="B47" s="258">
        <v>42286</v>
      </c>
      <c r="C47" s="253">
        <v>10</v>
      </c>
      <c r="D47" s="254">
        <v>274</v>
      </c>
      <c r="E47" s="254">
        <v>0</v>
      </c>
      <c r="F47" s="254">
        <f t="shared" si="2"/>
        <v>2740</v>
      </c>
      <c r="G47" s="258">
        <v>42347</v>
      </c>
      <c r="H47" s="259">
        <v>35</v>
      </c>
      <c r="I47" s="254">
        <v>282.99</v>
      </c>
      <c r="J47" s="254">
        <v>0.18</v>
      </c>
      <c r="K47" s="254">
        <f t="shared" si="1"/>
        <v>9904.4699999999993</v>
      </c>
      <c r="L47" s="253"/>
      <c r="M47" s="253"/>
      <c r="O47" s="81">
        <v>1.06</v>
      </c>
      <c r="P47" s="81">
        <f t="shared" si="3"/>
        <v>288.74399999999997</v>
      </c>
      <c r="Q47" s="2"/>
      <c r="T47" s="415"/>
      <c r="U47" s="473"/>
    </row>
    <row r="48" spans="1:21" x14ac:dyDescent="0.25">
      <c r="A48" s="253"/>
      <c r="B48" s="258">
        <v>42286</v>
      </c>
      <c r="C48" s="253">
        <v>10</v>
      </c>
      <c r="D48" s="254">
        <v>269.8</v>
      </c>
      <c r="E48" s="254">
        <v>0</v>
      </c>
      <c r="F48" s="254">
        <f t="shared" si="2"/>
        <v>2698</v>
      </c>
      <c r="G48" s="258">
        <v>42359</v>
      </c>
      <c r="H48" s="259">
        <v>25</v>
      </c>
      <c r="I48" s="254">
        <v>295</v>
      </c>
      <c r="J48" s="254">
        <v>0.14000000000000001</v>
      </c>
      <c r="K48" s="254">
        <f t="shared" si="1"/>
        <v>7374.86</v>
      </c>
      <c r="L48" s="253"/>
      <c r="M48" s="253"/>
      <c r="O48" s="81">
        <v>1.05</v>
      </c>
      <c r="P48" s="81">
        <f t="shared" si="3"/>
        <v>286.02</v>
      </c>
      <c r="Q48" s="2"/>
      <c r="T48" s="415"/>
      <c r="U48" s="473"/>
    </row>
    <row r="49" spans="1:21" x14ac:dyDescent="0.25">
      <c r="A49" s="253"/>
      <c r="B49" s="258">
        <v>42292</v>
      </c>
      <c r="C49" s="253">
        <v>25</v>
      </c>
      <c r="D49" s="254">
        <v>268.5</v>
      </c>
      <c r="E49" s="254">
        <v>0</v>
      </c>
      <c r="F49" s="254">
        <f t="shared" si="2"/>
        <v>6712.5</v>
      </c>
      <c r="G49" s="258">
        <v>42447</v>
      </c>
      <c r="H49" s="259">
        <v>5</v>
      </c>
      <c r="I49" s="254">
        <v>249.59</v>
      </c>
      <c r="J49" s="254">
        <v>0.03</v>
      </c>
      <c r="K49" s="254">
        <v>1247.92</v>
      </c>
      <c r="L49" s="253"/>
      <c r="M49" s="253"/>
      <c r="O49" s="81">
        <v>1.04</v>
      </c>
      <c r="P49" s="81">
        <f t="shared" si="3"/>
        <v>283.29599999999999</v>
      </c>
      <c r="Q49" s="2"/>
      <c r="T49" s="415"/>
      <c r="U49" s="473"/>
    </row>
    <row r="50" spans="1:21" x14ac:dyDescent="0.25">
      <c r="A50" s="253"/>
      <c r="B50" s="258">
        <v>42293</v>
      </c>
      <c r="C50" s="253">
        <v>10</v>
      </c>
      <c r="D50" s="254">
        <v>262.25</v>
      </c>
      <c r="E50" s="254">
        <v>0</v>
      </c>
      <c r="F50" s="254">
        <f t="shared" si="2"/>
        <v>2622.5</v>
      </c>
      <c r="G50" s="258">
        <v>42460</v>
      </c>
      <c r="H50" s="259">
        <v>5</v>
      </c>
      <c r="I50" s="254">
        <v>261.22000000000003</v>
      </c>
      <c r="J50" s="254">
        <v>0.03</v>
      </c>
      <c r="K50" s="254">
        <v>1306.0700000000002</v>
      </c>
      <c r="L50" s="253"/>
      <c r="M50" s="253"/>
      <c r="O50" s="81">
        <v>1.03</v>
      </c>
      <c r="P50" s="81">
        <f t="shared" si="3"/>
        <v>280.572</v>
      </c>
      <c r="Q50" s="2"/>
      <c r="T50" s="415"/>
      <c r="U50" s="473"/>
    </row>
    <row r="51" spans="1:21" x14ac:dyDescent="0.25">
      <c r="A51" s="253"/>
      <c r="B51" s="258">
        <v>42293</v>
      </c>
      <c r="C51" s="253">
        <v>10</v>
      </c>
      <c r="D51" s="254">
        <v>255.4</v>
      </c>
      <c r="E51" s="254">
        <v>0</v>
      </c>
      <c r="F51" s="254">
        <f t="shared" si="2"/>
        <v>2554</v>
      </c>
      <c r="G51" s="258">
        <v>42482</v>
      </c>
      <c r="H51" s="259">
        <v>5</v>
      </c>
      <c r="I51" s="254">
        <v>282.95</v>
      </c>
      <c r="J51" s="254">
        <v>0.03</v>
      </c>
      <c r="K51" s="254">
        <v>1414.72</v>
      </c>
      <c r="L51" s="253"/>
      <c r="M51" s="253"/>
      <c r="O51" s="81">
        <v>1.02</v>
      </c>
      <c r="P51" s="81">
        <f t="shared" si="3"/>
        <v>277.84799999999996</v>
      </c>
      <c r="Q51" s="2"/>
      <c r="T51" s="415"/>
      <c r="U51" s="473"/>
    </row>
    <row r="52" spans="1:21" x14ac:dyDescent="0.25">
      <c r="A52" s="253"/>
      <c r="B52" s="258">
        <v>42314</v>
      </c>
      <c r="C52" s="253">
        <v>10</v>
      </c>
      <c r="D52" s="254">
        <v>298.81</v>
      </c>
      <c r="E52" s="254">
        <v>0</v>
      </c>
      <c r="F52" s="254">
        <f t="shared" si="2"/>
        <v>2988.1</v>
      </c>
      <c r="G52" s="258"/>
      <c r="H52" s="253"/>
      <c r="I52" s="254"/>
      <c r="J52" s="253"/>
      <c r="K52" s="254"/>
      <c r="L52" s="253"/>
      <c r="M52" s="253"/>
      <c r="O52" s="81">
        <v>1.01</v>
      </c>
      <c r="P52" s="81">
        <f t="shared" si="3"/>
        <v>275.12399999999997</v>
      </c>
      <c r="Q52" s="2"/>
      <c r="T52" s="415"/>
      <c r="U52" s="473"/>
    </row>
    <row r="53" spans="1:21" x14ac:dyDescent="0.25">
      <c r="A53" s="253"/>
      <c r="B53" s="258">
        <v>42341</v>
      </c>
      <c r="C53" s="253">
        <v>20</v>
      </c>
      <c r="D53" s="254">
        <v>286.08999999999997</v>
      </c>
      <c r="E53" s="254">
        <v>0</v>
      </c>
      <c r="F53" s="254">
        <f t="shared" si="2"/>
        <v>5721.7999999999993</v>
      </c>
      <c r="G53" s="258"/>
      <c r="H53" s="253"/>
      <c r="I53" s="253"/>
      <c r="J53" s="253"/>
      <c r="K53" s="254"/>
      <c r="L53" s="253"/>
      <c r="M53" s="253"/>
      <c r="O53" s="81">
        <v>1</v>
      </c>
      <c r="P53" s="81">
        <f t="shared" si="3"/>
        <v>272.39999999999998</v>
      </c>
      <c r="Q53" s="2"/>
      <c r="U53" s="474"/>
    </row>
    <row r="54" spans="1:21" x14ac:dyDescent="0.25">
      <c r="A54" s="253"/>
      <c r="B54" s="258">
        <v>42408</v>
      </c>
      <c r="C54" s="253">
        <v>5</v>
      </c>
      <c r="D54" s="254">
        <v>251.5</v>
      </c>
      <c r="E54" s="254">
        <v>0</v>
      </c>
      <c r="F54" s="254">
        <f>C54*D54 + E54</f>
        <v>1257.5</v>
      </c>
      <c r="G54" s="258"/>
      <c r="H54" s="253"/>
      <c r="I54" s="253"/>
      <c r="J54" s="253"/>
      <c r="K54" s="254"/>
      <c r="L54" s="253"/>
      <c r="M54" s="253"/>
      <c r="O54" s="81">
        <v>0.99</v>
      </c>
      <c r="P54" s="81">
        <f t="shared" si="3"/>
        <v>269.67599999999999</v>
      </c>
      <c r="Q54" s="2"/>
      <c r="U54" s="474"/>
    </row>
    <row r="55" spans="1:21" x14ac:dyDescent="0.25">
      <c r="A55" s="253"/>
      <c r="B55" s="258">
        <v>42446</v>
      </c>
      <c r="C55" s="253">
        <v>5</v>
      </c>
      <c r="D55" s="254">
        <v>242.55</v>
      </c>
      <c r="E55" s="254">
        <v>0</v>
      </c>
      <c r="F55" s="254">
        <f>C55*D55 + E55</f>
        <v>1212.75</v>
      </c>
      <c r="G55" s="258"/>
      <c r="H55" s="253"/>
      <c r="I55" s="253"/>
      <c r="J55" s="253"/>
      <c r="K55" s="254"/>
      <c r="L55" s="253"/>
      <c r="M55" s="253"/>
      <c r="O55" s="81">
        <v>0.98</v>
      </c>
      <c r="P55" s="81">
        <f t="shared" si="3"/>
        <v>266.952</v>
      </c>
      <c r="Q55" s="2"/>
      <c r="U55" s="473"/>
    </row>
    <row r="56" spans="1:21" x14ac:dyDescent="0.25">
      <c r="A56" s="253"/>
      <c r="B56" s="258"/>
      <c r="C56" s="253">
        <v>5</v>
      </c>
      <c r="D56" s="254">
        <v>242.55</v>
      </c>
      <c r="E56" s="254">
        <v>0</v>
      </c>
      <c r="F56" s="254">
        <f>C56*D56 + E56</f>
        <v>1212.75</v>
      </c>
      <c r="G56" s="258"/>
      <c r="H56" s="253"/>
      <c r="I56" s="253"/>
      <c r="J56" s="253"/>
      <c r="K56" s="254"/>
      <c r="L56" s="253"/>
      <c r="M56" s="253"/>
      <c r="O56" s="81">
        <v>0.97</v>
      </c>
      <c r="P56" s="81">
        <f t="shared" si="3"/>
        <v>264.22799999999995</v>
      </c>
      <c r="U56" s="473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261.50399999999996</v>
      </c>
      <c r="U57" s="473"/>
    </row>
    <row r="58" spans="1:21" x14ac:dyDescent="0.25">
      <c r="O58" s="81">
        <v>0.95</v>
      </c>
      <c r="P58" s="81">
        <f t="shared" si="3"/>
        <v>258.77999999999997</v>
      </c>
      <c r="U58" s="473"/>
    </row>
    <row r="59" spans="1:21" x14ac:dyDescent="0.25">
      <c r="O59" s="81">
        <v>0.94</v>
      </c>
      <c r="P59" s="81">
        <f t="shared" si="3"/>
        <v>256.05599999999998</v>
      </c>
    </row>
    <row r="60" spans="1:21" x14ac:dyDescent="0.25">
      <c r="B60" s="261" t="s">
        <v>113</v>
      </c>
      <c r="C60" s="261" t="s">
        <v>146</v>
      </c>
      <c r="D60" s="262" t="s">
        <v>145</v>
      </c>
      <c r="E60" s="263" t="s">
        <v>147</v>
      </c>
      <c r="F60" s="264" t="s">
        <v>65</v>
      </c>
      <c r="G60" s="265" t="s">
        <v>151</v>
      </c>
      <c r="H60" s="264" t="s">
        <v>88</v>
      </c>
      <c r="O60" s="81">
        <v>0.93</v>
      </c>
      <c r="P60" s="81">
        <f t="shared" si="3"/>
        <v>253.33199999999999</v>
      </c>
    </row>
    <row r="61" spans="1:21" x14ac:dyDescent="0.25">
      <c r="B61" s="258">
        <v>42304</v>
      </c>
      <c r="C61" s="253">
        <v>80</v>
      </c>
      <c r="D61" s="254">
        <v>271.44</v>
      </c>
      <c r="E61" s="254">
        <v>293.69</v>
      </c>
      <c r="F61" s="254">
        <v>1780.09</v>
      </c>
      <c r="G61" s="254">
        <f t="shared" ref="G61:G66" si="4">IF(C61=0, 0,D61*C61)</f>
        <v>21715.200000000001</v>
      </c>
      <c r="H61" s="266">
        <f t="shared" ref="H61:H66" si="5">IF(C61=0, D61, (E61-D61)/D61)</f>
        <v>8.1970232832301801E-2</v>
      </c>
      <c r="O61" s="81">
        <v>0.92</v>
      </c>
      <c r="P61" s="81">
        <f t="shared" si="3"/>
        <v>250.608</v>
      </c>
    </row>
    <row r="62" spans="1:21" x14ac:dyDescent="0.25">
      <c r="B62" s="258">
        <v>42310</v>
      </c>
      <c r="C62" s="253">
        <v>70</v>
      </c>
      <c r="D62" s="254">
        <v>267.36</v>
      </c>
      <c r="E62" s="254">
        <v>303.08</v>
      </c>
      <c r="F62" s="254">
        <v>2500.4299999999998</v>
      </c>
      <c r="G62" s="254">
        <f t="shared" si="4"/>
        <v>18715.2</v>
      </c>
      <c r="H62" s="266">
        <f t="shared" si="5"/>
        <v>0.1336026331538</v>
      </c>
      <c r="O62" s="81">
        <v>0.91</v>
      </c>
      <c r="P62" s="81">
        <f t="shared" si="3"/>
        <v>247.88399999999999</v>
      </c>
    </row>
    <row r="63" spans="1:21" x14ac:dyDescent="0.25">
      <c r="B63" s="258">
        <v>42314</v>
      </c>
      <c r="C63" s="253">
        <v>80</v>
      </c>
      <c r="D63" s="254">
        <v>271.29000000000002</v>
      </c>
      <c r="E63" s="254">
        <v>299.14</v>
      </c>
      <c r="F63" s="254">
        <v>2227.9299999999998</v>
      </c>
      <c r="G63" s="254">
        <f t="shared" si="4"/>
        <v>21703.200000000001</v>
      </c>
      <c r="H63" s="266">
        <f t="shared" si="5"/>
        <v>0.10265767260127526</v>
      </c>
      <c r="O63" s="81">
        <v>0.9</v>
      </c>
      <c r="P63" s="81">
        <f t="shared" si="3"/>
        <v>245.16</v>
      </c>
    </row>
    <row r="64" spans="1:21" x14ac:dyDescent="0.25">
      <c r="B64" s="258">
        <v>42326</v>
      </c>
      <c r="C64" s="253">
        <v>40</v>
      </c>
      <c r="D64" s="254">
        <v>254.6</v>
      </c>
      <c r="E64" s="254">
        <v>291.98</v>
      </c>
      <c r="F64" s="254">
        <v>1495.32</v>
      </c>
      <c r="G64" s="254">
        <f t="shared" si="4"/>
        <v>10184</v>
      </c>
      <c r="H64" s="266">
        <f t="shared" si="5"/>
        <v>0.14681853888452484</v>
      </c>
    </row>
    <row r="65" spans="2:9" x14ac:dyDescent="0.25">
      <c r="B65" s="258">
        <v>42338</v>
      </c>
      <c r="C65" s="253">
        <v>60</v>
      </c>
      <c r="D65" s="254">
        <v>265.08999999999997</v>
      </c>
      <c r="E65" s="254">
        <v>286.86</v>
      </c>
      <c r="F65" s="254">
        <v>1305.92</v>
      </c>
      <c r="G65" s="254">
        <f t="shared" si="4"/>
        <v>15905.399999999998</v>
      </c>
      <c r="H65" s="266">
        <f t="shared" si="5"/>
        <v>8.2123052548191328E-2</v>
      </c>
    </row>
    <row r="66" spans="2:9" x14ac:dyDescent="0.25">
      <c r="B66" s="258">
        <v>42342</v>
      </c>
      <c r="C66" s="253">
        <v>25</v>
      </c>
      <c r="D66" s="254">
        <v>240.05</v>
      </c>
      <c r="E66" s="254">
        <v>284.45</v>
      </c>
      <c r="F66" s="254">
        <v>1110</v>
      </c>
      <c r="G66" s="254">
        <f t="shared" si="4"/>
        <v>6001.25</v>
      </c>
      <c r="H66" s="266">
        <f t="shared" si="5"/>
        <v>0.18496146636117466</v>
      </c>
    </row>
    <row r="67" spans="2:9" x14ac:dyDescent="0.25">
      <c r="B67" s="258">
        <v>42355</v>
      </c>
      <c r="C67" s="253">
        <v>0</v>
      </c>
      <c r="D67" s="254">
        <v>0</v>
      </c>
      <c r="E67" s="254">
        <v>297.17</v>
      </c>
      <c r="F67" s="254">
        <v>1373.65</v>
      </c>
      <c r="G67" s="254"/>
      <c r="H67" s="266"/>
    </row>
    <row r="69" spans="2:9" x14ac:dyDescent="0.25">
      <c r="B69" s="364">
        <v>42408</v>
      </c>
      <c r="C69" s="365">
        <v>5</v>
      </c>
      <c r="D69" s="366">
        <v>251.5</v>
      </c>
      <c r="E69" s="366">
        <v>256.52</v>
      </c>
      <c r="F69" s="366">
        <f>C69*(E69-D69)</f>
        <v>25.099999999999909</v>
      </c>
      <c r="G69" s="366">
        <f>D69*C69</f>
        <v>1257.5</v>
      </c>
      <c r="H69" s="367">
        <f>(E69-D69)/D69</f>
        <v>1.9960238568588397E-2</v>
      </c>
      <c r="I69" s="367"/>
    </row>
    <row r="70" spans="2:9" x14ac:dyDescent="0.25">
      <c r="B70" s="364">
        <v>42422</v>
      </c>
      <c r="C70" s="365">
        <v>5</v>
      </c>
      <c r="D70" s="366">
        <v>251.5</v>
      </c>
      <c r="E70" s="366">
        <v>265.83</v>
      </c>
      <c r="F70" s="366">
        <f t="shared" ref="F70:F79" si="6">C70*(E70-D70)</f>
        <v>71.64999999999992</v>
      </c>
      <c r="G70" s="366">
        <f t="shared" ref="G70:G80" si="7">D70*C70</f>
        <v>1257.5</v>
      </c>
      <c r="H70" s="367">
        <f t="shared" ref="H70:H79" si="8">(E70-D70)/D70</f>
        <v>5.6978131212723597E-2</v>
      </c>
      <c r="I70" s="367"/>
    </row>
    <row r="71" spans="2:9" x14ac:dyDescent="0.25">
      <c r="B71" s="364">
        <v>42431</v>
      </c>
      <c r="C71" s="365">
        <v>5</v>
      </c>
      <c r="D71" s="366">
        <v>251.5</v>
      </c>
      <c r="E71" s="366">
        <v>273.66000000000003</v>
      </c>
      <c r="F71" s="366">
        <f t="shared" si="6"/>
        <v>110.80000000000013</v>
      </c>
      <c r="G71" s="366">
        <f t="shared" si="7"/>
        <v>1257.5</v>
      </c>
      <c r="H71" s="367">
        <f t="shared" si="8"/>
        <v>8.8111332007952389E-2</v>
      </c>
      <c r="I71" s="367"/>
    </row>
    <row r="72" spans="2:9" x14ac:dyDescent="0.25">
      <c r="B72" s="364">
        <v>42433</v>
      </c>
      <c r="C72" s="365">
        <v>5</v>
      </c>
      <c r="D72" s="366">
        <v>251.5</v>
      </c>
      <c r="E72" s="366">
        <v>263.94</v>
      </c>
      <c r="F72" s="366">
        <f t="shared" si="6"/>
        <v>62.199999999999989</v>
      </c>
      <c r="G72" s="366">
        <f t="shared" si="7"/>
        <v>1257.5</v>
      </c>
      <c r="H72" s="367">
        <f t="shared" si="8"/>
        <v>4.9463220675944324E-2</v>
      </c>
      <c r="I72" s="367"/>
    </row>
    <row r="73" spans="2:9" x14ac:dyDescent="0.25">
      <c r="B73" s="364">
        <v>42439</v>
      </c>
      <c r="C73" s="365">
        <v>5</v>
      </c>
      <c r="D73" s="366">
        <v>251.5</v>
      </c>
      <c r="E73" s="366">
        <v>251.97</v>
      </c>
      <c r="F73" s="366">
        <f t="shared" si="6"/>
        <v>2.3499999999999943</v>
      </c>
      <c r="G73" s="366">
        <f t="shared" si="7"/>
        <v>1257.5</v>
      </c>
      <c r="H73" s="368">
        <f t="shared" si="8"/>
        <v>1.8687872763419437E-3</v>
      </c>
      <c r="I73" s="368"/>
    </row>
    <row r="74" spans="2:9" x14ac:dyDescent="0.25">
      <c r="B74" s="364">
        <v>42444</v>
      </c>
      <c r="C74" s="365">
        <v>5</v>
      </c>
      <c r="D74" s="366">
        <v>251.5</v>
      </c>
      <c r="E74" s="366">
        <v>250.33</v>
      </c>
      <c r="F74" s="366">
        <f t="shared" si="6"/>
        <v>-5.8499999999999375</v>
      </c>
      <c r="G74" s="366">
        <f t="shared" si="7"/>
        <v>1257.5</v>
      </c>
      <c r="H74" s="368">
        <f t="shared" si="8"/>
        <v>-4.6520874751490556E-3</v>
      </c>
      <c r="I74" s="368"/>
    </row>
    <row r="75" spans="2:9" x14ac:dyDescent="0.25">
      <c r="B75" s="364">
        <v>42446</v>
      </c>
      <c r="C75" s="365">
        <v>15</v>
      </c>
      <c r="D75" s="366">
        <v>245.5333</v>
      </c>
      <c r="E75" s="366">
        <v>246.31</v>
      </c>
      <c r="F75" s="366">
        <f t="shared" si="6"/>
        <v>11.650500000000079</v>
      </c>
      <c r="G75" s="366">
        <f t="shared" si="7"/>
        <v>3682.9994999999999</v>
      </c>
      <c r="H75" s="368">
        <f t="shared" si="8"/>
        <v>3.1633183767741701E-3</v>
      </c>
      <c r="I75" s="368"/>
    </row>
    <row r="76" spans="2:9" x14ac:dyDescent="0.25">
      <c r="B76" s="364">
        <v>42447</v>
      </c>
      <c r="C76" s="365">
        <v>10</v>
      </c>
      <c r="D76" s="366">
        <v>243.50800000000001</v>
      </c>
      <c r="E76" s="366">
        <v>250.78</v>
      </c>
      <c r="F76" s="366">
        <f t="shared" si="6"/>
        <v>72.719999999999914</v>
      </c>
      <c r="G76" s="366">
        <f t="shared" si="7"/>
        <v>2435.08</v>
      </c>
      <c r="H76" s="368">
        <f t="shared" si="8"/>
        <v>2.9863495244509385E-2</v>
      </c>
      <c r="I76" s="368" t="s">
        <v>190</v>
      </c>
    </row>
    <row r="77" spans="2:9" x14ac:dyDescent="0.25">
      <c r="B77" s="364">
        <v>42458</v>
      </c>
      <c r="C77" s="365">
        <v>10</v>
      </c>
      <c r="D77" s="366">
        <v>243.50800000000001</v>
      </c>
      <c r="E77" s="366">
        <v>254.68</v>
      </c>
      <c r="F77" s="366">
        <f t="shared" si="6"/>
        <v>111.71999999999997</v>
      </c>
      <c r="G77" s="366">
        <f t="shared" si="7"/>
        <v>2435.08</v>
      </c>
      <c r="H77" s="368">
        <f t="shared" si="8"/>
        <v>4.587939615946908E-2</v>
      </c>
      <c r="I77" s="368"/>
    </row>
    <row r="78" spans="2:9" x14ac:dyDescent="0.25">
      <c r="B78" s="364">
        <v>42460</v>
      </c>
      <c r="C78" s="365">
        <v>5</v>
      </c>
      <c r="D78" s="366">
        <v>225.80199999999999</v>
      </c>
      <c r="E78" s="366">
        <v>260.32</v>
      </c>
      <c r="F78" s="366">
        <f t="shared" si="6"/>
        <v>172.59</v>
      </c>
      <c r="G78" s="366">
        <f t="shared" si="7"/>
        <v>1129.01</v>
      </c>
      <c r="H78" s="368">
        <f t="shared" si="8"/>
        <v>0.15286844226357607</v>
      </c>
      <c r="I78" s="368"/>
    </row>
    <row r="79" spans="2:9" x14ac:dyDescent="0.25">
      <c r="B79" s="364">
        <v>42469</v>
      </c>
      <c r="C79" s="365">
        <v>5</v>
      </c>
      <c r="D79" s="366">
        <v>225.80199999999999</v>
      </c>
      <c r="E79" s="366">
        <v>270.83</v>
      </c>
      <c r="F79" s="366">
        <f t="shared" si="6"/>
        <v>225.13999999999996</v>
      </c>
      <c r="G79" s="366">
        <f t="shared" si="7"/>
        <v>1129.01</v>
      </c>
      <c r="H79" s="368">
        <f t="shared" si="8"/>
        <v>0.1994136455832986</v>
      </c>
      <c r="I79" s="368"/>
    </row>
    <row r="80" spans="2:9" x14ac:dyDescent="0.25">
      <c r="B80" s="364">
        <v>42482</v>
      </c>
      <c r="C80" s="365">
        <v>0</v>
      </c>
      <c r="D80" s="366">
        <v>0</v>
      </c>
      <c r="E80" s="366">
        <v>0</v>
      </c>
      <c r="F80" s="366">
        <v>285.70999999999998</v>
      </c>
      <c r="G80" s="366">
        <f t="shared" si="7"/>
        <v>0</v>
      </c>
      <c r="H80" s="368"/>
      <c r="I80" s="368"/>
    </row>
    <row r="81" spans="2:9" x14ac:dyDescent="0.25">
      <c r="B81" s="365"/>
      <c r="C81" s="365"/>
      <c r="D81" s="366"/>
      <c r="E81" s="366"/>
      <c r="F81" s="366"/>
      <c r="G81" s="366"/>
      <c r="H81" s="368"/>
      <c r="I81" s="368"/>
    </row>
    <row r="82" spans="2:9" x14ac:dyDescent="0.25">
      <c r="B82" s="365"/>
      <c r="C82" s="365"/>
      <c r="D82" s="366"/>
      <c r="E82" s="366"/>
      <c r="F82" s="366"/>
      <c r="G82" s="366"/>
      <c r="H82" s="368"/>
      <c r="I82" s="368"/>
    </row>
  </sheetData>
  <mergeCells count="1">
    <mergeCell ref="O42:P42"/>
  </mergeCells>
  <conditionalFormatting sqref="N19 F25:F35">
    <cfRule type="expression" dxfId="2411" priority="58">
      <formula>F19&gt;0</formula>
    </cfRule>
    <cfRule type="expression" dxfId="24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09" priority="47">
      <formula>H25&gt;0</formula>
    </cfRule>
    <cfRule type="expression" dxfId="2408" priority="48">
      <formula>H25&lt;0</formula>
    </cfRule>
  </conditionalFormatting>
  <conditionalFormatting sqref="M39">
    <cfRule type="expression" dxfId="2407" priority="45">
      <formula>M39&gt;0</formula>
    </cfRule>
    <cfRule type="expression" dxfId="2406" priority="46">
      <formula>M39&lt;0</formula>
    </cfRule>
  </conditionalFormatting>
  <conditionalFormatting sqref="F61:F67">
    <cfRule type="expression" dxfId="2405" priority="43">
      <formula>F61&gt;0</formula>
    </cfRule>
    <cfRule type="expression" dxfId="2404" priority="44">
      <formula>F61&lt;0</formula>
    </cfRule>
  </conditionalFormatting>
  <conditionalFormatting sqref="H61:H67">
    <cfRule type="expression" dxfId="2403" priority="41">
      <formula>H61&gt;0</formula>
    </cfRule>
    <cfRule type="expression" dxfId="2402" priority="42">
      <formula>H61&lt;0</formula>
    </cfRule>
  </conditionalFormatting>
  <conditionalFormatting sqref="F21:F24">
    <cfRule type="expression" dxfId="2401" priority="39">
      <formula>F21&gt;0</formula>
    </cfRule>
    <cfRule type="expression" dxfId="2400" priority="40">
      <formula>F21&lt;0</formula>
    </cfRule>
  </conditionalFormatting>
  <conditionalFormatting sqref="H21:H24">
    <cfRule type="expression" dxfId="2399" priority="37">
      <formula>H21&gt;0</formula>
    </cfRule>
    <cfRule type="expression" dxfId="2398" priority="38">
      <formula>H21&lt;0</formula>
    </cfRule>
  </conditionalFormatting>
  <conditionalFormatting sqref="I25:I28">
    <cfRule type="expression" dxfId="2397" priority="31">
      <formula>I25&gt;0</formula>
    </cfRule>
    <cfRule type="expression" dxfId="2396" priority="32">
      <formula>I25&lt;0</formula>
    </cfRule>
  </conditionalFormatting>
  <conditionalFormatting sqref="I21:I24">
    <cfRule type="expression" dxfId="2395" priority="29">
      <formula>I21&gt;0</formula>
    </cfRule>
    <cfRule type="expression" dxfId="2394" priority="30">
      <formula>I21&lt;0</formula>
    </cfRule>
  </conditionalFormatting>
  <conditionalFormatting sqref="H29">
    <cfRule type="expression" dxfId="2393" priority="27">
      <formula>H29&gt;0</formula>
    </cfRule>
    <cfRule type="expression" dxfId="2392" priority="28">
      <formula>H29&lt;0</formula>
    </cfRule>
  </conditionalFormatting>
  <conditionalFormatting sqref="H30">
    <cfRule type="expression" dxfId="2391" priority="25">
      <formula>H30&gt;0</formula>
    </cfRule>
    <cfRule type="expression" dxfId="2390" priority="26">
      <formula>H30&lt;0</formula>
    </cfRule>
  </conditionalFormatting>
  <conditionalFormatting sqref="H31">
    <cfRule type="expression" dxfId="2389" priority="23">
      <formula>H31&gt;0</formula>
    </cfRule>
    <cfRule type="expression" dxfId="2388" priority="24">
      <formula>H31&lt;0</formula>
    </cfRule>
  </conditionalFormatting>
  <conditionalFormatting sqref="Q7">
    <cfRule type="expression" dxfId="2387" priority="21">
      <formula>Q7&gt;0</formula>
    </cfRule>
    <cfRule type="expression" dxfId="2386" priority="22">
      <formula>Q7&lt;0</formula>
    </cfRule>
  </conditionalFormatting>
  <conditionalFormatting sqref="Q8">
    <cfRule type="expression" dxfId="2385" priority="19">
      <formula>Q8&gt;0</formula>
    </cfRule>
    <cfRule type="expression" dxfId="2384" priority="20">
      <formula>Q8&lt;0</formula>
    </cfRule>
  </conditionalFormatting>
  <conditionalFormatting sqref="F73:F82">
    <cfRule type="expression" dxfId="2383" priority="17">
      <formula>F73&gt;0</formula>
    </cfRule>
    <cfRule type="expression" dxfId="2382" priority="18">
      <formula>F73&lt;0</formula>
    </cfRule>
  </conditionalFormatting>
  <conditionalFormatting sqref="H73:H76">
    <cfRule type="expression" dxfId="2381" priority="15">
      <formula>H73&gt;0</formula>
    </cfRule>
    <cfRule type="expression" dxfId="2380" priority="16">
      <formula>H73&lt;0</formula>
    </cfRule>
  </conditionalFormatting>
  <conditionalFormatting sqref="F69:F72">
    <cfRule type="expression" dxfId="2379" priority="13">
      <formula>F69&gt;0</formula>
    </cfRule>
    <cfRule type="expression" dxfId="2378" priority="14">
      <formula>F69&lt;0</formula>
    </cfRule>
  </conditionalFormatting>
  <conditionalFormatting sqref="H69:H72">
    <cfRule type="expression" dxfId="2377" priority="11">
      <formula>H69&gt;0</formula>
    </cfRule>
    <cfRule type="expression" dxfId="2376" priority="12">
      <formula>H69&lt;0</formula>
    </cfRule>
  </conditionalFormatting>
  <conditionalFormatting sqref="I73:I76">
    <cfRule type="expression" dxfId="2375" priority="9">
      <formula>I73&gt;0</formula>
    </cfRule>
    <cfRule type="expression" dxfId="2374" priority="10">
      <formula>I73&lt;0</formula>
    </cfRule>
  </conditionalFormatting>
  <conditionalFormatting sqref="I69:I72">
    <cfRule type="expression" dxfId="2373" priority="7">
      <formula>I69&gt;0</formula>
    </cfRule>
    <cfRule type="expression" dxfId="2372" priority="8">
      <formula>I69&lt;0</formula>
    </cfRule>
  </conditionalFormatting>
  <conditionalFormatting sqref="H77">
    <cfRule type="expression" dxfId="2371" priority="5">
      <formula>H77&gt;0</formula>
    </cfRule>
    <cfRule type="expression" dxfId="2370" priority="6">
      <formula>H77&lt;0</formula>
    </cfRule>
  </conditionalFormatting>
  <conditionalFormatting sqref="H78">
    <cfRule type="expression" dxfId="2369" priority="3">
      <formula>H78&gt;0</formula>
    </cfRule>
    <cfRule type="expression" dxfId="2368" priority="4">
      <formula>H78&lt;0</formula>
    </cfRule>
  </conditionalFormatting>
  <conditionalFormatting sqref="H79">
    <cfRule type="expression" dxfId="2367" priority="1">
      <formula>H79&gt;0</formula>
    </cfRule>
    <cfRule type="expression" dxfId="23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40.799999999999997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8"/>
      <c r="AN3" s="228"/>
    </row>
    <row r="4" spans="1:40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40.799999999999997</v>
      </c>
      <c r="R4" s="493">
        <v>1.0200000000000001E-2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7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5">
        <f>(E21-D21)/D21</f>
        <v>4.1127694859038208E-2</v>
      </c>
      <c r="I21" s="225"/>
      <c r="J21" s="225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7">
        <v>43007</v>
      </c>
      <c r="C22" s="10">
        <v>0</v>
      </c>
      <c r="D22" s="39"/>
      <c r="E22" s="39"/>
      <c r="F22" s="39">
        <v>115.8</v>
      </c>
      <c r="G22" s="39"/>
      <c r="H22" s="225"/>
      <c r="I22" s="225"/>
      <c r="J22" s="73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225"/>
      <c r="J23" s="225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225"/>
      <c r="J24" s="225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225"/>
      <c r="J25" s="225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225"/>
      <c r="J26" s="225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225"/>
      <c r="J27" s="225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225"/>
      <c r="J28" s="225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225"/>
      <c r="J29" s="225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225"/>
      <c r="J30" s="225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225"/>
      <c r="J31" s="225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1" t="s">
        <v>1</v>
      </c>
      <c r="B36" s="371" t="s">
        <v>2</v>
      </c>
      <c r="C36" s="371" t="s">
        <v>4</v>
      </c>
      <c r="D36" s="373" t="s">
        <v>5</v>
      </c>
      <c r="E36" s="373" t="s">
        <v>94</v>
      </c>
      <c r="F36" s="373" t="s">
        <v>60</v>
      </c>
      <c r="G36" s="371" t="s">
        <v>3</v>
      </c>
      <c r="H36" s="371" t="s">
        <v>6</v>
      </c>
      <c r="I36" s="371" t="s">
        <v>7</v>
      </c>
      <c r="J36" s="371" t="s">
        <v>95</v>
      </c>
      <c r="K36" s="373" t="s">
        <v>61</v>
      </c>
      <c r="L36" s="371" t="s">
        <v>77</v>
      </c>
      <c r="M36" s="37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4" t="s">
        <v>204</v>
      </c>
      <c r="B37" s="364">
        <v>42502</v>
      </c>
      <c r="C37" s="365">
        <v>60</v>
      </c>
      <c r="D37" s="366">
        <v>38.25</v>
      </c>
      <c r="E37" s="366">
        <v>0</v>
      </c>
      <c r="F37" s="366">
        <f>C37*D37 + E37</f>
        <v>2295</v>
      </c>
      <c r="G37" s="364">
        <v>42528</v>
      </c>
      <c r="H37" s="369">
        <v>30</v>
      </c>
      <c r="I37" s="366">
        <v>45.25</v>
      </c>
      <c r="J37" s="366">
        <v>0.03</v>
      </c>
      <c r="K37" s="366">
        <f>H37*I37 - J37</f>
        <v>1357.47</v>
      </c>
      <c r="L37" s="365"/>
      <c r="M37" s="36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5" t="s">
        <v>71</v>
      </c>
      <c r="B38" s="376"/>
      <c r="C38" s="365"/>
      <c r="D38" s="366"/>
      <c r="E38" s="366"/>
      <c r="F38" s="366"/>
      <c r="G38" s="364">
        <v>42544</v>
      </c>
      <c r="H38" s="369">
        <v>30</v>
      </c>
      <c r="I38" s="366">
        <v>45.91</v>
      </c>
      <c r="J38" s="366">
        <v>-0.01</v>
      </c>
      <c r="K38" s="366">
        <f>H38*I38 - J38</f>
        <v>1377.31</v>
      </c>
      <c r="L38" s="365"/>
      <c r="M38" s="36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5"/>
      <c r="B39" s="376"/>
      <c r="C39" s="365"/>
      <c r="D39" s="366"/>
      <c r="E39" s="366"/>
      <c r="F39" s="366"/>
      <c r="G39" s="364"/>
      <c r="H39" s="369"/>
      <c r="I39" s="366"/>
      <c r="J39" s="366"/>
      <c r="K39" s="366"/>
      <c r="L39" s="365"/>
      <c r="M39" s="36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5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5"/>
      <c r="B41" s="376"/>
      <c r="C41" s="365"/>
      <c r="D41" s="366"/>
      <c r="E41" s="366"/>
      <c r="F41" s="366"/>
      <c r="G41" s="364"/>
      <c r="H41" s="369"/>
      <c r="I41" s="366"/>
      <c r="J41" s="366"/>
      <c r="K41" s="366"/>
      <c r="L41" s="365"/>
      <c r="M41" s="36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5"/>
      <c r="B42" s="376"/>
      <c r="C42" s="365"/>
      <c r="D42" s="366"/>
      <c r="E42" s="366"/>
      <c r="F42" s="366"/>
      <c r="G42" s="364"/>
      <c r="H42" s="369"/>
      <c r="I42" s="366"/>
      <c r="J42" s="366"/>
      <c r="K42" s="366"/>
      <c r="L42" s="365"/>
      <c r="M42" s="365"/>
      <c r="O42" s="847" t="s">
        <v>78</v>
      </c>
      <c r="P42" s="84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5"/>
      <c r="B43" s="364"/>
      <c r="C43" s="365"/>
      <c r="D43" s="366"/>
      <c r="E43" s="366"/>
      <c r="F43" s="366"/>
      <c r="G43" s="364"/>
      <c r="H43" s="369"/>
      <c r="I43" s="366"/>
      <c r="J43" s="366"/>
      <c r="K43" s="366"/>
      <c r="L43" s="365"/>
      <c r="M43" s="365"/>
      <c r="O43" s="81">
        <v>1.1000000000000001</v>
      </c>
      <c r="P43" s="81">
        <f>O43*$Q$4</f>
        <v>44.88</v>
      </c>
      <c r="Q43" s="2"/>
      <c r="T43" s="135" t="s">
        <v>97</v>
      </c>
      <c r="U43" s="354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5"/>
      <c r="B44" s="364"/>
      <c r="C44" s="365"/>
      <c r="D44" s="366"/>
      <c r="E44" s="366"/>
      <c r="F44" s="366"/>
      <c r="G44" s="364"/>
      <c r="H44" s="369"/>
      <c r="I44" s="366"/>
      <c r="J44" s="366"/>
      <c r="K44" s="366"/>
      <c r="L44" s="365"/>
      <c r="M44" s="365"/>
      <c r="O44" s="81">
        <v>1.0900000000000001</v>
      </c>
      <c r="P44" s="81">
        <f t="shared" ref="P44:P63" si="3">O44*$Q$4</f>
        <v>44.472000000000001</v>
      </c>
      <c r="Q44" s="2"/>
      <c r="T44" s="106" t="s">
        <v>98</v>
      </c>
      <c r="U44" s="355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5"/>
      <c r="I45" s="365"/>
      <c r="J45" s="365"/>
      <c r="K45" s="366"/>
      <c r="L45" s="365"/>
      <c r="M45" s="365"/>
      <c r="O45" s="81">
        <v>1.08</v>
      </c>
      <c r="P45" s="81">
        <f t="shared" si="3"/>
        <v>44.064</v>
      </c>
      <c r="Q45" s="2"/>
      <c r="T45" s="106" t="s">
        <v>99</v>
      </c>
      <c r="U45" s="355" t="s">
        <v>566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5"/>
      <c r="I46" s="365"/>
      <c r="J46" s="365"/>
      <c r="K46" s="366"/>
      <c r="L46" s="365"/>
      <c r="M46" s="365"/>
      <c r="O46" s="81">
        <v>1.07</v>
      </c>
      <c r="P46" s="81">
        <f t="shared" si="3"/>
        <v>43.655999999999999</v>
      </c>
      <c r="Q46" s="2"/>
      <c r="T46" s="106" t="s">
        <v>100</v>
      </c>
      <c r="U46" s="355" t="s">
        <v>567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5"/>
      <c r="I47" s="365"/>
      <c r="J47" s="365"/>
      <c r="K47" s="366"/>
      <c r="L47" s="365"/>
      <c r="M47" s="365"/>
      <c r="O47" s="81">
        <v>1.06</v>
      </c>
      <c r="P47" s="81">
        <f t="shared" si="3"/>
        <v>43.247999999999998</v>
      </c>
      <c r="Q47" s="2"/>
      <c r="T47" s="106" t="s">
        <v>101</v>
      </c>
      <c r="U47" s="355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5"/>
      <c r="B48" s="364"/>
      <c r="C48" s="365"/>
      <c r="D48" s="366"/>
      <c r="E48" s="366"/>
      <c r="F48" s="366"/>
      <c r="G48" s="364"/>
      <c r="H48" s="365"/>
      <c r="I48" s="366"/>
      <c r="J48" s="365"/>
      <c r="K48" s="366"/>
      <c r="L48" s="365"/>
      <c r="M48" s="365"/>
      <c r="O48" s="81">
        <v>1.05</v>
      </c>
      <c r="P48" s="81">
        <f t="shared" si="3"/>
        <v>42.839999999999996</v>
      </c>
      <c r="Q48" s="2"/>
      <c r="T48" s="106" t="s">
        <v>102</v>
      </c>
      <c r="U48" s="355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5"/>
      <c r="B49" s="364"/>
      <c r="C49" s="365"/>
      <c r="D49" s="366"/>
      <c r="E49" s="366"/>
      <c r="F49" s="366"/>
      <c r="G49" s="364"/>
      <c r="H49" s="365"/>
      <c r="I49" s="365"/>
      <c r="J49" s="365"/>
      <c r="K49" s="366"/>
      <c r="L49" s="365"/>
      <c r="M49" s="365"/>
      <c r="O49" s="81">
        <v>1.04</v>
      </c>
      <c r="P49" s="81">
        <f t="shared" si="3"/>
        <v>42.431999999999995</v>
      </c>
      <c r="Q49" s="2"/>
      <c r="T49" s="106" t="s">
        <v>121</v>
      </c>
      <c r="U49" s="355" t="s">
        <v>427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5"/>
      <c r="B50" s="365"/>
      <c r="C50" s="365"/>
      <c r="D50" s="366"/>
      <c r="E50" s="366"/>
      <c r="F50" s="366"/>
      <c r="G50" s="364"/>
      <c r="H50" s="365"/>
      <c r="I50" s="365"/>
      <c r="J50" s="365"/>
      <c r="K50" s="366"/>
      <c r="L50" s="365"/>
      <c r="M50" s="365"/>
      <c r="O50" s="81">
        <v>1.03</v>
      </c>
      <c r="P50" s="81">
        <f t="shared" si="3"/>
        <v>42.024000000000001</v>
      </c>
      <c r="Q50" s="2"/>
      <c r="T50" s="106"/>
      <c r="U50" s="355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5"/>
      <c r="B51" s="365"/>
      <c r="C51" s="365"/>
      <c r="D51" s="366"/>
      <c r="E51" s="366"/>
      <c r="F51" s="366"/>
      <c r="G51" s="364"/>
      <c r="H51" s="365"/>
      <c r="I51" s="365"/>
      <c r="J51" s="365"/>
      <c r="K51" s="366"/>
      <c r="L51" s="365"/>
      <c r="M51" s="365"/>
      <c r="O51" s="81">
        <v>1.02</v>
      </c>
      <c r="P51" s="81">
        <f t="shared" si="3"/>
        <v>41.616</v>
      </c>
      <c r="Q51" s="2"/>
      <c r="T51" s="106" t="s">
        <v>104</v>
      </c>
      <c r="U51" s="355" t="s">
        <v>568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5"/>
      <c r="B52" s="365"/>
      <c r="C52" s="365"/>
      <c r="D52" s="366"/>
      <c r="E52" s="366"/>
      <c r="F52" s="366"/>
      <c r="G52" s="364"/>
      <c r="H52" s="365"/>
      <c r="I52" s="365"/>
      <c r="J52" s="365"/>
      <c r="K52" s="366"/>
      <c r="L52" s="365"/>
      <c r="M52" s="365"/>
      <c r="O52" s="81">
        <v>1.01</v>
      </c>
      <c r="P52" s="81">
        <f t="shared" si="3"/>
        <v>41.207999999999998</v>
      </c>
      <c r="Q52" s="2"/>
      <c r="T52" s="106" t="s">
        <v>105</v>
      </c>
      <c r="U52" s="355" t="s">
        <v>417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40.799999999999997</v>
      </c>
      <c r="Q53" s="2"/>
      <c r="T53" s="106" t="s">
        <v>106</v>
      </c>
      <c r="U53" s="356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40.391999999999996</v>
      </c>
      <c r="Q54" s="2"/>
      <c r="T54" s="106" t="s">
        <v>109</v>
      </c>
      <c r="U54" s="356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5" t="s">
        <v>113</v>
      </c>
      <c r="C55" s="185" t="s">
        <v>146</v>
      </c>
      <c r="D55" s="186" t="s">
        <v>145</v>
      </c>
      <c r="E55" s="188" t="s">
        <v>147</v>
      </c>
      <c r="F55" s="189" t="s">
        <v>65</v>
      </c>
      <c r="G55" s="223" t="s">
        <v>151</v>
      </c>
      <c r="H55" s="189" t="s">
        <v>88</v>
      </c>
      <c r="I55" s="189" t="s">
        <v>154</v>
      </c>
      <c r="O55" s="81">
        <v>0.98</v>
      </c>
      <c r="P55" s="81">
        <f t="shared" si="3"/>
        <v>39.983999999999995</v>
      </c>
      <c r="Q55" s="2"/>
      <c r="T55" s="106" t="s">
        <v>107</v>
      </c>
      <c r="U55" s="355" t="s">
        <v>569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7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5">
        <f>(E56-D56)/D56</f>
        <v>7.241830065359485E-2</v>
      </c>
      <c r="I56" s="225"/>
      <c r="O56" s="81">
        <v>0.97</v>
      </c>
      <c r="P56" s="81">
        <f t="shared" si="3"/>
        <v>39.575999999999993</v>
      </c>
      <c r="T56" s="106" t="s">
        <v>110</v>
      </c>
      <c r="U56" s="355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7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5">
        <f>(E57-D57)/D57</f>
        <v>9.9084967320261411E-2</v>
      </c>
      <c r="I57" s="225"/>
      <c r="O57" s="81">
        <v>0.96</v>
      </c>
      <c r="P57" s="81">
        <f t="shared" si="3"/>
        <v>39.167999999999999</v>
      </c>
      <c r="T57" s="106" t="s">
        <v>111</v>
      </c>
      <c r="U57" s="355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7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5">
        <f>(E58-D58)/D58</f>
        <v>0.21620915032679747</v>
      </c>
      <c r="I58" s="225"/>
      <c r="O58" s="81">
        <v>0.95</v>
      </c>
      <c r="P58" s="81">
        <f t="shared" si="3"/>
        <v>38.76</v>
      </c>
      <c r="T58" s="106" t="s">
        <v>108</v>
      </c>
      <c r="U58" s="355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7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5">
        <f>(E59-D59)/D59</f>
        <v>0.4431538190777895</v>
      </c>
      <c r="I59" s="225"/>
      <c r="O59" s="81">
        <v>0.94</v>
      </c>
      <c r="P59" s="81">
        <f t="shared" si="3"/>
        <v>38.351999999999997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7">
        <v>42544</v>
      </c>
      <c r="C60" s="10">
        <v>0</v>
      </c>
      <c r="D60" s="39"/>
      <c r="E60" s="39">
        <v>46.16</v>
      </c>
      <c r="F60" s="39">
        <v>439.78</v>
      </c>
      <c r="G60" s="39"/>
      <c r="H60" s="225"/>
      <c r="I60" s="225"/>
      <c r="O60" s="81">
        <v>0.93</v>
      </c>
      <c r="P60" s="81">
        <f t="shared" si="3"/>
        <v>37.944000000000003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7"/>
      <c r="C61" s="10"/>
      <c r="D61" s="39"/>
      <c r="E61" s="39"/>
      <c r="F61" s="39"/>
      <c r="G61" s="39"/>
      <c r="H61" s="225"/>
      <c r="I61" s="225"/>
      <c r="O61" s="81">
        <v>0.92</v>
      </c>
      <c r="P61" s="81">
        <f t="shared" si="3"/>
        <v>37.536000000000001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7"/>
      <c r="C62" s="10"/>
      <c r="D62" s="39"/>
      <c r="E62" s="39"/>
      <c r="F62" s="39"/>
      <c r="G62" s="39"/>
      <c r="H62" s="225"/>
      <c r="I62" s="225"/>
      <c r="O62" s="81">
        <v>0.91</v>
      </c>
      <c r="P62" s="81">
        <f t="shared" si="3"/>
        <v>37.128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7"/>
      <c r="C63" s="10"/>
      <c r="D63" s="39"/>
      <c r="E63" s="39"/>
      <c r="F63" s="39"/>
      <c r="G63" s="39"/>
      <c r="H63" s="225"/>
      <c r="I63" s="225"/>
      <c r="O63" s="81">
        <v>0.9</v>
      </c>
      <c r="P63" s="81">
        <f t="shared" si="3"/>
        <v>36.72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7"/>
      <c r="C64" s="10"/>
      <c r="D64" s="39"/>
      <c r="E64" s="39"/>
      <c r="F64" s="39"/>
      <c r="G64" s="39"/>
      <c r="H64" s="225"/>
      <c r="I64" s="225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225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225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65" priority="29">
      <formula>N19&gt;0</formula>
    </cfRule>
    <cfRule type="expression" dxfId="236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63" priority="23">
      <formula>F22&gt;0</formula>
    </cfRule>
    <cfRule type="expression" dxfId="2362" priority="24">
      <formula>F22&lt;0</formula>
    </cfRule>
  </conditionalFormatting>
  <conditionalFormatting sqref="H22:H31">
    <cfRule type="expression" dxfId="2361" priority="21">
      <formula>H22&gt;0</formula>
    </cfRule>
    <cfRule type="expression" dxfId="2360" priority="22">
      <formula>H22&lt;0</formula>
    </cfRule>
  </conditionalFormatting>
  <conditionalFormatting sqref="I21:J31">
    <cfRule type="expression" dxfId="2359" priority="19">
      <formula>I21&gt;0</formula>
    </cfRule>
    <cfRule type="expression" dxfId="2358" priority="20">
      <formula>I21&lt;0</formula>
    </cfRule>
  </conditionalFormatting>
  <conditionalFormatting sqref="Q8">
    <cfRule type="expression" dxfId="2357" priority="11">
      <formula>Q8&gt;0</formula>
    </cfRule>
    <cfRule type="expression" dxfId="2356" priority="12">
      <formula>Q8&lt;0</formula>
    </cfRule>
  </conditionalFormatting>
  <conditionalFormatting sqref="Q7">
    <cfRule type="expression" dxfId="2355" priority="13">
      <formula>Q7&gt;0</formula>
    </cfRule>
    <cfRule type="expression" dxfId="2354" priority="14">
      <formula>Q7&lt;0</formula>
    </cfRule>
  </conditionalFormatting>
  <conditionalFormatting sqref="F56:F66">
    <cfRule type="expression" dxfId="2353" priority="9">
      <formula>F56&gt;0</formula>
    </cfRule>
    <cfRule type="expression" dxfId="2352" priority="10">
      <formula>F56&lt;0</formula>
    </cfRule>
  </conditionalFormatting>
  <conditionalFormatting sqref="H56:H66">
    <cfRule type="expression" dxfId="2351" priority="7">
      <formula>H56&gt;0</formula>
    </cfRule>
    <cfRule type="expression" dxfId="2350" priority="8">
      <formula>H56&lt;0</formula>
    </cfRule>
  </conditionalFormatting>
  <conditionalFormatting sqref="I56:I66">
    <cfRule type="expression" dxfId="2349" priority="5">
      <formula>I56&gt;0</formula>
    </cfRule>
    <cfRule type="expression" dxfId="2348" priority="6">
      <formula>I56&lt;0</formula>
    </cfRule>
  </conditionalFormatting>
  <conditionalFormatting sqref="F21">
    <cfRule type="expression" dxfId="2347" priority="3">
      <formula>F21&gt;0</formula>
    </cfRule>
    <cfRule type="expression" dxfId="2346" priority="4">
      <formula>F21&lt;0</formula>
    </cfRule>
  </conditionalFormatting>
  <conditionalFormatting sqref="H21">
    <cfRule type="expression" dxfId="2345" priority="1">
      <formula>H21&gt;0</formula>
    </cfRule>
    <cfRule type="expression" dxfId="234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37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7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37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7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4">
        <f>IF(Q2=0, Q4, (F22-K22-M22)/Q2)</f>
        <v>52.753959999999992</v>
      </c>
      <c r="T3" s="1">
        <v>43112</v>
      </c>
      <c r="U3" t="s">
        <v>902</v>
      </c>
      <c r="X3" s="1"/>
      <c r="AB3" s="228"/>
      <c r="AE3" s="228"/>
    </row>
    <row r="4" spans="1:31" x14ac:dyDescent="0.25">
      <c r="B4" s="437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7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39.630000000000003</v>
      </c>
      <c r="R4" s="225">
        <v>4.3E-3</v>
      </c>
      <c r="T4" s="1">
        <v>43114</v>
      </c>
      <c r="U4" t="s">
        <v>901</v>
      </c>
      <c r="AB4" s="228"/>
      <c r="AE4" s="228"/>
    </row>
    <row r="5" spans="1:31" x14ac:dyDescent="0.25">
      <c r="B5" s="437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7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9907.5</v>
      </c>
      <c r="T5" s="1">
        <v>43117</v>
      </c>
      <c r="U5" t="s">
        <v>913</v>
      </c>
      <c r="AB5" s="228"/>
      <c r="AE5" s="228"/>
    </row>
    <row r="6" spans="1:31" x14ac:dyDescent="0.25">
      <c r="B6" s="437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7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8"/>
      <c r="AE6" s="228"/>
    </row>
    <row r="7" spans="1:31" x14ac:dyDescent="0.25">
      <c r="A7" t="s">
        <v>799</v>
      </c>
      <c r="B7" s="437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7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-2123.1200000000026</v>
      </c>
      <c r="R7">
        <v>250</v>
      </c>
      <c r="AB7" s="228"/>
      <c r="AE7" s="228"/>
    </row>
    <row r="8" spans="1:31" x14ac:dyDescent="0.25">
      <c r="B8" s="437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7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-3280.989999999998</v>
      </c>
      <c r="T8" s="779">
        <v>43173</v>
      </c>
      <c r="U8" t="s">
        <v>978</v>
      </c>
      <c r="AB8" s="228"/>
      <c r="AE8" s="228"/>
    </row>
    <row r="9" spans="1:31" x14ac:dyDescent="0.25">
      <c r="B9" s="437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9"/>
      <c r="I9" s="3"/>
      <c r="J9" s="3"/>
      <c r="K9" s="3"/>
      <c r="L9" s="4"/>
      <c r="M9" s="4"/>
      <c r="O9" s="11" t="s">
        <v>210</v>
      </c>
      <c r="Q9" s="225">
        <f>IF(Q2=0, 0, Q8/Q6)</f>
        <v>-0.24877677429334202</v>
      </c>
      <c r="T9" s="153"/>
      <c r="U9" t="s">
        <v>1006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1004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9"/>
      <c r="I11" s="4"/>
      <c r="J11" s="4"/>
      <c r="K11" s="3"/>
      <c r="L11" s="4"/>
      <c r="M11" s="4"/>
      <c r="O11" s="11" t="s">
        <v>176</v>
      </c>
      <c r="P11" s="33"/>
      <c r="Q11" s="134">
        <f>R11*4/Q4</f>
        <v>3.1289427201614935E-2</v>
      </c>
      <c r="R11" s="33">
        <v>0.31</v>
      </c>
      <c r="U11" t="s">
        <v>1005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9"/>
      <c r="I12" s="4"/>
      <c r="J12" s="4"/>
      <c r="K12" s="3"/>
      <c r="L12" s="4"/>
      <c r="M12" s="4"/>
      <c r="O12" s="11" t="s">
        <v>968</v>
      </c>
      <c r="Q12" s="1"/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9"/>
      <c r="I13" s="3"/>
      <c r="J13" s="4"/>
      <c r="K13" s="3"/>
      <c r="L13" s="4"/>
      <c r="M13" s="4"/>
      <c r="O13" s="11" t="s">
        <v>997</v>
      </c>
      <c r="Q13">
        <f>Q4/4</f>
        <v>9.9075000000000006</v>
      </c>
    </row>
    <row r="14" spans="1:31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9"/>
      <c r="I15" s="4"/>
      <c r="J15" s="4"/>
      <c r="K15" s="3"/>
      <c r="L15" s="4"/>
      <c r="M15" s="4"/>
      <c r="O15" s="415"/>
      <c r="P15" s="415"/>
      <c r="Q15" s="415"/>
      <c r="R15" s="415"/>
      <c r="S15" s="415"/>
      <c r="T15" s="415"/>
      <c r="U15" s="415"/>
      <c r="V15" s="415"/>
      <c r="W15" s="772"/>
    </row>
    <row r="16" spans="1:31" x14ac:dyDescent="0.25">
      <c r="B16" s="72"/>
      <c r="C16" s="4"/>
      <c r="D16" s="3"/>
      <c r="E16" s="3"/>
      <c r="F16" s="3"/>
      <c r="G16" s="72"/>
      <c r="H16" s="179"/>
      <c r="I16" s="4"/>
      <c r="J16" s="4"/>
      <c r="K16" s="3"/>
      <c r="L16" s="4"/>
      <c r="M16" s="4"/>
      <c r="O16" s="773"/>
      <c r="P16" s="4"/>
      <c r="Q16" s="4"/>
      <c r="R16" s="234"/>
      <c r="S16" s="234"/>
      <c r="T16" s="4"/>
      <c r="U16" s="4"/>
      <c r="V16" s="4"/>
      <c r="W16" s="278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4"/>
      <c r="P17" s="4"/>
      <c r="Q17" s="4"/>
      <c r="R17" s="234"/>
      <c r="S17" s="4"/>
      <c r="T17" s="4"/>
      <c r="U17" s="4"/>
      <c r="V17" s="4"/>
      <c r="W17" s="278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8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8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8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8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8"/>
    </row>
    <row r="23" spans="1:23" ht="15.75" thickBot="1" x14ac:dyDescent="0.3">
      <c r="A23" s="344" t="s">
        <v>194</v>
      </c>
      <c r="B23" s="345"/>
      <c r="C23" s="346">
        <f>SumByColor($A$23,C2:C21)</f>
        <v>400</v>
      </c>
      <c r="D23" s="346"/>
      <c r="E23" s="346"/>
      <c r="F23" s="347">
        <f>SumByColor($A$23,F2:F21)</f>
        <v>20082</v>
      </c>
      <c r="G23" s="346"/>
      <c r="H23" s="346">
        <f>SumByColor($A$23,H2:H21)</f>
        <v>400</v>
      </c>
      <c r="I23" s="346"/>
      <c r="J23" s="346"/>
      <c r="K23" s="347">
        <f>SumByColor($A$23,K2:K21)</f>
        <v>20813</v>
      </c>
      <c r="L23" s="346"/>
      <c r="M23" s="347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8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8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8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8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7" t="s">
        <v>113</v>
      </c>
      <c r="C28" s="487" t="s">
        <v>146</v>
      </c>
      <c r="D28" s="488" t="s">
        <v>145</v>
      </c>
      <c r="E28" s="489" t="s">
        <v>147</v>
      </c>
      <c r="F28" s="490" t="s">
        <v>65</v>
      </c>
      <c r="G28" s="491" t="s">
        <v>151</v>
      </c>
      <c r="H28" s="490" t="s">
        <v>88</v>
      </c>
      <c r="I28" s="490" t="s">
        <v>154</v>
      </c>
      <c r="J28" s="490" t="s">
        <v>150</v>
      </c>
      <c r="K28" s="490" t="s">
        <v>997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7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5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7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5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7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5">
        <f t="shared" ref="H31" si="10">(E31-D31)/D31</f>
        <v>6.1528217901136786E-3</v>
      </c>
      <c r="I31" s="196" t="s">
        <v>770</v>
      </c>
      <c r="J31" s="39">
        <v>1198</v>
      </c>
      <c r="K31" s="39"/>
    </row>
    <row r="32" spans="1:23" x14ac:dyDescent="0.25">
      <c r="B32" s="187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5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7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5">
        <f t="shared" si="13"/>
        <v>2.4372239668697671E-2</v>
      </c>
      <c r="I33" s="196" t="s">
        <v>772</v>
      </c>
      <c r="J33" s="39">
        <v>1314</v>
      </c>
      <c r="K33" s="39"/>
    </row>
    <row r="34" spans="1:17" x14ac:dyDescent="0.25">
      <c r="B34" s="187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5">
        <f t="shared" si="13"/>
        <v>0.10807006568658112</v>
      </c>
      <c r="I34" s="10"/>
      <c r="J34" s="39">
        <v>1849</v>
      </c>
      <c r="K34" s="39"/>
    </row>
    <row r="35" spans="1:17" x14ac:dyDescent="0.25">
      <c r="B35" s="187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5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7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5">
        <f t="shared" si="13"/>
        <v>-0.16448936231301498</v>
      </c>
      <c r="I36" s="127" t="s">
        <v>784</v>
      </c>
      <c r="J36" s="39">
        <v>127</v>
      </c>
      <c r="K36" s="39"/>
    </row>
    <row r="37" spans="1:17" x14ac:dyDescent="0.25">
      <c r="A37">
        <v>50</v>
      </c>
      <c r="B37" s="187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5">
        <f t="shared" ref="H37:H38" si="16">(E37-D37)/D37</f>
        <v>-0.1665891873002234</v>
      </c>
      <c r="I37" s="196">
        <v>62.2</v>
      </c>
      <c r="J37" s="39">
        <v>119</v>
      </c>
      <c r="K37" s="39"/>
    </row>
    <row r="38" spans="1:17" x14ac:dyDescent="0.25">
      <c r="A38">
        <v>100</v>
      </c>
      <c r="B38" s="187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5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7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5">
        <f t="shared" ref="H39:H51" si="19">(E39-D39)/D39</f>
        <v>-8.736774607245916E-2</v>
      </c>
      <c r="I39" s="10"/>
      <c r="J39" s="39">
        <v>613</v>
      </c>
      <c r="K39" s="39"/>
      <c r="O39" s="676" t="s">
        <v>78</v>
      </c>
      <c r="P39" s="676"/>
    </row>
    <row r="40" spans="1:17" ht="15.75" thickTop="1" x14ac:dyDescent="0.25">
      <c r="B40" s="187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5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43.593000000000004</v>
      </c>
    </row>
    <row r="41" spans="1:17" x14ac:dyDescent="0.25">
      <c r="A41">
        <v>100</v>
      </c>
      <c r="B41" s="187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5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43.196700000000007</v>
      </c>
    </row>
    <row r="42" spans="1:17" x14ac:dyDescent="0.25">
      <c r="A42">
        <v>100</v>
      </c>
      <c r="B42" s="187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5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42.800400000000003</v>
      </c>
    </row>
    <row r="43" spans="1:17" x14ac:dyDescent="0.25">
      <c r="B43" s="187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5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42.404100000000007</v>
      </c>
      <c r="Q43" s="2"/>
    </row>
    <row r="44" spans="1:17" x14ac:dyDescent="0.25">
      <c r="A44">
        <v>50</v>
      </c>
      <c r="B44" s="187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5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42.007800000000003</v>
      </c>
      <c r="Q44" s="2"/>
    </row>
    <row r="45" spans="1:17" x14ac:dyDescent="0.25">
      <c r="A45">
        <v>50</v>
      </c>
      <c r="B45" s="187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5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41.611500000000007</v>
      </c>
      <c r="Q45" s="2"/>
    </row>
    <row r="46" spans="1:17" x14ac:dyDescent="0.25">
      <c r="A46">
        <v>0</v>
      </c>
      <c r="B46" s="187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5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41.215200000000003</v>
      </c>
      <c r="Q46" s="2"/>
    </row>
    <row r="47" spans="1:17" x14ac:dyDescent="0.25">
      <c r="B47" s="187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5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40.818900000000006</v>
      </c>
      <c r="Q47" s="2"/>
    </row>
    <row r="48" spans="1:17" x14ac:dyDescent="0.25">
      <c r="A48">
        <v>0</v>
      </c>
      <c r="B48" s="187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5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40.422600000000003</v>
      </c>
      <c r="Q48" s="2"/>
    </row>
    <row r="49" spans="1:17" x14ac:dyDescent="0.25">
      <c r="A49">
        <v>0</v>
      </c>
      <c r="B49" s="187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5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40.026300000000006</v>
      </c>
      <c r="Q49" s="2"/>
    </row>
    <row r="50" spans="1:17" x14ac:dyDescent="0.25">
      <c r="B50" s="187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5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39.630000000000003</v>
      </c>
      <c r="Q50" s="2"/>
    </row>
    <row r="51" spans="1:17" x14ac:dyDescent="0.25">
      <c r="A51">
        <v>0</v>
      </c>
      <c r="B51" s="187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5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39.233699999999999</v>
      </c>
      <c r="Q51" s="2"/>
    </row>
    <row r="52" spans="1:17" x14ac:dyDescent="0.25">
      <c r="B52" s="187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5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38.837400000000002</v>
      </c>
      <c r="Q52" s="2"/>
    </row>
    <row r="53" spans="1:17" x14ac:dyDescent="0.25">
      <c r="B53" s="187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5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38.441099999999999</v>
      </c>
      <c r="Q53" s="2"/>
    </row>
    <row r="54" spans="1:17" x14ac:dyDescent="0.25">
      <c r="B54" s="187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5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38.044800000000002</v>
      </c>
      <c r="Q54" s="2"/>
    </row>
    <row r="55" spans="1:17" x14ac:dyDescent="0.25">
      <c r="B55" s="187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5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37.648499999999999</v>
      </c>
      <c r="Q55" s="2"/>
    </row>
    <row r="56" spans="1:17" x14ac:dyDescent="0.25">
      <c r="B56" s="187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5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37.252200000000002</v>
      </c>
    </row>
    <row r="57" spans="1:17" x14ac:dyDescent="0.25">
      <c r="A57">
        <v>150</v>
      </c>
      <c r="B57" s="187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5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36.855900000000005</v>
      </c>
    </row>
    <row r="58" spans="1:17" x14ac:dyDescent="0.25">
      <c r="B58" s="187"/>
      <c r="C58" s="10"/>
      <c r="D58" s="39"/>
      <c r="E58" s="39"/>
      <c r="F58" s="39"/>
      <c r="G58" s="39"/>
      <c r="H58" s="225"/>
      <c r="I58" s="10"/>
      <c r="J58" s="39"/>
      <c r="K58" s="39"/>
      <c r="O58" s="81">
        <v>0.92</v>
      </c>
      <c r="P58" s="81">
        <f t="shared" si="20"/>
        <v>36.459600000000002</v>
      </c>
    </row>
    <row r="59" spans="1:17" x14ac:dyDescent="0.25">
      <c r="A59" s="1"/>
      <c r="B59" s="187"/>
      <c r="C59" s="10"/>
      <c r="D59" s="39"/>
      <c r="E59" s="39"/>
      <c r="F59" s="39"/>
      <c r="G59" s="39"/>
      <c r="H59" s="225"/>
      <c r="I59" s="39"/>
      <c r="J59" s="39"/>
      <c r="K59" s="39"/>
      <c r="O59" s="81">
        <v>0.91</v>
      </c>
      <c r="P59" s="81">
        <f t="shared" si="20"/>
        <v>36.063300000000005</v>
      </c>
    </row>
    <row r="60" spans="1:17" x14ac:dyDescent="0.25">
      <c r="B60" s="10"/>
      <c r="C60" s="10"/>
      <c r="D60" s="39"/>
      <c r="E60" s="39"/>
      <c r="F60" s="39"/>
      <c r="G60" s="39"/>
      <c r="H60" s="225"/>
      <c r="I60" s="10"/>
      <c r="J60" s="39"/>
      <c r="K60" s="39"/>
      <c r="O60" s="81">
        <v>0.9</v>
      </c>
      <c r="P60" s="81">
        <f t="shared" si="20"/>
        <v>35.667000000000002</v>
      </c>
    </row>
    <row r="61" spans="1:17" x14ac:dyDescent="0.25">
      <c r="B61" s="10"/>
      <c r="C61" s="10"/>
      <c r="D61" s="39"/>
      <c r="E61" s="39"/>
      <c r="F61" s="39"/>
      <c r="G61" s="39"/>
      <c r="H61" s="225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4">
        <v>42516</v>
      </c>
      <c r="C75" s="365">
        <v>20</v>
      </c>
      <c r="D75" s="366">
        <v>96.2</v>
      </c>
      <c r="E75" s="366">
        <v>97</v>
      </c>
      <c r="F75" s="366">
        <f t="shared" ref="F75:F83" si="30">C75*(E75-D75)</f>
        <v>15.999999999999943</v>
      </c>
      <c r="G75" s="366">
        <f t="shared" ref="G75:G83" si="31">D75*C75</f>
        <v>1924</v>
      </c>
      <c r="H75" s="367">
        <f t="shared" ref="H75:H83" si="32">(E75-D75)/D75</f>
        <v>8.316008316008287E-3</v>
      </c>
      <c r="I75" s="367"/>
    </row>
    <row r="76" spans="2:11" x14ac:dyDescent="0.25">
      <c r="B76" s="364">
        <v>42522</v>
      </c>
      <c r="C76" s="365">
        <v>20</v>
      </c>
      <c r="D76" s="366">
        <v>96.2</v>
      </c>
      <c r="E76" s="366">
        <v>98.73</v>
      </c>
      <c r="F76" s="366">
        <f t="shared" si="30"/>
        <v>50.600000000000023</v>
      </c>
      <c r="G76" s="366">
        <f t="shared" si="31"/>
        <v>1924</v>
      </c>
      <c r="H76" s="367">
        <f t="shared" si="32"/>
        <v>2.6299376299376311E-2</v>
      </c>
      <c r="I76" s="367"/>
    </row>
    <row r="77" spans="2:11" x14ac:dyDescent="0.25">
      <c r="B77" s="364">
        <v>42527</v>
      </c>
      <c r="C77" s="365">
        <v>45</v>
      </c>
      <c r="D77" s="366">
        <v>90.305599999999998</v>
      </c>
      <c r="E77" s="366">
        <v>86.39</v>
      </c>
      <c r="F77" s="366">
        <f t="shared" si="30"/>
        <v>-176.20199999999988</v>
      </c>
      <c r="G77" s="366">
        <f t="shared" si="31"/>
        <v>4063.752</v>
      </c>
      <c r="H77" s="367">
        <f t="shared" si="32"/>
        <v>-4.3359437288495929E-2</v>
      </c>
      <c r="I77" s="368"/>
    </row>
    <row r="78" spans="2:11" x14ac:dyDescent="0.25">
      <c r="B78" s="364">
        <v>42529</v>
      </c>
      <c r="C78" s="365">
        <v>25</v>
      </c>
      <c r="D78" s="366">
        <v>91.3596</v>
      </c>
      <c r="E78" s="366">
        <v>89.31</v>
      </c>
      <c r="F78" s="366">
        <f t="shared" si="30"/>
        <v>-51.239999999999952</v>
      </c>
      <c r="G78" s="366">
        <f t="shared" si="31"/>
        <v>2283.9899999999998</v>
      </c>
      <c r="H78" s="367">
        <f t="shared" si="32"/>
        <v>-2.2434423968581276E-2</v>
      </c>
      <c r="I78" s="367"/>
    </row>
    <row r="79" spans="2:11" x14ac:dyDescent="0.25">
      <c r="B79" s="364">
        <v>42534</v>
      </c>
      <c r="C79" s="365">
        <v>25</v>
      </c>
      <c r="D79" s="366">
        <v>91.3596</v>
      </c>
      <c r="E79" s="366">
        <v>85.51</v>
      </c>
      <c r="F79" s="366">
        <f t="shared" si="30"/>
        <v>-146.2399999999999</v>
      </c>
      <c r="G79" s="366">
        <f t="shared" si="31"/>
        <v>2283.9899999999998</v>
      </c>
      <c r="H79" s="367">
        <f t="shared" si="32"/>
        <v>-6.402830134983073E-2</v>
      </c>
      <c r="I79" s="367"/>
    </row>
    <row r="80" spans="2:11" x14ac:dyDescent="0.25">
      <c r="B80" s="364">
        <v>42535</v>
      </c>
      <c r="C80" s="365">
        <v>50</v>
      </c>
      <c r="D80" s="366">
        <v>87.0548</v>
      </c>
      <c r="E80" s="366">
        <v>83.87</v>
      </c>
      <c r="F80" s="366">
        <f t="shared" si="30"/>
        <v>-159.23999999999978</v>
      </c>
      <c r="G80" s="366">
        <f t="shared" si="31"/>
        <v>4352.74</v>
      </c>
      <c r="H80" s="367">
        <f t="shared" si="32"/>
        <v>-3.6583852929419118E-2</v>
      </c>
      <c r="I80" s="367"/>
    </row>
    <row r="81" spans="2:9" x14ac:dyDescent="0.25">
      <c r="B81" s="364">
        <v>42541</v>
      </c>
      <c r="C81" s="365">
        <v>25</v>
      </c>
      <c r="D81" s="366">
        <v>87.521600000000007</v>
      </c>
      <c r="E81" s="366">
        <v>86.01</v>
      </c>
      <c r="F81" s="366">
        <f t="shared" si="30"/>
        <v>-37.790000000000035</v>
      </c>
      <c r="G81" s="366">
        <f t="shared" si="31"/>
        <v>2188.04</v>
      </c>
      <c r="H81" s="367">
        <f t="shared" si="32"/>
        <v>-1.7271165060967823E-2</v>
      </c>
      <c r="I81" s="367"/>
    </row>
    <row r="82" spans="2:9" x14ac:dyDescent="0.25">
      <c r="B82" s="364">
        <v>42546</v>
      </c>
      <c r="C82" s="365">
        <v>25</v>
      </c>
      <c r="D82" s="366">
        <v>87.521600000000007</v>
      </c>
      <c r="E82" s="366">
        <v>82.02</v>
      </c>
      <c r="F82" s="366">
        <f t="shared" si="30"/>
        <v>-137.54000000000025</v>
      </c>
      <c r="G82" s="366">
        <f t="shared" si="31"/>
        <v>2188.04</v>
      </c>
      <c r="H82" s="367">
        <f t="shared" si="32"/>
        <v>-6.285991115336112E-2</v>
      </c>
      <c r="I82" s="367"/>
    </row>
    <row r="83" spans="2:9" x14ac:dyDescent="0.25">
      <c r="B83" s="364">
        <v>42548</v>
      </c>
      <c r="C83" s="365">
        <v>75</v>
      </c>
      <c r="D83" s="366">
        <v>81.493899999999996</v>
      </c>
      <c r="E83" s="366">
        <v>79.260000000000005</v>
      </c>
      <c r="F83" s="366">
        <f t="shared" si="30"/>
        <v>-167.54249999999934</v>
      </c>
      <c r="G83" s="366">
        <f t="shared" si="31"/>
        <v>6112.0424999999996</v>
      </c>
      <c r="H83" s="367">
        <f t="shared" si="32"/>
        <v>-2.7411867636718715E-2</v>
      </c>
      <c r="I83" s="367"/>
    </row>
    <row r="84" spans="2:9" x14ac:dyDescent="0.25">
      <c r="B84" s="364">
        <v>42549</v>
      </c>
      <c r="C84" s="365">
        <v>75</v>
      </c>
      <c r="D84" s="366">
        <v>81.493899999999996</v>
      </c>
      <c r="E84" s="366">
        <v>80.72</v>
      </c>
      <c r="F84" s="366">
        <f t="shared" ref="F84:F96" si="33">C84*(E84-D84)</f>
        <v>-58.042499999999819</v>
      </c>
      <c r="G84" s="366">
        <f t="shared" ref="G84:G96" si="34">D84*C84</f>
        <v>6112.0424999999996</v>
      </c>
      <c r="H84" s="367">
        <f t="shared" ref="H84:H96" si="35">(E84-D84)/D84</f>
        <v>-9.4964162961890114E-3</v>
      </c>
      <c r="I84" s="367"/>
    </row>
    <row r="85" spans="2:9" x14ac:dyDescent="0.25">
      <c r="B85" s="364">
        <v>42552</v>
      </c>
      <c r="C85" s="365">
        <v>55</v>
      </c>
      <c r="D85" s="366">
        <v>80.590500000000006</v>
      </c>
      <c r="E85" s="366">
        <v>84.15</v>
      </c>
      <c r="F85" s="366">
        <f t="shared" si="33"/>
        <v>195.77249999999998</v>
      </c>
      <c r="G85" s="366">
        <f t="shared" si="34"/>
        <v>4432.4775</v>
      </c>
      <c r="H85" s="367">
        <f t="shared" si="35"/>
        <v>4.4167736892065435E-2</v>
      </c>
      <c r="I85" s="367"/>
    </row>
    <row r="86" spans="2:9" x14ac:dyDescent="0.25">
      <c r="B86" s="364">
        <v>42556</v>
      </c>
      <c r="C86" s="365">
        <v>55</v>
      </c>
      <c r="D86" s="366">
        <v>80.590500000000006</v>
      </c>
      <c r="E86" s="366">
        <v>81.290000000000006</v>
      </c>
      <c r="F86" s="366">
        <f t="shared" si="33"/>
        <v>38.472500000000025</v>
      </c>
      <c r="G86" s="366">
        <f t="shared" si="34"/>
        <v>4432.4775</v>
      </c>
      <c r="H86" s="367">
        <f t="shared" si="35"/>
        <v>8.6796830891978632E-3</v>
      </c>
      <c r="I86" s="367"/>
    </row>
    <row r="87" spans="2:9" x14ac:dyDescent="0.25">
      <c r="B87" s="364">
        <v>42563</v>
      </c>
      <c r="C87" s="365">
        <v>55</v>
      </c>
      <c r="D87" s="366">
        <v>80.590500000000006</v>
      </c>
      <c r="E87" s="366">
        <v>89.07</v>
      </c>
      <c r="F87" s="366">
        <f t="shared" si="33"/>
        <v>466.37249999999932</v>
      </c>
      <c r="G87" s="366">
        <f t="shared" si="34"/>
        <v>4432.4775</v>
      </c>
      <c r="H87" s="367">
        <f t="shared" si="35"/>
        <v>0.10521711616133399</v>
      </c>
      <c r="I87" s="367"/>
    </row>
    <row r="88" spans="2:9" x14ac:dyDescent="0.25">
      <c r="B88" s="364">
        <v>42566</v>
      </c>
      <c r="C88" s="365">
        <v>55</v>
      </c>
      <c r="D88" s="366">
        <v>80.590500000000006</v>
      </c>
      <c r="E88" s="366">
        <v>90.34</v>
      </c>
      <c r="F88" s="366">
        <f t="shared" si="33"/>
        <v>536.22249999999985</v>
      </c>
      <c r="G88" s="366">
        <f t="shared" si="34"/>
        <v>4432.4775</v>
      </c>
      <c r="H88" s="367">
        <f t="shared" si="35"/>
        <v>0.12097579739547462</v>
      </c>
      <c r="I88" s="367"/>
    </row>
    <row r="89" spans="2:9" x14ac:dyDescent="0.25">
      <c r="B89" s="364">
        <v>42569</v>
      </c>
      <c r="C89" s="365">
        <v>50</v>
      </c>
      <c r="D89" s="366">
        <v>79.449799999999996</v>
      </c>
      <c r="E89" s="366">
        <v>92.26</v>
      </c>
      <c r="F89" s="366">
        <f t="shared" si="33"/>
        <v>640.51000000000045</v>
      </c>
      <c r="G89" s="366">
        <f t="shared" si="34"/>
        <v>3972.49</v>
      </c>
      <c r="H89" s="367">
        <f t="shared" si="35"/>
        <v>0.16123640336413697</v>
      </c>
      <c r="I89" s="367"/>
    </row>
    <row r="90" spans="2:9" x14ac:dyDescent="0.25">
      <c r="B90" s="364">
        <v>42570</v>
      </c>
      <c r="C90" s="365">
        <v>50</v>
      </c>
      <c r="D90" s="366">
        <v>79.449799999999996</v>
      </c>
      <c r="E90" s="366">
        <v>90.39</v>
      </c>
      <c r="F90" s="366">
        <f t="shared" si="33"/>
        <v>547.01000000000022</v>
      </c>
      <c r="G90" s="366">
        <f t="shared" si="34"/>
        <v>3972.49</v>
      </c>
      <c r="H90" s="367">
        <f t="shared" si="35"/>
        <v>0.13769952850730907</v>
      </c>
      <c r="I90" s="367"/>
    </row>
    <row r="91" spans="2:9" x14ac:dyDescent="0.25">
      <c r="B91" s="364">
        <v>42571</v>
      </c>
      <c r="C91" s="365">
        <v>50</v>
      </c>
      <c r="D91" s="366">
        <v>79.449799999999996</v>
      </c>
      <c r="E91" s="366">
        <v>89.55</v>
      </c>
      <c r="F91" s="366">
        <f t="shared" si="33"/>
        <v>505.01000000000005</v>
      </c>
      <c r="G91" s="366">
        <f t="shared" si="34"/>
        <v>3972.49</v>
      </c>
      <c r="H91" s="367">
        <f t="shared" si="35"/>
        <v>0.12712681466787834</v>
      </c>
      <c r="I91" s="367"/>
    </row>
    <row r="92" spans="2:9" x14ac:dyDescent="0.25">
      <c r="B92" s="364">
        <v>42572</v>
      </c>
      <c r="C92" s="365">
        <v>50</v>
      </c>
      <c r="D92" s="366">
        <v>79.449799999999996</v>
      </c>
      <c r="E92" s="366">
        <v>87.46</v>
      </c>
      <c r="F92" s="366">
        <f t="shared" si="33"/>
        <v>400.50999999999988</v>
      </c>
      <c r="G92" s="366">
        <f t="shared" si="34"/>
        <v>3972.49</v>
      </c>
      <c r="H92" s="367">
        <f t="shared" si="35"/>
        <v>0.1008208957102472</v>
      </c>
      <c r="I92" s="367"/>
    </row>
    <row r="93" spans="2:9" x14ac:dyDescent="0.25">
      <c r="B93" s="364">
        <v>42575</v>
      </c>
      <c r="C93" s="365">
        <v>50</v>
      </c>
      <c r="D93" s="366">
        <v>79.449799999999996</v>
      </c>
      <c r="E93" s="366">
        <v>89.53</v>
      </c>
      <c r="F93" s="366">
        <f t="shared" si="33"/>
        <v>504.01000000000022</v>
      </c>
      <c r="G93" s="366">
        <f t="shared" si="34"/>
        <v>3972.49</v>
      </c>
      <c r="H93" s="367">
        <f t="shared" si="35"/>
        <v>0.12687508338598719</v>
      </c>
      <c r="I93" s="367"/>
    </row>
    <row r="94" spans="2:9" x14ac:dyDescent="0.25">
      <c r="B94" s="364">
        <v>42576</v>
      </c>
      <c r="C94" s="365">
        <v>50</v>
      </c>
      <c r="D94" s="366">
        <v>79.449799999999996</v>
      </c>
      <c r="E94" s="366">
        <v>88.86</v>
      </c>
      <c r="F94" s="366">
        <f t="shared" si="33"/>
        <v>470.51000000000016</v>
      </c>
      <c r="G94" s="366">
        <f t="shared" si="34"/>
        <v>3972.49</v>
      </c>
      <c r="H94" s="367">
        <f t="shared" si="35"/>
        <v>0.11844208544263174</v>
      </c>
      <c r="I94" s="367"/>
    </row>
    <row r="95" spans="2:9" x14ac:dyDescent="0.25">
      <c r="B95" s="364">
        <v>42577</v>
      </c>
      <c r="C95" s="365">
        <v>50</v>
      </c>
      <c r="D95" s="366">
        <v>79.449799999999996</v>
      </c>
      <c r="E95" s="366">
        <v>89.46</v>
      </c>
      <c r="F95" s="366">
        <f t="shared" si="33"/>
        <v>500.50999999999988</v>
      </c>
      <c r="G95" s="366">
        <f t="shared" si="34"/>
        <v>3972.49</v>
      </c>
      <c r="H95" s="367">
        <f t="shared" si="35"/>
        <v>0.12599402389936787</v>
      </c>
      <c r="I95" s="367"/>
    </row>
    <row r="96" spans="2:9" x14ac:dyDescent="0.25">
      <c r="B96" s="364">
        <v>42580</v>
      </c>
      <c r="C96" s="365">
        <v>30</v>
      </c>
      <c r="D96" s="366">
        <v>73.937700000000007</v>
      </c>
      <c r="E96" s="366">
        <v>87.72</v>
      </c>
      <c r="F96" s="366">
        <f t="shared" si="33"/>
        <v>413.46899999999977</v>
      </c>
      <c r="G96" s="366">
        <f t="shared" si="34"/>
        <v>2218.1310000000003</v>
      </c>
      <c r="H96" s="367">
        <f t="shared" si="35"/>
        <v>0.18640422950673324</v>
      </c>
      <c r="I96" s="367"/>
    </row>
    <row r="97" spans="2:9" x14ac:dyDescent="0.25">
      <c r="B97" s="364">
        <v>42580</v>
      </c>
      <c r="C97" s="365">
        <v>0</v>
      </c>
      <c r="D97" s="366"/>
      <c r="E97" s="366"/>
      <c r="F97" s="366">
        <v>420.99</v>
      </c>
      <c r="G97" s="366"/>
      <c r="H97" s="367"/>
      <c r="I97" s="367"/>
    </row>
    <row r="98" spans="2:9" x14ac:dyDescent="0.25">
      <c r="B98" s="365"/>
      <c r="C98" s="365"/>
      <c r="D98" s="366"/>
      <c r="E98" s="366"/>
      <c r="F98" s="366"/>
      <c r="G98" s="365"/>
      <c r="H98" s="365"/>
      <c r="I98" s="365"/>
    </row>
    <row r="99" spans="2:9" x14ac:dyDescent="0.25">
      <c r="B99" s="487" t="s">
        <v>113</v>
      </c>
      <c r="C99" s="487" t="s">
        <v>146</v>
      </c>
      <c r="D99" s="488" t="s">
        <v>145</v>
      </c>
      <c r="E99" s="489" t="s">
        <v>147</v>
      </c>
      <c r="F99" s="490" t="s">
        <v>65</v>
      </c>
      <c r="G99" s="491" t="s">
        <v>151</v>
      </c>
      <c r="H99" s="490" t="s">
        <v>88</v>
      </c>
      <c r="I99" s="490" t="s">
        <v>154</v>
      </c>
    </row>
    <row r="100" spans="2:9" x14ac:dyDescent="0.25">
      <c r="B100" s="364">
        <v>42608</v>
      </c>
      <c r="C100" s="365">
        <v>25</v>
      </c>
      <c r="D100" s="366">
        <v>78.95</v>
      </c>
      <c r="E100" s="366">
        <v>80.650000000000006</v>
      </c>
      <c r="F100" s="366">
        <f t="shared" ref="F100:F116" si="36">C100*(E100-D100)</f>
        <v>42.500000000000071</v>
      </c>
      <c r="G100" s="366">
        <f t="shared" ref="G100:G116" si="37">D100*C100</f>
        <v>1973.75</v>
      </c>
      <c r="H100" s="367">
        <f t="shared" ref="H100:H116" si="38">(E100-D100)/D100</f>
        <v>2.1532615579480718E-2</v>
      </c>
      <c r="I100" s="367"/>
    </row>
    <row r="101" spans="2:9" x14ac:dyDescent="0.25">
      <c r="B101" s="364">
        <v>42609</v>
      </c>
      <c r="C101" s="365">
        <v>25</v>
      </c>
      <c r="D101" s="366">
        <v>78.95</v>
      </c>
      <c r="E101" s="366">
        <v>80.180000000000007</v>
      </c>
      <c r="F101" s="366">
        <f t="shared" si="36"/>
        <v>30.750000000000099</v>
      </c>
      <c r="G101" s="366">
        <f t="shared" si="37"/>
        <v>1973.75</v>
      </c>
      <c r="H101" s="367">
        <f t="shared" si="38"/>
        <v>1.5579480683977251E-2</v>
      </c>
      <c r="I101" s="367"/>
    </row>
    <row r="102" spans="2:9" x14ac:dyDescent="0.25">
      <c r="B102" s="364">
        <v>42613</v>
      </c>
      <c r="C102" s="365">
        <v>25</v>
      </c>
      <c r="D102" s="366">
        <v>78.95</v>
      </c>
      <c r="E102" s="366">
        <v>81.98</v>
      </c>
      <c r="F102" s="366">
        <f t="shared" si="36"/>
        <v>75.750000000000028</v>
      </c>
      <c r="G102" s="366">
        <f t="shared" si="37"/>
        <v>1973.75</v>
      </c>
      <c r="H102" s="367">
        <f t="shared" si="38"/>
        <v>3.8378720709309699E-2</v>
      </c>
      <c r="I102" s="367"/>
    </row>
    <row r="103" spans="2:9" x14ac:dyDescent="0.25">
      <c r="B103" s="364">
        <v>42619</v>
      </c>
      <c r="C103" s="365">
        <v>25</v>
      </c>
      <c r="D103" s="366">
        <v>78.95</v>
      </c>
      <c r="E103" s="366">
        <v>81.099999999999994</v>
      </c>
      <c r="F103" s="366">
        <f t="shared" si="36"/>
        <v>53.749999999999787</v>
      </c>
      <c r="G103" s="366">
        <f t="shared" si="37"/>
        <v>1973.75</v>
      </c>
      <c r="H103" s="367">
        <f t="shared" si="38"/>
        <v>2.7232425585813697E-2</v>
      </c>
      <c r="I103" s="367"/>
    </row>
    <row r="104" spans="2:9" x14ac:dyDescent="0.25">
      <c r="B104" s="364">
        <v>42620</v>
      </c>
      <c r="C104" s="365">
        <v>25</v>
      </c>
      <c r="D104" s="366">
        <v>78.95</v>
      </c>
      <c r="E104" s="366">
        <v>82.48</v>
      </c>
      <c r="F104" s="366">
        <f t="shared" si="36"/>
        <v>88.250000000000028</v>
      </c>
      <c r="G104" s="366">
        <f t="shared" si="37"/>
        <v>1973.75</v>
      </c>
      <c r="H104" s="367">
        <f t="shared" si="38"/>
        <v>4.4711842938568724E-2</v>
      </c>
      <c r="I104" s="367"/>
    </row>
    <row r="105" spans="2:9" x14ac:dyDescent="0.25">
      <c r="B105" s="364">
        <v>42621</v>
      </c>
      <c r="C105" s="365">
        <v>25</v>
      </c>
      <c r="D105" s="366">
        <v>78.95</v>
      </c>
      <c r="E105" s="366">
        <v>81.77</v>
      </c>
      <c r="F105" s="366">
        <f t="shared" si="36"/>
        <v>70.499999999999829</v>
      </c>
      <c r="G105" s="366">
        <f t="shared" si="37"/>
        <v>1973.75</v>
      </c>
      <c r="H105" s="367">
        <f t="shared" si="38"/>
        <v>3.5718809373020813E-2</v>
      </c>
      <c r="I105" s="367"/>
    </row>
    <row r="106" spans="2:9" x14ac:dyDescent="0.25">
      <c r="B106" s="364">
        <v>42622</v>
      </c>
      <c r="C106" s="365">
        <v>25</v>
      </c>
      <c r="D106" s="366">
        <v>78.95</v>
      </c>
      <c r="E106" s="366">
        <v>76.900000000000006</v>
      </c>
      <c r="F106" s="366">
        <f t="shared" si="36"/>
        <v>-51.249999999999929</v>
      </c>
      <c r="G106" s="366">
        <f t="shared" si="37"/>
        <v>1973.75</v>
      </c>
      <c r="H106" s="367">
        <f t="shared" si="38"/>
        <v>-2.5965801139961966E-2</v>
      </c>
      <c r="I106" s="367"/>
    </row>
    <row r="107" spans="2:9" x14ac:dyDescent="0.25">
      <c r="B107" s="364">
        <v>42629</v>
      </c>
      <c r="C107" s="365">
        <v>25</v>
      </c>
      <c r="D107" s="366">
        <v>78.95</v>
      </c>
      <c r="E107" s="366">
        <v>77.77</v>
      </c>
      <c r="F107" s="366">
        <f t="shared" si="36"/>
        <v>-29.500000000000171</v>
      </c>
      <c r="G107" s="366">
        <f t="shared" si="37"/>
        <v>1973.75</v>
      </c>
      <c r="H107" s="367">
        <f t="shared" si="38"/>
        <v>-1.4946168461051384E-2</v>
      </c>
      <c r="I107" s="367"/>
    </row>
    <row r="108" spans="2:9" x14ac:dyDescent="0.25">
      <c r="B108" s="364">
        <v>42633</v>
      </c>
      <c r="C108" s="365">
        <v>25</v>
      </c>
      <c r="D108" s="366">
        <v>78.95</v>
      </c>
      <c r="E108" s="366">
        <v>75.52</v>
      </c>
      <c r="F108" s="366">
        <f t="shared" si="36"/>
        <v>-85.750000000000171</v>
      </c>
      <c r="G108" s="366">
        <f t="shared" si="37"/>
        <v>1973.75</v>
      </c>
      <c r="H108" s="367">
        <f t="shared" si="38"/>
        <v>-4.3445218492716993E-2</v>
      </c>
      <c r="I108" s="367"/>
    </row>
    <row r="109" spans="2:9" x14ac:dyDescent="0.25">
      <c r="B109" s="364">
        <v>42635</v>
      </c>
      <c r="C109" s="365">
        <v>25</v>
      </c>
      <c r="D109" s="366">
        <v>78.95</v>
      </c>
      <c r="E109" s="366">
        <v>77.27</v>
      </c>
      <c r="F109" s="366">
        <f t="shared" si="36"/>
        <v>-42.000000000000171</v>
      </c>
      <c r="G109" s="366">
        <f t="shared" si="37"/>
        <v>1973.75</v>
      </c>
      <c r="H109" s="367">
        <f t="shared" si="38"/>
        <v>-2.1279290690310409E-2</v>
      </c>
      <c r="I109" s="367"/>
    </row>
    <row r="110" spans="2:9" x14ac:dyDescent="0.25">
      <c r="B110" s="364">
        <v>42636</v>
      </c>
      <c r="C110" s="365">
        <v>25</v>
      </c>
      <c r="D110" s="366">
        <v>78.95</v>
      </c>
      <c r="E110" s="366">
        <v>78.97</v>
      </c>
      <c r="F110" s="366">
        <f t="shared" si="36"/>
        <v>0.49999999999990052</v>
      </c>
      <c r="G110" s="366">
        <f t="shared" si="37"/>
        <v>1973.75</v>
      </c>
      <c r="H110" s="367">
        <f t="shared" si="38"/>
        <v>2.533248891703106E-4</v>
      </c>
      <c r="I110" s="367"/>
    </row>
    <row r="111" spans="2:9" x14ac:dyDescent="0.25">
      <c r="B111" s="364">
        <v>42639</v>
      </c>
      <c r="C111" s="365">
        <v>55</v>
      </c>
      <c r="D111" s="366">
        <v>76.400000000000006</v>
      </c>
      <c r="E111" s="366">
        <v>76.31</v>
      </c>
      <c r="F111" s="366">
        <f t="shared" si="36"/>
        <v>-4.9500000000001876</v>
      </c>
      <c r="G111" s="366">
        <f t="shared" si="37"/>
        <v>4202</v>
      </c>
      <c r="H111" s="367">
        <f t="shared" si="38"/>
        <v>-1.1780104712042331E-3</v>
      </c>
      <c r="I111" s="367"/>
    </row>
    <row r="112" spans="2:9" x14ac:dyDescent="0.25">
      <c r="B112" s="364">
        <v>42643</v>
      </c>
      <c r="C112" s="365">
        <v>55</v>
      </c>
      <c r="D112" s="366">
        <v>76.402699999999996</v>
      </c>
      <c r="E112" s="366">
        <v>74.53</v>
      </c>
      <c r="F112" s="366">
        <f t="shared" si="36"/>
        <v>-102.99849999999971</v>
      </c>
      <c r="G112" s="366">
        <f t="shared" si="37"/>
        <v>4202.1484999999993</v>
      </c>
      <c r="H112" s="367">
        <f t="shared" si="38"/>
        <v>-2.4510913881315644E-2</v>
      </c>
      <c r="I112" s="367"/>
    </row>
    <row r="113" spans="1:10" x14ac:dyDescent="0.25">
      <c r="B113" s="364">
        <v>42646</v>
      </c>
      <c r="C113" s="365">
        <v>55</v>
      </c>
      <c r="D113" s="366">
        <v>76.402699999999996</v>
      </c>
      <c r="E113" s="366">
        <v>75.72</v>
      </c>
      <c r="F113" s="366">
        <f t="shared" si="36"/>
        <v>-37.548499999999834</v>
      </c>
      <c r="G113" s="366">
        <f t="shared" si="37"/>
        <v>4202.1484999999993</v>
      </c>
      <c r="H113" s="367">
        <f t="shared" si="38"/>
        <v>-8.9355480892690572E-3</v>
      </c>
      <c r="I113" s="367"/>
    </row>
    <row r="114" spans="1:10" x14ac:dyDescent="0.25">
      <c r="B114" s="364">
        <v>42647</v>
      </c>
      <c r="C114" s="365">
        <v>55</v>
      </c>
      <c r="D114" s="366">
        <v>76.402699999999996</v>
      </c>
      <c r="E114" s="366">
        <v>77.819999999999993</v>
      </c>
      <c r="F114" s="366">
        <f t="shared" si="36"/>
        <v>77.951499999999854</v>
      </c>
      <c r="G114" s="366">
        <f t="shared" si="37"/>
        <v>4202.1484999999993</v>
      </c>
      <c r="H114" s="367">
        <f t="shared" si="38"/>
        <v>1.8550391543754308E-2</v>
      </c>
      <c r="I114" s="367"/>
    </row>
    <row r="115" spans="1:10" x14ac:dyDescent="0.25">
      <c r="B115" s="364">
        <v>42648</v>
      </c>
      <c r="C115" s="365">
        <v>30</v>
      </c>
      <c r="D115" s="366">
        <v>74.272999999999996</v>
      </c>
      <c r="E115" s="366">
        <v>81.430000000000007</v>
      </c>
      <c r="F115" s="366">
        <f t="shared" si="36"/>
        <v>214.71000000000032</v>
      </c>
      <c r="G115" s="366">
        <f t="shared" si="37"/>
        <v>2228.19</v>
      </c>
      <c r="H115" s="367">
        <f t="shared" si="38"/>
        <v>9.6360723277638047E-2</v>
      </c>
      <c r="I115" s="367"/>
    </row>
    <row r="116" spans="1:10" x14ac:dyDescent="0.25">
      <c r="B116" s="364">
        <v>42649</v>
      </c>
      <c r="C116" s="365">
        <v>30</v>
      </c>
      <c r="D116" s="366">
        <v>74.272999999999996</v>
      </c>
      <c r="E116" s="366">
        <v>80.069999999999993</v>
      </c>
      <c r="F116" s="366">
        <f t="shared" si="36"/>
        <v>173.90999999999991</v>
      </c>
      <c r="G116" s="366">
        <f t="shared" si="37"/>
        <v>2228.19</v>
      </c>
      <c r="H116" s="367">
        <f t="shared" si="38"/>
        <v>7.8049897001602156E-2</v>
      </c>
      <c r="I116" s="367"/>
    </row>
    <row r="117" spans="1:10" x14ac:dyDescent="0.25">
      <c r="B117" s="364">
        <v>42671</v>
      </c>
      <c r="C117" s="365">
        <v>0</v>
      </c>
      <c r="D117" s="366"/>
      <c r="E117" s="366"/>
      <c r="F117" s="366">
        <v>234.16</v>
      </c>
      <c r="G117" s="366"/>
      <c r="H117" s="367"/>
      <c r="I117" s="367"/>
    </row>
    <row r="118" spans="1:10" x14ac:dyDescent="0.25">
      <c r="B118" s="364"/>
      <c r="C118" s="365"/>
      <c r="D118" s="366"/>
      <c r="E118" s="366"/>
      <c r="F118" s="366"/>
      <c r="G118" s="366"/>
      <c r="H118" s="367"/>
      <c r="I118" s="367"/>
    </row>
    <row r="120" spans="1:10" x14ac:dyDescent="0.25">
      <c r="B120" s="187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5">
        <f t="shared" ref="H120:H150" si="41">(E120-D120)/D120</f>
        <v>3.5325754797701996E-2</v>
      </c>
      <c r="I120" s="10"/>
      <c r="J120" s="10"/>
    </row>
    <row r="121" spans="1:10" x14ac:dyDescent="0.25">
      <c r="B121" s="187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5">
        <f t="shared" si="41"/>
        <v>-3.8229128129239395E-3</v>
      </c>
      <c r="I121" s="10"/>
      <c r="J121" s="10"/>
    </row>
    <row r="122" spans="1:10" x14ac:dyDescent="0.25">
      <c r="B122" s="187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5">
        <f t="shared" si="41"/>
        <v>1.5841399271731272E-2</v>
      </c>
      <c r="I122" s="10"/>
      <c r="J122" s="10"/>
    </row>
    <row r="123" spans="1:10" x14ac:dyDescent="0.25">
      <c r="A123" t="s">
        <v>346</v>
      </c>
      <c r="B123" s="187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5">
        <f t="shared" si="41"/>
        <v>1.3761638502831674E-3</v>
      </c>
      <c r="I123" s="10"/>
      <c r="J123" s="10"/>
    </row>
    <row r="124" spans="1:10" x14ac:dyDescent="0.25">
      <c r="A124" t="s">
        <v>346</v>
      </c>
      <c r="B124" s="187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5">
        <f t="shared" si="41"/>
        <v>2.8775462130698346E-2</v>
      </c>
      <c r="I124" s="10"/>
      <c r="J124" s="10"/>
    </row>
    <row r="125" spans="1:10" x14ac:dyDescent="0.25">
      <c r="A125" t="s">
        <v>384</v>
      </c>
      <c r="B125" s="187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5">
        <f t="shared" si="41"/>
        <v>-2.2272351342471561E-2</v>
      </c>
      <c r="I125" s="10"/>
      <c r="J125" s="10"/>
    </row>
    <row r="126" spans="1:10" x14ac:dyDescent="0.25">
      <c r="A126" t="s">
        <v>341</v>
      </c>
      <c r="B126" s="187">
        <v>42772</v>
      </c>
      <c r="C126" s="231">
        <v>100</v>
      </c>
      <c r="D126" s="232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5">
        <f t="shared" si="41"/>
        <v>-5.5260740891927666E-2</v>
      </c>
      <c r="I126" s="10"/>
      <c r="J126" s="10"/>
    </row>
    <row r="127" spans="1:10" x14ac:dyDescent="0.25">
      <c r="A127" t="s">
        <v>408</v>
      </c>
      <c r="B127" s="187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5">
        <f t="shared" si="41"/>
        <v>-6.9567151517659423E-2</v>
      </c>
      <c r="I127" s="10"/>
      <c r="J127" s="10"/>
    </row>
    <row r="128" spans="1:10" x14ac:dyDescent="0.25">
      <c r="A128" t="s">
        <v>449</v>
      </c>
      <c r="B128" s="187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5">
        <f t="shared" si="41"/>
        <v>-4.8100597959901507E-2</v>
      </c>
      <c r="I128" s="10"/>
      <c r="J128" s="10"/>
    </row>
    <row r="129" spans="1:10" x14ac:dyDescent="0.25">
      <c r="A129" t="s">
        <v>470</v>
      </c>
      <c r="B129" s="187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5">
        <f t="shared" si="41"/>
        <v>-0.1088932703855202</v>
      </c>
      <c r="I129" s="10"/>
      <c r="J129" s="39"/>
    </row>
    <row r="130" spans="1:10" x14ac:dyDescent="0.25">
      <c r="A130" t="s">
        <v>470</v>
      </c>
      <c r="B130" s="187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5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7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5">
        <f t="shared" si="41"/>
        <v>-8.0167084283897572E-2</v>
      </c>
      <c r="I131" s="10"/>
      <c r="J131" s="39"/>
    </row>
    <row r="132" spans="1:10" x14ac:dyDescent="0.25">
      <c r="A132">
        <v>0</v>
      </c>
      <c r="B132" s="187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5">
        <f t="shared" si="41"/>
        <v>-3.0016568126028705E-2</v>
      </c>
      <c r="I132" s="10"/>
      <c r="J132" s="39"/>
    </row>
    <row r="133" spans="1:10" x14ac:dyDescent="0.25">
      <c r="A133">
        <v>0</v>
      </c>
      <c r="B133" s="187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5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7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5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7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5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7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5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7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5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7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5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7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5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7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5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7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5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7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5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7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5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7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5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7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5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7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5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7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5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7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5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7">
        <v>42989</v>
      </c>
      <c r="C149" s="231">
        <v>100</v>
      </c>
      <c r="D149" s="232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5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7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5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5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5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5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5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5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5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5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5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5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5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5" t="s">
        <v>1</v>
      </c>
      <c r="B178" s="255" t="s">
        <v>2</v>
      </c>
      <c r="C178" s="255" t="s">
        <v>4</v>
      </c>
      <c r="D178" s="256" t="s">
        <v>5</v>
      </c>
      <c r="E178" s="256" t="s">
        <v>94</v>
      </c>
      <c r="F178" s="256" t="s">
        <v>60</v>
      </c>
      <c r="G178" s="255" t="s">
        <v>3</v>
      </c>
      <c r="H178" s="255" t="s">
        <v>6</v>
      </c>
      <c r="I178" s="255" t="s">
        <v>7</v>
      </c>
      <c r="J178" s="255" t="s">
        <v>95</v>
      </c>
      <c r="K178" s="256" t="s">
        <v>61</v>
      </c>
      <c r="L178" s="255" t="s">
        <v>77</v>
      </c>
      <c r="M178" s="255" t="s">
        <v>38</v>
      </c>
    </row>
    <row r="179" spans="1:13" x14ac:dyDescent="0.25">
      <c r="A179" s="257" t="s">
        <v>215</v>
      </c>
      <c r="B179" s="258">
        <v>42516</v>
      </c>
      <c r="C179" s="253">
        <v>20</v>
      </c>
      <c r="D179" s="254">
        <v>96.2</v>
      </c>
      <c r="E179" s="254">
        <v>0</v>
      </c>
      <c r="F179" s="254">
        <f t="shared" ref="F179:F184" si="42">C179*D179 + E179</f>
        <v>1924</v>
      </c>
      <c r="G179" s="258">
        <v>42516</v>
      </c>
      <c r="H179" s="253">
        <v>20</v>
      </c>
      <c r="I179" s="254">
        <v>88.99</v>
      </c>
      <c r="J179" s="254">
        <v>0.04</v>
      </c>
      <c r="K179" s="254">
        <f t="shared" ref="K179:K184" si="43">H179*I179 - J179</f>
        <v>1779.76</v>
      </c>
      <c r="L179" s="258">
        <v>42608</v>
      </c>
      <c r="M179" s="253">
        <v>13</v>
      </c>
    </row>
    <row r="180" spans="1:13" x14ac:dyDescent="0.25">
      <c r="A180" s="260" t="s">
        <v>71</v>
      </c>
      <c r="B180" s="440">
        <v>42527</v>
      </c>
      <c r="C180" s="253">
        <v>25</v>
      </c>
      <c r="D180" s="254">
        <v>85.59</v>
      </c>
      <c r="E180" s="254">
        <v>0</v>
      </c>
      <c r="F180" s="254">
        <f t="shared" si="42"/>
        <v>2139.75</v>
      </c>
      <c r="G180" s="258">
        <v>42541</v>
      </c>
      <c r="H180" s="259">
        <v>25</v>
      </c>
      <c r="I180" s="254">
        <v>86.59</v>
      </c>
      <c r="J180" s="254">
        <v>0.05</v>
      </c>
      <c r="K180" s="254">
        <f t="shared" si="43"/>
        <v>2164.6999999999998</v>
      </c>
      <c r="L180" s="258">
        <v>42702</v>
      </c>
      <c r="M180" s="253">
        <v>7.8</v>
      </c>
    </row>
    <row r="181" spans="1:13" x14ac:dyDescent="0.25">
      <c r="A181" s="253"/>
      <c r="B181" s="440">
        <v>42535</v>
      </c>
      <c r="C181" s="253">
        <v>20</v>
      </c>
      <c r="D181" s="254">
        <v>82.75</v>
      </c>
      <c r="E181" s="254">
        <v>0</v>
      </c>
      <c r="F181" s="254">
        <f t="shared" si="42"/>
        <v>1655</v>
      </c>
      <c r="G181" s="258">
        <v>42552</v>
      </c>
      <c r="H181" s="259">
        <v>20</v>
      </c>
      <c r="I181" s="254">
        <v>83.98</v>
      </c>
      <c r="J181" s="254">
        <v>0.04</v>
      </c>
      <c r="K181" s="254">
        <f t="shared" si="43"/>
        <v>1679.5600000000002</v>
      </c>
      <c r="L181" s="253"/>
      <c r="M181" s="253"/>
    </row>
    <row r="182" spans="1:13" x14ac:dyDescent="0.25">
      <c r="A182" s="253"/>
      <c r="B182" s="258">
        <v>42535</v>
      </c>
      <c r="C182" s="253">
        <v>5</v>
      </c>
      <c r="D182" s="254">
        <v>82.75</v>
      </c>
      <c r="E182" s="254">
        <v>0</v>
      </c>
      <c r="F182" s="254">
        <f t="shared" si="42"/>
        <v>413.75</v>
      </c>
      <c r="G182" s="258">
        <v>42569</v>
      </c>
      <c r="H182" s="259">
        <v>5</v>
      </c>
      <c r="I182" s="254">
        <v>92</v>
      </c>
      <c r="J182" s="254">
        <v>0.01</v>
      </c>
      <c r="K182" s="254">
        <f t="shared" si="43"/>
        <v>459.99</v>
      </c>
      <c r="L182" s="253"/>
      <c r="M182" s="253"/>
    </row>
    <row r="183" spans="1:13" x14ac:dyDescent="0.25">
      <c r="A183" s="253"/>
      <c r="B183" s="258">
        <v>42548</v>
      </c>
      <c r="C183" s="253">
        <v>20</v>
      </c>
      <c r="D183" s="254">
        <v>78.48</v>
      </c>
      <c r="E183" s="254">
        <v>0</v>
      </c>
      <c r="F183" s="254">
        <f t="shared" si="42"/>
        <v>1569.6000000000001</v>
      </c>
      <c r="G183" s="258">
        <v>42580</v>
      </c>
      <c r="H183" s="259">
        <v>20</v>
      </c>
      <c r="I183" s="254">
        <v>87.72</v>
      </c>
      <c r="J183" s="254">
        <v>0.04</v>
      </c>
      <c r="K183" s="254">
        <f t="shared" si="43"/>
        <v>1754.3600000000001</v>
      </c>
      <c r="L183" s="253"/>
      <c r="M183" s="253"/>
    </row>
    <row r="184" spans="1:13" x14ac:dyDescent="0.25">
      <c r="A184" s="253"/>
      <c r="B184" s="258">
        <v>42548</v>
      </c>
      <c r="C184" s="253">
        <v>30</v>
      </c>
      <c r="D184" s="254">
        <v>78.48</v>
      </c>
      <c r="E184" s="254">
        <v>0</v>
      </c>
      <c r="F184" s="254">
        <f t="shared" si="42"/>
        <v>2354.4</v>
      </c>
      <c r="G184" s="258">
        <v>42580</v>
      </c>
      <c r="H184" s="259">
        <v>30</v>
      </c>
      <c r="I184" s="254">
        <v>87.97</v>
      </c>
      <c r="J184" s="254">
        <v>-0.02</v>
      </c>
      <c r="K184" s="254">
        <f t="shared" si="43"/>
        <v>2639.12</v>
      </c>
      <c r="L184" s="253"/>
      <c r="M184" s="253"/>
    </row>
    <row r="185" spans="1:13" x14ac:dyDescent="0.25">
      <c r="A185" s="253"/>
      <c r="B185" s="258">
        <v>42608</v>
      </c>
      <c r="C185" s="253">
        <v>25</v>
      </c>
      <c r="D185" s="254">
        <v>78.95</v>
      </c>
      <c r="E185" s="254">
        <v>0</v>
      </c>
      <c r="F185" s="254">
        <v>1973.75</v>
      </c>
      <c r="G185" s="258">
        <v>42648</v>
      </c>
      <c r="H185" s="259">
        <v>25</v>
      </c>
      <c r="I185" s="254">
        <v>78.959999999999994</v>
      </c>
      <c r="J185" s="254">
        <v>0.04</v>
      </c>
      <c r="K185" s="254">
        <v>1973.9599999999998</v>
      </c>
      <c r="L185" s="253"/>
      <c r="M185" s="253"/>
    </row>
    <row r="186" spans="1:13" x14ac:dyDescent="0.25">
      <c r="A186" s="253"/>
      <c r="B186" s="258">
        <v>42640</v>
      </c>
      <c r="C186" s="253">
        <v>30</v>
      </c>
      <c r="D186" s="254">
        <v>74.28</v>
      </c>
      <c r="E186" s="254">
        <v>0</v>
      </c>
      <c r="F186" s="254">
        <v>2228.4</v>
      </c>
      <c r="G186" s="258">
        <v>42671</v>
      </c>
      <c r="H186" s="259">
        <v>30</v>
      </c>
      <c r="I186" s="254">
        <v>82.08</v>
      </c>
      <c r="J186" s="254">
        <v>0.05</v>
      </c>
      <c r="K186" s="254">
        <v>2462.35</v>
      </c>
      <c r="L186" s="253"/>
      <c r="M186" s="253"/>
    </row>
    <row r="187" spans="1:13" x14ac:dyDescent="0.25">
      <c r="A187" s="253"/>
      <c r="B187" s="258"/>
      <c r="C187" s="253"/>
      <c r="D187" s="254"/>
      <c r="E187" s="254"/>
      <c r="F187" s="254"/>
      <c r="G187" s="258"/>
      <c r="H187" s="259"/>
      <c r="I187" s="253"/>
      <c r="J187" s="253"/>
      <c r="K187" s="254"/>
      <c r="L187" s="253"/>
      <c r="M187" s="253"/>
    </row>
    <row r="188" spans="1:13" x14ac:dyDescent="0.25">
      <c r="A188" s="253"/>
      <c r="B188" s="639">
        <v>42746</v>
      </c>
      <c r="C188" s="638">
        <v>30</v>
      </c>
      <c r="D188" s="640">
        <v>81.81</v>
      </c>
      <c r="E188" s="640">
        <v>0</v>
      </c>
      <c r="F188" s="640">
        <f t="shared" ref="F188:F203" si="44">C188*D188+E188</f>
        <v>2454.3000000000002</v>
      </c>
      <c r="G188" s="639">
        <v>42746</v>
      </c>
      <c r="H188" s="638">
        <v>30</v>
      </c>
      <c r="I188" s="640">
        <v>81.599999999999994</v>
      </c>
      <c r="J188" s="640">
        <v>0.05</v>
      </c>
      <c r="K188" s="640">
        <f t="shared" ref="K188:K196" si="45">H188*I188-J188</f>
        <v>2447.9499999999998</v>
      </c>
      <c r="L188" s="639">
        <v>42794</v>
      </c>
      <c r="M188" s="640">
        <v>13</v>
      </c>
    </row>
    <row r="189" spans="1:13" x14ac:dyDescent="0.25">
      <c r="A189" s="253"/>
      <c r="B189" s="729">
        <v>42748</v>
      </c>
      <c r="C189" s="638">
        <v>20</v>
      </c>
      <c r="D189" s="640">
        <v>80.010000000000005</v>
      </c>
      <c r="E189" s="640">
        <v>0</v>
      </c>
      <c r="F189" s="640">
        <f t="shared" si="44"/>
        <v>1600.2</v>
      </c>
      <c r="G189" s="639">
        <v>42803</v>
      </c>
      <c r="H189" s="730">
        <v>100</v>
      </c>
      <c r="I189" s="640">
        <v>69.58</v>
      </c>
      <c r="J189" s="640">
        <v>0.15</v>
      </c>
      <c r="K189" s="640">
        <f t="shared" si="45"/>
        <v>6957.85</v>
      </c>
      <c r="L189" s="639">
        <v>42887</v>
      </c>
      <c r="M189" s="640">
        <v>62</v>
      </c>
    </row>
    <row r="190" spans="1:13" x14ac:dyDescent="0.25">
      <c r="A190" s="253"/>
      <c r="B190" s="729">
        <v>42754</v>
      </c>
      <c r="C190" s="638">
        <v>30</v>
      </c>
      <c r="D190" s="640">
        <v>80.88</v>
      </c>
      <c r="E190" s="640">
        <v>0</v>
      </c>
      <c r="F190" s="640">
        <f t="shared" si="44"/>
        <v>2426.3999999999996</v>
      </c>
      <c r="G190" s="639">
        <v>42804</v>
      </c>
      <c r="H190" s="730">
        <v>25</v>
      </c>
      <c r="I190" s="640">
        <v>72.58</v>
      </c>
      <c r="J190" s="640">
        <v>0.04</v>
      </c>
      <c r="K190" s="640">
        <f t="shared" si="45"/>
        <v>1814.46</v>
      </c>
      <c r="L190" s="639">
        <v>42978</v>
      </c>
      <c r="M190" s="640">
        <v>77.5</v>
      </c>
    </row>
    <row r="191" spans="1:13" x14ac:dyDescent="0.25">
      <c r="A191" s="253"/>
      <c r="B191" s="639">
        <v>42766</v>
      </c>
      <c r="C191" s="638">
        <v>25</v>
      </c>
      <c r="D191" s="640">
        <v>77</v>
      </c>
      <c r="E191" s="640">
        <v>0</v>
      </c>
      <c r="F191" s="640">
        <f t="shared" si="44"/>
        <v>1925</v>
      </c>
      <c r="G191" s="639">
        <v>42894</v>
      </c>
      <c r="H191" s="730">
        <v>50</v>
      </c>
      <c r="I191" s="640">
        <v>57</v>
      </c>
      <c r="J191" s="640">
        <v>0.06</v>
      </c>
      <c r="K191" s="640">
        <f t="shared" si="45"/>
        <v>2849.94</v>
      </c>
      <c r="L191" s="638"/>
      <c r="M191" s="638"/>
    </row>
    <row r="192" spans="1:13" x14ac:dyDescent="0.25">
      <c r="A192" s="253"/>
      <c r="B192" s="639">
        <v>42772</v>
      </c>
      <c r="C192" s="638">
        <v>25</v>
      </c>
      <c r="D192" s="640">
        <v>75.25</v>
      </c>
      <c r="E192" s="640">
        <v>0</v>
      </c>
      <c r="F192" s="640">
        <f t="shared" si="44"/>
        <v>1881.25</v>
      </c>
      <c r="G192" s="639">
        <v>42915</v>
      </c>
      <c r="H192" s="730">
        <v>100</v>
      </c>
      <c r="I192" s="640">
        <v>64.28</v>
      </c>
      <c r="J192" s="640">
        <v>0.15</v>
      </c>
      <c r="K192" s="640">
        <f t="shared" si="45"/>
        <v>6427.85</v>
      </c>
      <c r="L192" s="638"/>
      <c r="M192" s="638"/>
    </row>
    <row r="193" spans="1:13" x14ac:dyDescent="0.25">
      <c r="A193" s="253"/>
      <c r="B193" s="639">
        <v>42773</v>
      </c>
      <c r="C193" s="638">
        <v>25</v>
      </c>
      <c r="D193" s="640">
        <v>73.08</v>
      </c>
      <c r="E193" s="640">
        <v>0</v>
      </c>
      <c r="F193" s="640">
        <f t="shared" si="44"/>
        <v>1827</v>
      </c>
      <c r="G193" s="639">
        <v>42972</v>
      </c>
      <c r="H193" s="730">
        <v>100</v>
      </c>
      <c r="I193" s="640">
        <v>64</v>
      </c>
      <c r="J193" s="640">
        <v>0.15</v>
      </c>
      <c r="K193" s="640">
        <f t="shared" si="45"/>
        <v>6399.85</v>
      </c>
      <c r="L193" s="638"/>
      <c r="M193" s="638"/>
    </row>
    <row r="194" spans="1:13" x14ac:dyDescent="0.25">
      <c r="A194" s="253"/>
      <c r="B194" s="639">
        <v>42794</v>
      </c>
      <c r="C194" s="638">
        <v>50</v>
      </c>
      <c r="D194" s="640">
        <v>69.05</v>
      </c>
      <c r="E194" s="640">
        <v>0</v>
      </c>
      <c r="F194" s="640">
        <f t="shared" si="44"/>
        <v>3452.5</v>
      </c>
      <c r="G194" s="639">
        <v>42984</v>
      </c>
      <c r="H194" s="730">
        <v>150</v>
      </c>
      <c r="I194" s="640">
        <v>65.38</v>
      </c>
      <c r="J194" s="640">
        <v>0.23</v>
      </c>
      <c r="K194" s="640">
        <f t="shared" si="45"/>
        <v>9806.77</v>
      </c>
      <c r="L194" s="638"/>
      <c r="M194" s="638"/>
    </row>
    <row r="195" spans="1:13" x14ac:dyDescent="0.25">
      <c r="A195" s="253"/>
      <c r="B195" s="639">
        <v>42794</v>
      </c>
      <c r="C195" s="638">
        <v>50</v>
      </c>
      <c r="D195" s="640">
        <v>68.77</v>
      </c>
      <c r="E195" s="640">
        <v>0</v>
      </c>
      <c r="F195" s="640">
        <f t="shared" si="44"/>
        <v>3438.5</v>
      </c>
      <c r="G195" s="639">
        <v>42989</v>
      </c>
      <c r="H195" s="730">
        <v>100</v>
      </c>
      <c r="I195" s="640">
        <v>66.78</v>
      </c>
      <c r="J195" s="640">
        <v>0.15</v>
      </c>
      <c r="K195" s="640">
        <f t="shared" si="45"/>
        <v>6677.85</v>
      </c>
      <c r="L195" s="638"/>
      <c r="M195" s="638"/>
    </row>
    <row r="196" spans="1:13" x14ac:dyDescent="0.25">
      <c r="A196" s="253"/>
      <c r="B196" s="639">
        <v>42794</v>
      </c>
      <c r="C196" s="638">
        <v>50</v>
      </c>
      <c r="D196" s="640">
        <v>65.38</v>
      </c>
      <c r="E196" s="640">
        <v>0</v>
      </c>
      <c r="F196" s="640">
        <f t="shared" si="44"/>
        <v>3269</v>
      </c>
      <c r="G196" s="639">
        <v>43005</v>
      </c>
      <c r="H196" s="730">
        <v>100</v>
      </c>
      <c r="I196" s="640">
        <v>66.48</v>
      </c>
      <c r="J196" s="640">
        <v>0.15</v>
      </c>
      <c r="K196" s="640">
        <f t="shared" si="45"/>
        <v>6647.85</v>
      </c>
      <c r="L196" s="638"/>
      <c r="M196" s="638"/>
    </row>
    <row r="197" spans="1:13" x14ac:dyDescent="0.25">
      <c r="A197" s="253"/>
      <c r="B197" s="639">
        <v>42794</v>
      </c>
      <c r="C197" s="638">
        <v>25</v>
      </c>
      <c r="D197" s="640">
        <v>63.28</v>
      </c>
      <c r="E197" s="640">
        <v>0</v>
      </c>
      <c r="F197" s="640">
        <f t="shared" si="44"/>
        <v>1582</v>
      </c>
      <c r="G197" s="639"/>
      <c r="H197" s="730"/>
      <c r="I197" s="638"/>
      <c r="J197" s="638"/>
      <c r="K197" s="640"/>
      <c r="L197" s="638"/>
      <c r="M197" s="638"/>
    </row>
    <row r="198" spans="1:13" x14ac:dyDescent="0.25">
      <c r="A198" s="253"/>
      <c r="B198" s="639">
        <v>42808</v>
      </c>
      <c r="C198" s="638">
        <v>25</v>
      </c>
      <c r="D198" s="640">
        <v>67.88</v>
      </c>
      <c r="E198" s="640">
        <v>0</v>
      </c>
      <c r="F198" s="640">
        <f t="shared" si="44"/>
        <v>1697</v>
      </c>
      <c r="G198" s="639"/>
      <c r="H198" s="730"/>
      <c r="I198" s="638"/>
      <c r="J198" s="638"/>
      <c r="K198" s="640"/>
      <c r="L198" s="638"/>
      <c r="M198" s="638"/>
    </row>
    <row r="199" spans="1:13" x14ac:dyDescent="0.25">
      <c r="A199" s="253"/>
      <c r="B199" s="639">
        <v>42865</v>
      </c>
      <c r="C199" s="638">
        <v>100</v>
      </c>
      <c r="D199" s="640">
        <v>63.85</v>
      </c>
      <c r="E199" s="640">
        <v>0</v>
      </c>
      <c r="F199" s="640">
        <f t="shared" si="44"/>
        <v>6385</v>
      </c>
      <c r="G199" s="639"/>
      <c r="H199" s="730"/>
      <c r="I199" s="640"/>
      <c r="J199" s="638"/>
      <c r="K199" s="640"/>
      <c r="L199" s="638"/>
      <c r="M199" s="638"/>
    </row>
    <row r="200" spans="1:13" x14ac:dyDescent="0.25">
      <c r="A200" s="253"/>
      <c r="B200" s="639">
        <v>42866</v>
      </c>
      <c r="C200" s="638">
        <v>50</v>
      </c>
      <c r="D200" s="640">
        <v>61.1</v>
      </c>
      <c r="E200" s="640">
        <v>-0.2</v>
      </c>
      <c r="F200" s="640">
        <f t="shared" si="44"/>
        <v>3054.8</v>
      </c>
      <c r="G200" s="639"/>
      <c r="H200" s="730"/>
      <c r="I200" s="638"/>
      <c r="J200" s="638"/>
      <c r="K200" s="640"/>
      <c r="L200" s="638"/>
      <c r="M200" s="638"/>
    </row>
    <row r="201" spans="1:13" x14ac:dyDescent="0.25">
      <c r="A201" s="253"/>
      <c r="B201" s="639">
        <v>42879</v>
      </c>
      <c r="C201" s="638">
        <v>50</v>
      </c>
      <c r="D201" s="640">
        <v>53.3</v>
      </c>
      <c r="E201" s="640">
        <v>0</v>
      </c>
      <c r="F201" s="640">
        <f t="shared" si="44"/>
        <v>2665</v>
      </c>
      <c r="G201" s="639"/>
      <c r="H201" s="730"/>
      <c r="I201" s="638"/>
      <c r="J201" s="638"/>
      <c r="K201" s="640"/>
      <c r="L201" s="638"/>
      <c r="M201" s="638"/>
    </row>
    <row r="202" spans="1:13" x14ac:dyDescent="0.25">
      <c r="A202" s="253"/>
      <c r="B202" s="639">
        <v>42949</v>
      </c>
      <c r="C202" s="638">
        <v>50</v>
      </c>
      <c r="D202" s="640">
        <v>59.32</v>
      </c>
      <c r="E202" s="640">
        <v>0</v>
      </c>
      <c r="F202" s="640">
        <f t="shared" si="44"/>
        <v>2966</v>
      </c>
      <c r="G202" s="639"/>
      <c r="H202" s="730"/>
      <c r="I202" s="638"/>
      <c r="J202" s="638"/>
      <c r="K202" s="640"/>
      <c r="L202" s="638"/>
      <c r="M202" s="638"/>
    </row>
    <row r="203" spans="1:13" x14ac:dyDescent="0.25">
      <c r="A203" s="253"/>
      <c r="B203" s="639">
        <v>42957</v>
      </c>
      <c r="C203" s="638">
        <v>50</v>
      </c>
      <c r="D203" s="640">
        <v>55.78</v>
      </c>
      <c r="E203" s="640">
        <v>0</v>
      </c>
      <c r="F203" s="640">
        <f t="shared" si="44"/>
        <v>2789</v>
      </c>
      <c r="G203" s="638"/>
      <c r="H203" s="638"/>
      <c r="I203" s="638"/>
      <c r="J203" s="638"/>
      <c r="K203" s="640"/>
      <c r="L203" s="638"/>
      <c r="M203" s="638"/>
    </row>
    <row r="204" spans="1:13" x14ac:dyDescent="0.25">
      <c r="A204" s="253"/>
      <c r="B204" s="639">
        <v>42972</v>
      </c>
      <c r="C204" s="638">
        <v>100</v>
      </c>
      <c r="D204" s="640">
        <v>62.88</v>
      </c>
      <c r="E204" s="640">
        <v>0</v>
      </c>
      <c r="F204" s="640">
        <f>C204*D204+E204</f>
        <v>6288</v>
      </c>
      <c r="G204" s="639"/>
      <c r="H204" s="730"/>
      <c r="I204" s="638"/>
      <c r="J204" s="638"/>
      <c r="K204" s="640"/>
      <c r="L204" s="638"/>
      <c r="M204" s="638"/>
    </row>
    <row r="205" spans="1:13" x14ac:dyDescent="0.25">
      <c r="A205" s="253"/>
      <c r="B205" s="258"/>
      <c r="C205" s="253"/>
      <c r="D205" s="254"/>
      <c r="E205" s="254"/>
      <c r="F205" s="254"/>
      <c r="G205" s="258"/>
      <c r="H205" s="259"/>
      <c r="I205" s="254"/>
      <c r="J205" s="253"/>
      <c r="K205" s="254"/>
      <c r="L205" s="253"/>
      <c r="M205" s="253"/>
    </row>
    <row r="206" spans="1:13" x14ac:dyDescent="0.25">
      <c r="A206" s="253"/>
      <c r="B206" s="258"/>
      <c r="C206" s="253"/>
      <c r="D206" s="254"/>
      <c r="E206" s="254"/>
      <c r="F206" s="254"/>
      <c r="G206" s="258"/>
      <c r="H206" s="259"/>
      <c r="I206" s="253"/>
      <c r="J206" s="253"/>
      <c r="K206" s="254"/>
      <c r="L206" s="253"/>
      <c r="M206" s="253"/>
    </row>
    <row r="207" spans="1:13" x14ac:dyDescent="0.25">
      <c r="A207" s="253"/>
      <c r="B207" s="253"/>
      <c r="C207" s="253"/>
      <c r="D207" s="254"/>
      <c r="E207" s="254"/>
      <c r="F207" s="254"/>
      <c r="G207" s="258"/>
      <c r="H207" s="259"/>
      <c r="I207" s="253"/>
      <c r="J207" s="253"/>
      <c r="K207" s="254"/>
      <c r="L207" s="253"/>
      <c r="M207" s="253"/>
    </row>
    <row r="208" spans="1:13" x14ac:dyDescent="0.25">
      <c r="A208" s="253"/>
      <c r="B208" s="258"/>
      <c r="C208" s="253"/>
      <c r="D208" s="254"/>
      <c r="E208" s="254"/>
      <c r="F208" s="254"/>
      <c r="G208" s="258"/>
      <c r="H208" s="259"/>
      <c r="I208" s="254"/>
      <c r="J208" s="253"/>
      <c r="K208" s="254"/>
      <c r="L208" s="253"/>
      <c r="M208" s="253"/>
    </row>
    <row r="209" spans="1:13" x14ac:dyDescent="0.25">
      <c r="A209" s="253"/>
      <c r="B209" s="258"/>
      <c r="C209" s="253"/>
      <c r="D209" s="254"/>
      <c r="E209" s="254"/>
      <c r="F209" s="254"/>
      <c r="G209" s="258"/>
      <c r="H209" s="259"/>
      <c r="I209" s="253"/>
      <c r="J209" s="253"/>
      <c r="K209" s="254"/>
      <c r="L209" s="253"/>
      <c r="M209" s="253"/>
    </row>
    <row r="210" spans="1:13" x14ac:dyDescent="0.25">
      <c r="A210" s="253"/>
      <c r="B210" s="253"/>
      <c r="C210" s="253"/>
      <c r="D210" s="254"/>
      <c r="E210" s="254"/>
      <c r="F210" s="254"/>
      <c r="G210" s="258"/>
      <c r="H210" s="259"/>
      <c r="I210" s="253"/>
      <c r="J210" s="253"/>
      <c r="K210" s="254"/>
      <c r="L210" s="253"/>
      <c r="M210" s="253"/>
    </row>
    <row r="211" spans="1:13" x14ac:dyDescent="0.25">
      <c r="A211" s="253"/>
      <c r="B211" s="253"/>
      <c r="C211" s="253"/>
      <c r="D211" s="254"/>
      <c r="E211" s="254"/>
      <c r="F211" s="254"/>
      <c r="G211" s="258"/>
      <c r="H211" s="259"/>
      <c r="I211" s="253"/>
      <c r="J211" s="253"/>
      <c r="K211" s="254"/>
      <c r="L211" s="253"/>
      <c r="M211" s="253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2" t="s">
        <v>194</v>
      </c>
      <c r="B213" s="443"/>
      <c r="C213" s="444">
        <f>SumByColor($A$23,C179:C211)</f>
        <v>0</v>
      </c>
      <c r="D213" s="444"/>
      <c r="E213" s="444"/>
      <c r="F213" s="445">
        <f>SumByColor($A$23,F179:F211)</f>
        <v>0</v>
      </c>
      <c r="G213" s="444"/>
      <c r="H213" s="444">
        <f>SumByColor($A$23,H179:H211)</f>
        <v>0</v>
      </c>
      <c r="I213" s="444"/>
      <c r="J213" s="444"/>
      <c r="K213" s="445">
        <f>SumByColor($A$23,K179:K211)</f>
        <v>0</v>
      </c>
      <c r="L213" s="444"/>
      <c r="M213" s="445">
        <f>SumByColor($A$23,M179:M211)</f>
        <v>0</v>
      </c>
    </row>
  </sheetData>
  <conditionalFormatting sqref="N23">
    <cfRule type="expression" dxfId="2343" priority="64">
      <formula>N23&gt;0</formula>
    </cfRule>
    <cfRule type="expression" dxfId="234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41" priority="58">
      <formula>F79&gt;0</formula>
    </cfRule>
    <cfRule type="expression" dxfId="2340" priority="59">
      <formula>F79&lt;0</formula>
    </cfRule>
  </conditionalFormatting>
  <conditionalFormatting sqref="H79:H97 H101:H118">
    <cfRule type="expression" dxfId="2339" priority="56">
      <formula>H79&gt;0</formula>
    </cfRule>
    <cfRule type="expression" dxfId="2338" priority="57">
      <formula>H79&lt;0</formula>
    </cfRule>
  </conditionalFormatting>
  <conditionalFormatting sqref="I75:I97 I100:I118">
    <cfRule type="expression" dxfId="2337" priority="54">
      <formula>I75&gt;0</formula>
    </cfRule>
    <cfRule type="expression" dxfId="2336" priority="55">
      <formula>I75&lt;0</formula>
    </cfRule>
  </conditionalFormatting>
  <conditionalFormatting sqref="Q7">
    <cfRule type="expression" dxfId="2335" priority="52">
      <formula>Q7&gt;0</formula>
    </cfRule>
    <cfRule type="expression" dxfId="2334" priority="53">
      <formula>Q7&lt;0</formula>
    </cfRule>
  </conditionalFormatting>
  <conditionalFormatting sqref="Q8">
    <cfRule type="expression" dxfId="2333" priority="50">
      <formula>Q8&gt;0</formula>
    </cfRule>
    <cfRule type="expression" dxfId="2332" priority="51">
      <formula>Q8&lt;0</formula>
    </cfRule>
  </conditionalFormatting>
  <conditionalFormatting sqref="F75:F78">
    <cfRule type="expression" dxfId="2331" priority="48">
      <formula>F75&gt;0</formula>
    </cfRule>
    <cfRule type="expression" dxfId="2330" priority="49">
      <formula>F75&lt;0</formula>
    </cfRule>
  </conditionalFormatting>
  <conditionalFormatting sqref="H75:H78">
    <cfRule type="expression" dxfId="2329" priority="46">
      <formula>H75&gt;0</formula>
    </cfRule>
    <cfRule type="expression" dxfId="2328" priority="47">
      <formula>H75&lt;0</formula>
    </cfRule>
  </conditionalFormatting>
  <conditionalFormatting sqref="F100:F114">
    <cfRule type="expression" dxfId="2327" priority="40">
      <formula>F100&gt;0</formula>
    </cfRule>
    <cfRule type="expression" dxfId="2326" priority="41">
      <formula>F100&lt;0</formula>
    </cfRule>
  </conditionalFormatting>
  <conditionalFormatting sqref="H100:H114">
    <cfRule type="expression" dxfId="2325" priority="38">
      <formula>H100&gt;0</formula>
    </cfRule>
    <cfRule type="expression" dxfId="2324" priority="39">
      <formula>H100&lt;0</formula>
    </cfRule>
  </conditionalFormatting>
  <conditionalFormatting sqref="F29:F61">
    <cfRule type="expression" dxfId="2323" priority="36">
      <formula>F29&gt;0</formula>
    </cfRule>
    <cfRule type="expression" dxfId="2322" priority="37">
      <formula>F29&lt;0</formula>
    </cfRule>
  </conditionalFormatting>
  <conditionalFormatting sqref="H29:H61">
    <cfRule type="expression" dxfId="2321" priority="34">
      <formula>H29&gt;0</formula>
    </cfRule>
    <cfRule type="expression" dxfId="2320" priority="35">
      <formula>H29&lt;0</formula>
    </cfRule>
  </conditionalFormatting>
  <conditionalFormatting sqref="J38:J68">
    <cfRule type="expression" dxfId="2319" priority="32">
      <formula>J38&gt;0</formula>
    </cfRule>
    <cfRule type="expression" dxfId="2318" priority="33">
      <formula>J38&lt;0</formula>
    </cfRule>
  </conditionalFormatting>
  <conditionalFormatting sqref="J43">
    <cfRule type="expression" dxfId="2317" priority="30">
      <formula>J43&gt;0</formula>
    </cfRule>
    <cfRule type="expression" dxfId="2316" priority="31">
      <formula>J43&lt;0</formula>
    </cfRule>
  </conditionalFormatting>
  <conditionalFormatting sqref="Q9">
    <cfRule type="expression" dxfId="2315" priority="24">
      <formula>Q9&gt;0</formula>
    </cfRule>
    <cfRule type="expression" dxfId="2314" priority="25">
      <formula>Q9&lt;0</formula>
    </cfRule>
  </conditionalFormatting>
  <conditionalFormatting sqref="R4">
    <cfRule type="expression" dxfId="2313" priority="26">
      <formula>R4&gt;0</formula>
    </cfRule>
    <cfRule type="expression" dxfId="231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11" priority="21">
      <formula>F120&gt;0</formula>
    </cfRule>
    <cfRule type="expression" dxfId="2310" priority="22">
      <formula>F120&lt;0</formula>
    </cfRule>
  </conditionalFormatting>
  <conditionalFormatting sqref="H120:H160">
    <cfRule type="expression" dxfId="2309" priority="19">
      <formula>H120&gt;0</formula>
    </cfRule>
    <cfRule type="expression" dxfId="2308" priority="20">
      <formula>H120&lt;0</formula>
    </cfRule>
  </conditionalFormatting>
  <conditionalFormatting sqref="J129:J160">
    <cfRule type="expression" dxfId="2307" priority="17">
      <formula>J129&gt;0</formula>
    </cfRule>
    <cfRule type="expression" dxfId="2306" priority="18">
      <formula>J129&lt;0</formula>
    </cfRule>
  </conditionalFormatting>
  <conditionalFormatting sqref="J134">
    <cfRule type="expression" dxfId="2305" priority="15">
      <formula>J134&gt;0</formula>
    </cfRule>
    <cfRule type="expression" dxfId="2304" priority="16">
      <formula>J134&lt;0</formula>
    </cfRule>
  </conditionalFormatting>
  <conditionalFormatting sqref="J31:J40">
    <cfRule type="expression" dxfId="2303" priority="13">
      <formula>J31&gt;0</formula>
    </cfRule>
    <cfRule type="expression" dxfId="2302" priority="14">
      <formula>J31&lt;0</formula>
    </cfRule>
  </conditionalFormatting>
  <conditionalFormatting sqref="J36:J37">
    <cfRule type="expression" dxfId="2301" priority="11">
      <formula>J36&gt;0</formula>
    </cfRule>
    <cfRule type="expression" dxfId="2300" priority="12">
      <formula>J36&lt;0</formula>
    </cfRule>
  </conditionalFormatting>
  <conditionalFormatting sqref="Q10">
    <cfRule type="expression" dxfId="2299" priority="9">
      <formula>Q10&gt;0</formula>
    </cfRule>
    <cfRule type="expression" dxfId="2298" priority="10">
      <formula>Q10&lt;0</formula>
    </cfRule>
  </conditionalFormatting>
  <conditionalFormatting sqref="K38:K55 K57:K68">
    <cfRule type="expression" dxfId="2297" priority="7">
      <formula>K38&gt;0</formula>
    </cfRule>
    <cfRule type="expression" dxfId="2296" priority="8">
      <formula>K38&lt;0</formula>
    </cfRule>
  </conditionalFormatting>
  <conditionalFormatting sqref="K43">
    <cfRule type="expression" dxfId="2295" priority="5">
      <formula>K43&gt;0</formula>
    </cfRule>
    <cfRule type="expression" dxfId="2294" priority="6">
      <formula>K43&lt;0</formula>
    </cfRule>
  </conditionalFormatting>
  <conditionalFormatting sqref="K31:K40">
    <cfRule type="expression" dxfId="2293" priority="3">
      <formula>K31&gt;0</formula>
    </cfRule>
    <cfRule type="expression" dxfId="2292" priority="4">
      <formula>K31&lt;0</formula>
    </cfRule>
  </conditionalFormatting>
  <conditionalFormatting sqref="K36:K37">
    <cfRule type="expression" dxfId="2291" priority="1">
      <formula>K36&gt;0</formula>
    </cfRule>
    <cfRule type="expression" dxfId="229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3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171.61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8"/>
      <c r="AN3" s="228"/>
    </row>
    <row r="4" spans="1:40" x14ac:dyDescent="0.25">
      <c r="B4" s="353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171.61</v>
      </c>
      <c r="R4" s="493">
        <v>1.9099999999999999E-2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9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9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9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9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7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5">
        <f t="shared" ref="H25:H34" si="4">(E25-D25)/D25</f>
        <v>-1.238225799318918E-3</v>
      </c>
      <c r="I25" s="225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7">
        <v>42506</v>
      </c>
      <c r="C26" s="231">
        <v>25</v>
      </c>
      <c r="D26" s="232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5">
        <f t="shared" si="4"/>
        <v>3.7898553929155768E-2</v>
      </c>
      <c r="I26" s="225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7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5">
        <f t="shared" si="4"/>
        <v>0.10135762614425338</v>
      </c>
      <c r="I27" s="226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7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5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7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5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7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5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7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5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7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5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7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5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7">
        <v>42552</v>
      </c>
      <c r="C34" s="231">
        <v>25</v>
      </c>
      <c r="D34" s="232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5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7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5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7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5">
        <f t="shared" si="7"/>
        <v>0.14518090256269062</v>
      </c>
      <c r="I36" s="230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7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5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7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5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7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5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7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5">
        <f t="shared" si="7"/>
        <v>0.11661734003257848</v>
      </c>
      <c r="I40" s="39"/>
      <c r="T40" s="135" t="s">
        <v>97</v>
      </c>
      <c r="U40" s="354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7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5">
        <f t="shared" si="7"/>
        <v>0.44132995377963341</v>
      </c>
      <c r="I41" s="39" t="s">
        <v>251</v>
      </c>
      <c r="T41" s="106" t="s">
        <v>98</v>
      </c>
      <c r="U41" s="355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7">
        <v>42577</v>
      </c>
      <c r="C42" s="10">
        <v>0</v>
      </c>
      <c r="D42" s="39"/>
      <c r="E42" s="39"/>
      <c r="F42" s="39">
        <v>363.1</v>
      </c>
      <c r="G42" s="39"/>
      <c r="H42" s="225"/>
      <c r="I42" s="39"/>
      <c r="O42" s="847" t="s">
        <v>78</v>
      </c>
      <c r="P42" s="847"/>
      <c r="T42" s="106" t="s">
        <v>99</v>
      </c>
      <c r="U42" s="355" t="s">
        <v>570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1.1000000000000001</v>
      </c>
      <c r="P43" s="81">
        <f>O43*$Q$4</f>
        <v>188.77100000000004</v>
      </c>
      <c r="Q43" s="2"/>
      <c r="T43" s="106" t="s">
        <v>100</v>
      </c>
      <c r="U43" s="355" t="s">
        <v>571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1.0900000000000001</v>
      </c>
      <c r="P44" s="81">
        <f t="shared" ref="P44:P63" si="8">O44*$Q$4</f>
        <v>187.05490000000003</v>
      </c>
      <c r="Q44" s="2"/>
      <c r="T44" s="106" t="s">
        <v>101</v>
      </c>
      <c r="U44" s="355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1.08</v>
      </c>
      <c r="P45" s="81">
        <f t="shared" si="8"/>
        <v>185.33880000000002</v>
      </c>
      <c r="Q45" s="2"/>
      <c r="T45" s="106" t="s">
        <v>102</v>
      </c>
      <c r="U45" s="355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1.07</v>
      </c>
      <c r="P46" s="81">
        <f t="shared" si="8"/>
        <v>183.62270000000004</v>
      </c>
      <c r="Q46" s="2"/>
      <c r="T46" s="106" t="s">
        <v>121</v>
      </c>
      <c r="U46" s="355" t="s">
        <v>391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1.06</v>
      </c>
      <c r="P47" s="81">
        <f t="shared" si="8"/>
        <v>181.90660000000003</v>
      </c>
      <c r="Q47" s="2"/>
      <c r="T47" s="106"/>
      <c r="U47" s="355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180.19050000000001</v>
      </c>
      <c r="Q48" s="2"/>
      <c r="T48" s="106" t="s">
        <v>104</v>
      </c>
      <c r="U48" s="355" t="s">
        <v>572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178.47440000000003</v>
      </c>
      <c r="Q49" s="2"/>
      <c r="T49" s="106" t="s">
        <v>105</v>
      </c>
      <c r="U49" s="355" t="s">
        <v>573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176.75830000000002</v>
      </c>
      <c r="Q50" s="2"/>
      <c r="T50" s="106" t="s">
        <v>106</v>
      </c>
      <c r="U50" s="356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175.04220000000001</v>
      </c>
      <c r="Q51" s="2"/>
      <c r="T51" s="106" t="s">
        <v>109</v>
      </c>
      <c r="U51" s="356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173.32610000000003</v>
      </c>
      <c r="Q52" s="2"/>
      <c r="T52" s="106" t="s">
        <v>107</v>
      </c>
      <c r="U52" s="355" t="s">
        <v>574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171.61</v>
      </c>
      <c r="Q53" s="2"/>
      <c r="T53" s="106" t="s">
        <v>110</v>
      </c>
      <c r="U53" s="355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169.8939</v>
      </c>
      <c r="Q54" s="2"/>
      <c r="T54" s="106" t="s">
        <v>111</v>
      </c>
      <c r="U54" s="355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168.17780000000002</v>
      </c>
      <c r="Q55" s="2"/>
      <c r="T55" s="106" t="s">
        <v>108</v>
      </c>
      <c r="U55" s="355" t="s">
        <v>535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5" t="s">
        <v>1</v>
      </c>
      <c r="B56" s="255" t="s">
        <v>2</v>
      </c>
      <c r="C56" s="255" t="s">
        <v>4</v>
      </c>
      <c r="D56" s="256" t="s">
        <v>5</v>
      </c>
      <c r="E56" s="256" t="s">
        <v>94</v>
      </c>
      <c r="F56" s="256" t="s">
        <v>60</v>
      </c>
      <c r="G56" s="255" t="s">
        <v>3</v>
      </c>
      <c r="H56" s="255" t="s">
        <v>6</v>
      </c>
      <c r="I56" s="255" t="s">
        <v>7</v>
      </c>
      <c r="J56" s="255" t="s">
        <v>95</v>
      </c>
      <c r="K56" s="256" t="s">
        <v>61</v>
      </c>
      <c r="L56" s="255" t="s">
        <v>77</v>
      </c>
      <c r="M56" s="255" t="s">
        <v>38</v>
      </c>
      <c r="O56" s="81">
        <v>0.97</v>
      </c>
      <c r="P56" s="81">
        <f t="shared" si="8"/>
        <v>166.46170000000001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7" t="s">
        <v>203</v>
      </c>
      <c r="B57" s="258">
        <v>42502</v>
      </c>
      <c r="C57" s="253">
        <v>25</v>
      </c>
      <c r="D57" s="254">
        <v>90.65</v>
      </c>
      <c r="E57" s="254">
        <v>0</v>
      </c>
      <c r="F57" s="254">
        <f>C57*D57 + E57</f>
        <v>2266.25</v>
      </c>
      <c r="G57" s="258">
        <v>42502</v>
      </c>
      <c r="H57" s="259">
        <v>25</v>
      </c>
      <c r="I57" s="254">
        <v>90.64</v>
      </c>
      <c r="J57" s="254">
        <v>0.05</v>
      </c>
      <c r="K57" s="254">
        <f>H57*I57-J57</f>
        <v>2265.9499999999998</v>
      </c>
      <c r="L57" s="258">
        <v>42588</v>
      </c>
      <c r="M57" s="253"/>
      <c r="O57" s="81">
        <v>0.96</v>
      </c>
      <c r="P57" s="81">
        <f t="shared" si="8"/>
        <v>164.7456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0" t="s">
        <v>71</v>
      </c>
      <c r="B58" s="440">
        <v>42502</v>
      </c>
      <c r="C58" s="253">
        <v>25</v>
      </c>
      <c r="D58" s="254">
        <v>90.44</v>
      </c>
      <c r="E58" s="254">
        <v>0</v>
      </c>
      <c r="F58" s="254">
        <f>C58*D58 + E58</f>
        <v>2261</v>
      </c>
      <c r="G58" s="258">
        <v>42552</v>
      </c>
      <c r="H58" s="259">
        <v>25</v>
      </c>
      <c r="I58" s="254">
        <v>96.28</v>
      </c>
      <c r="J58" s="254">
        <v>0.05</v>
      </c>
      <c r="K58" s="254">
        <f>H58*I58-J58</f>
        <v>2406.9499999999998</v>
      </c>
      <c r="L58" s="253"/>
      <c r="M58" s="253"/>
      <c r="O58" s="81">
        <v>0.95</v>
      </c>
      <c r="P58" s="81">
        <f t="shared" si="8"/>
        <v>163.02950000000001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3"/>
      <c r="B59" s="440">
        <v>42545</v>
      </c>
      <c r="C59" s="253">
        <v>25</v>
      </c>
      <c r="D59" s="254">
        <v>93</v>
      </c>
      <c r="E59" s="254">
        <v>0</v>
      </c>
      <c r="F59" s="254">
        <f>C59*D59 + E59</f>
        <v>2325</v>
      </c>
      <c r="G59" s="258">
        <v>42577</v>
      </c>
      <c r="H59" s="259">
        <v>15</v>
      </c>
      <c r="I59" s="254">
        <v>100.58</v>
      </c>
      <c r="J59" s="254">
        <v>0.03</v>
      </c>
      <c r="K59" s="254">
        <f>H59*I59-J59</f>
        <v>1508.67</v>
      </c>
      <c r="L59" s="253"/>
      <c r="M59" s="253"/>
      <c r="O59" s="81">
        <v>0.94</v>
      </c>
      <c r="P59" s="81">
        <f t="shared" si="8"/>
        <v>161.3134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3"/>
      <c r="B60" s="258"/>
      <c r="C60" s="253"/>
      <c r="D60" s="254"/>
      <c r="E60" s="254"/>
      <c r="F60" s="254"/>
      <c r="G60" s="258">
        <v>42577</v>
      </c>
      <c r="H60" s="259">
        <v>10</v>
      </c>
      <c r="I60" s="254">
        <v>103.38</v>
      </c>
      <c r="J60" s="254">
        <v>0.02</v>
      </c>
      <c r="K60" s="254">
        <f>H60*I60-J60</f>
        <v>1033.78</v>
      </c>
      <c r="L60" s="253"/>
      <c r="M60" s="253"/>
      <c r="O60" s="81">
        <v>0.93</v>
      </c>
      <c r="P60" s="81">
        <f t="shared" si="8"/>
        <v>159.59730000000002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3"/>
      <c r="B61" s="441"/>
      <c r="C61" s="253"/>
      <c r="D61" s="254"/>
      <c r="E61" s="254"/>
      <c r="F61" s="254"/>
      <c r="G61" s="258"/>
      <c r="H61" s="259"/>
      <c r="I61" s="254"/>
      <c r="J61" s="254"/>
      <c r="K61" s="254"/>
      <c r="L61" s="253"/>
      <c r="M61" s="253"/>
      <c r="O61" s="81">
        <v>0.92</v>
      </c>
      <c r="P61" s="81">
        <f t="shared" si="8"/>
        <v>157.88120000000001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3"/>
      <c r="B62" s="441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O62" s="81">
        <v>0.91</v>
      </c>
      <c r="P62" s="81">
        <f t="shared" si="8"/>
        <v>156.16510000000002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O63" s="81">
        <v>0.9</v>
      </c>
      <c r="P63" s="81">
        <f t="shared" si="8"/>
        <v>154.44900000000001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259"/>
      <c r="I64" s="254"/>
      <c r="J64" s="254"/>
      <c r="K64" s="254"/>
      <c r="L64" s="253"/>
      <c r="M64" s="253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3"/>
      <c r="B65" s="258"/>
      <c r="C65" s="253"/>
      <c r="D65" s="254"/>
      <c r="E65" s="254"/>
      <c r="F65" s="254"/>
      <c r="G65" s="258"/>
      <c r="H65" s="259"/>
      <c r="I65" s="253"/>
      <c r="J65" s="253"/>
      <c r="K65" s="254"/>
      <c r="L65" s="253"/>
      <c r="M65" s="253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3"/>
      <c r="B66" s="258"/>
      <c r="C66" s="253"/>
      <c r="D66" s="254"/>
      <c r="E66" s="254"/>
      <c r="F66" s="254"/>
      <c r="G66" s="258"/>
      <c r="H66" s="259"/>
      <c r="I66" s="253"/>
      <c r="J66" s="253"/>
      <c r="K66" s="254"/>
      <c r="L66" s="253"/>
      <c r="M66" s="253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3"/>
      <c r="B67" s="258"/>
      <c r="C67" s="253"/>
      <c r="D67" s="254"/>
      <c r="E67" s="254"/>
      <c r="F67" s="254"/>
      <c r="G67" s="258"/>
      <c r="H67" s="259"/>
      <c r="I67" s="253"/>
      <c r="J67" s="253"/>
      <c r="K67" s="254"/>
      <c r="L67" s="253"/>
      <c r="M67" s="253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3"/>
      <c r="K68" s="254"/>
      <c r="L68" s="253"/>
      <c r="M68" s="253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3"/>
      <c r="B69" s="258"/>
      <c r="C69" s="253"/>
      <c r="D69" s="254"/>
      <c r="E69" s="254"/>
      <c r="F69" s="254"/>
      <c r="G69" s="258"/>
      <c r="H69" s="259"/>
      <c r="I69" s="253"/>
      <c r="J69" s="253"/>
      <c r="K69" s="254"/>
      <c r="L69" s="253"/>
      <c r="M69" s="253"/>
      <c r="W69" s="276" t="s">
        <v>120</v>
      </c>
      <c r="AB69" s="229"/>
    </row>
    <row r="70" spans="1:31" x14ac:dyDescent="0.25">
      <c r="A70" s="253"/>
      <c r="B70" s="253"/>
      <c r="C70" s="253"/>
      <c r="D70" s="254"/>
      <c r="E70" s="254"/>
      <c r="F70" s="254"/>
      <c r="G70" s="258"/>
      <c r="H70" s="259"/>
      <c r="I70" s="253"/>
      <c r="J70" s="253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8"/>
      <c r="H71" s="259"/>
      <c r="I71" s="253"/>
      <c r="J71" s="253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8"/>
      <c r="H72" s="259"/>
      <c r="I72" s="253"/>
      <c r="J72" s="253"/>
      <c r="K72" s="254"/>
      <c r="L72" s="253"/>
      <c r="M72" s="253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2"/>
      <c r="B74" s="443"/>
      <c r="C74" s="444"/>
      <c r="D74" s="444"/>
      <c r="E74" s="444"/>
      <c r="F74" s="445"/>
      <c r="G74" s="444"/>
      <c r="H74" s="444"/>
      <c r="I74" s="444"/>
      <c r="J74" s="444"/>
      <c r="K74" s="445"/>
      <c r="L74" s="444"/>
      <c r="M74" s="445"/>
    </row>
  </sheetData>
  <mergeCells count="1">
    <mergeCell ref="O42:P42"/>
  </mergeCells>
  <conditionalFormatting sqref="N19">
    <cfRule type="expression" dxfId="2289" priority="35">
      <formula>N19&gt;0</formula>
    </cfRule>
    <cfRule type="expression" dxfId="228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87" priority="21">
      <formula>F25&gt;0</formula>
    </cfRule>
    <cfRule type="expression" dxfId="2286" priority="22">
      <formula>F25&lt;0</formula>
    </cfRule>
  </conditionalFormatting>
  <conditionalFormatting sqref="H25:H47">
    <cfRule type="expression" dxfId="2285" priority="19">
      <formula>H25&gt;0</formula>
    </cfRule>
    <cfRule type="expression" dxfId="2284" priority="20">
      <formula>H25&lt;0</formula>
    </cfRule>
  </conditionalFormatting>
  <conditionalFormatting sqref="I25:I27">
    <cfRule type="expression" dxfId="2283" priority="15">
      <formula>I25&gt;0</formula>
    </cfRule>
    <cfRule type="expression" dxfId="2282" priority="16">
      <formula>I25&lt;0</formula>
    </cfRule>
  </conditionalFormatting>
  <conditionalFormatting sqref="Q7">
    <cfRule type="expression" dxfId="2281" priority="5">
      <formula>Q7&gt;0</formula>
    </cfRule>
    <cfRule type="expression" dxfId="2280" priority="6">
      <formula>Q7&lt;0</formula>
    </cfRule>
  </conditionalFormatting>
  <conditionalFormatting sqref="Q8">
    <cfRule type="expression" dxfId="2279" priority="3">
      <formula>Q8&gt;0</formula>
    </cfRule>
    <cfRule type="expression" dxfId="227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9"/>
      <c r="I3" s="3"/>
      <c r="J3" s="3"/>
      <c r="K3" s="3"/>
      <c r="L3" s="4"/>
      <c r="O3" s="11" t="s">
        <v>58</v>
      </c>
      <c r="Q3" s="224">
        <f>IF(Q2=0, Q4, (F18-K18-M18)/Q2)</f>
        <v>93.58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93.58</v>
      </c>
      <c r="R4" s="478">
        <v>9.1000000000000004E-3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7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5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7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5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7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5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7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5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7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5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7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5">
        <f t="shared" si="4"/>
        <v>8.3107650643195738E-2</v>
      </c>
      <c r="I30" s="230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7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5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7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5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7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5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7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5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7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5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7">
        <v>42593</v>
      </c>
      <c r="C36" s="10">
        <v>0</v>
      </c>
      <c r="D36" s="39"/>
      <c r="E36" s="39"/>
      <c r="F36" s="39">
        <v>231.54</v>
      </c>
      <c r="G36" s="39"/>
      <c r="H36" s="225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102.938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102.0022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101.0664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100.1306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99.194800000000001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98.259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97.3232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96.3874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1" t="s">
        <v>1</v>
      </c>
      <c r="B49" s="371" t="s">
        <v>2</v>
      </c>
      <c r="C49" s="371" t="s">
        <v>4</v>
      </c>
      <c r="D49" s="373" t="s">
        <v>5</v>
      </c>
      <c r="E49" s="373" t="s">
        <v>94</v>
      </c>
      <c r="F49" s="373" t="s">
        <v>60</v>
      </c>
      <c r="G49" s="371" t="s">
        <v>3</v>
      </c>
      <c r="H49" s="371" t="s">
        <v>6</v>
      </c>
      <c r="I49" s="373" t="s">
        <v>7</v>
      </c>
      <c r="J49" s="373" t="s">
        <v>95</v>
      </c>
      <c r="K49" s="373" t="s">
        <v>61</v>
      </c>
      <c r="L49" s="371" t="s">
        <v>37</v>
      </c>
      <c r="M49" s="371" t="s">
        <v>38</v>
      </c>
      <c r="O49" s="81">
        <v>1.02</v>
      </c>
      <c r="P49" s="81">
        <f t="shared" si="5"/>
        <v>95.451599999999999</v>
      </c>
      <c r="Q49" s="2"/>
      <c r="T49" s="91" t="s">
        <v>103</v>
      </c>
      <c r="U49" s="127" t="s">
        <v>518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4" t="s">
        <v>226</v>
      </c>
      <c r="B50" s="364">
        <v>42548</v>
      </c>
      <c r="C50" s="365">
        <v>40</v>
      </c>
      <c r="D50" s="366">
        <v>59.08</v>
      </c>
      <c r="E50" s="366">
        <v>0</v>
      </c>
      <c r="F50" s="366">
        <f>D50*C50+E50</f>
        <v>2363.1999999999998</v>
      </c>
      <c r="G50" s="364">
        <v>42580</v>
      </c>
      <c r="H50" s="369">
        <v>40</v>
      </c>
      <c r="I50" s="366">
        <v>64.58</v>
      </c>
      <c r="J50" s="366">
        <v>0.06</v>
      </c>
      <c r="K50" s="366">
        <f>I50*H50-J50</f>
        <v>2583.14</v>
      </c>
      <c r="L50" s="364">
        <v>42592</v>
      </c>
      <c r="M50" s="365">
        <v>11.6</v>
      </c>
      <c r="O50" s="81">
        <v>1.01</v>
      </c>
      <c r="P50" s="81">
        <f t="shared" si="5"/>
        <v>94.515799999999999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5" t="s">
        <v>71</v>
      </c>
      <c r="B51" s="364"/>
      <c r="C51" s="365"/>
      <c r="D51" s="366"/>
      <c r="E51" s="366"/>
      <c r="F51" s="366"/>
      <c r="G51" s="365"/>
      <c r="H51" s="369"/>
      <c r="I51" s="366"/>
      <c r="J51" s="366"/>
      <c r="K51" s="366"/>
      <c r="L51" s="365"/>
      <c r="M51" s="365"/>
      <c r="O51" s="81">
        <v>1</v>
      </c>
      <c r="P51" s="81">
        <f t="shared" si="5"/>
        <v>93.58</v>
      </c>
      <c r="Q51" s="2"/>
      <c r="T51" s="91" t="s">
        <v>104</v>
      </c>
      <c r="U51" s="127" t="s">
        <v>575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5"/>
      <c r="B52" s="364"/>
      <c r="C52" s="365"/>
      <c r="D52" s="366"/>
      <c r="E52" s="366"/>
      <c r="F52" s="366"/>
      <c r="G52" s="365"/>
      <c r="H52" s="369"/>
      <c r="I52" s="366"/>
      <c r="J52" s="366"/>
      <c r="K52" s="366"/>
      <c r="L52" s="365"/>
      <c r="M52" s="365"/>
      <c r="O52" s="81">
        <v>0.99</v>
      </c>
      <c r="P52" s="81">
        <f t="shared" si="5"/>
        <v>92.644199999999998</v>
      </c>
      <c r="Q52" s="2"/>
      <c r="T52" s="91" t="s">
        <v>105</v>
      </c>
      <c r="U52" s="127" t="s">
        <v>475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5"/>
      <c r="B53" s="364"/>
      <c r="C53" s="365"/>
      <c r="D53" s="366"/>
      <c r="E53" s="366"/>
      <c r="F53" s="366"/>
      <c r="G53" s="365"/>
      <c r="H53" s="369"/>
      <c r="I53" s="366"/>
      <c r="J53" s="366"/>
      <c r="K53" s="366"/>
      <c r="L53" s="365"/>
      <c r="M53" s="365"/>
      <c r="O53" s="81">
        <v>0.98</v>
      </c>
      <c r="P53" s="81">
        <f t="shared" si="5"/>
        <v>91.708399999999997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5"/>
      <c r="B54" s="364"/>
      <c r="C54" s="365"/>
      <c r="D54" s="366"/>
      <c r="E54" s="366"/>
      <c r="F54" s="366"/>
      <c r="G54" s="365"/>
      <c r="H54" s="369"/>
      <c r="I54" s="366"/>
      <c r="J54" s="366"/>
      <c r="K54" s="366"/>
      <c r="L54" s="365"/>
      <c r="M54" s="365"/>
      <c r="O54" s="81">
        <v>0.97</v>
      </c>
      <c r="P54" s="81">
        <f t="shared" si="5"/>
        <v>90.772599999999997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5"/>
        <v>89.836799999999997</v>
      </c>
      <c r="T55" s="91" t="s">
        <v>107</v>
      </c>
      <c r="U55" s="127" t="s">
        <v>576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5"/>
        <v>88.900999999999996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5"/>
        <v>87.965199999999996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5"/>
        <v>87.02940000000001</v>
      </c>
      <c r="T58" s="91" t="s">
        <v>108</v>
      </c>
      <c r="U58" s="127" t="s">
        <v>543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5"/>
        <v>86.093600000000009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5"/>
        <v>85.157799999999995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5"/>
        <v>84.221999999999994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5"/>
      <c r="I65" s="366"/>
      <c r="J65" s="366"/>
      <c r="K65" s="366"/>
      <c r="L65" s="365"/>
      <c r="M65" s="36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7" t="s">
        <v>194</v>
      </c>
      <c r="B67" s="448"/>
      <c r="C67" s="449">
        <f>SumByColor($A$19,C50:C65)</f>
        <v>0</v>
      </c>
      <c r="D67" s="449"/>
      <c r="E67" s="449"/>
      <c r="F67" s="450">
        <f>SumByColor($A$19,F50:F65)</f>
        <v>0</v>
      </c>
      <c r="G67" s="449"/>
      <c r="H67" s="449">
        <f>SumByColor($A$19,H50:H65)</f>
        <v>0</v>
      </c>
      <c r="I67" s="449"/>
      <c r="J67" s="449"/>
      <c r="K67" s="450">
        <f>SumByColor($A$19,K50:K65)</f>
        <v>0</v>
      </c>
      <c r="L67" s="449"/>
      <c r="M67" s="450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77" priority="9">
      <formula>F36&gt;0</formula>
    </cfRule>
    <cfRule type="expression" dxfId="2276" priority="10">
      <formula>F36&lt;0</formula>
    </cfRule>
  </conditionalFormatting>
  <conditionalFormatting sqref="F25:F35">
    <cfRule type="expression" dxfId="2275" priority="7">
      <formula>F25&gt;0</formula>
    </cfRule>
    <cfRule type="expression" dxfId="2274" priority="8">
      <formula>F25&lt;0</formula>
    </cfRule>
  </conditionalFormatting>
  <conditionalFormatting sqref="H25:H35">
    <cfRule type="expression" dxfId="2273" priority="5">
      <formula>H25&gt;0</formula>
    </cfRule>
    <cfRule type="expression" dxfId="2272" priority="6">
      <formula>H25&lt;0</formula>
    </cfRule>
  </conditionalFormatting>
  <conditionalFormatting sqref="Q7">
    <cfRule type="expression" dxfId="2271" priority="3">
      <formula>Q7&gt;0</formula>
    </cfRule>
    <cfRule type="expression" dxfId="2270" priority="4">
      <formula>Q7&lt;0</formula>
    </cfRule>
  </conditionalFormatting>
  <conditionalFormatting sqref="Q8">
    <cfRule type="expression" dxfId="2269" priority="1">
      <formula>Q8&gt;0</formula>
    </cfRule>
    <cfRule type="expression" dxfId="226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95</v>
      </c>
      <c r="R4" s="498">
        <v>1.8100000000000002E-2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708</v>
      </c>
      <c r="P20" s="7" t="s">
        <v>709</v>
      </c>
      <c r="Q20" s="7" t="s">
        <v>710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711</v>
      </c>
      <c r="P21" s="7">
        <v>1.095</v>
      </c>
      <c r="Q21" s="68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712</v>
      </c>
      <c r="P22" s="7">
        <v>1.0920000000000001</v>
      </c>
      <c r="Q22" s="68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713</v>
      </c>
      <c r="P23" s="7" t="s">
        <v>714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7" t="s">
        <v>695</v>
      </c>
      <c r="P24" s="7" t="s">
        <v>715</v>
      </c>
      <c r="Q24" s="7" t="s">
        <v>715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5">
        <f t="shared" ref="H25" si="2">(E25-D25)/D25</f>
        <v>6.062276109120939E-3</v>
      </c>
      <c r="I25" s="39"/>
      <c r="J25" s="39"/>
      <c r="K25" s="39"/>
      <c r="L25" s="39"/>
      <c r="O25" s="7" t="s">
        <v>713</v>
      </c>
      <c r="P25" s="7" t="s">
        <v>716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5">
        <f t="shared" ref="H26" si="5">(E26-D26)/D26</f>
        <v>1.0608983190961643E-2</v>
      </c>
      <c r="I26" s="39"/>
      <c r="J26" s="39"/>
      <c r="K26" s="39"/>
      <c r="L26" s="39"/>
      <c r="O26" s="7" t="s">
        <v>717</v>
      </c>
      <c r="P26" s="7" t="s">
        <v>709</v>
      </c>
      <c r="Q26" s="7" t="s">
        <v>710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7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5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5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712</v>
      </c>
      <c r="P28" s="7">
        <v>0.92200000000000004</v>
      </c>
      <c r="Q28" s="68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7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5">
        <f t="shared" si="11"/>
        <v>1.8202184262110816E-3</v>
      </c>
      <c r="I29" s="39"/>
      <c r="J29" s="39"/>
      <c r="K29" s="39"/>
      <c r="L29" s="157"/>
      <c r="O29" s="7" t="s">
        <v>695</v>
      </c>
      <c r="P29" s="7" t="s">
        <v>715</v>
      </c>
      <c r="Q29" s="7" t="s">
        <v>715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7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5">
        <f t="shared" si="11"/>
        <v>3.3869920366382984E-2</v>
      </c>
      <c r="I30" s="39"/>
      <c r="J30" s="39">
        <v>277.22000000000003</v>
      </c>
      <c r="K30" s="39"/>
      <c r="L30" s="157"/>
      <c r="O30" s="7" t="s">
        <v>718</v>
      </c>
      <c r="P30" s="7" t="s">
        <v>709</v>
      </c>
      <c r="Q30" s="7" t="s">
        <v>710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7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5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7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5">
        <f t="shared" si="11"/>
        <v>5.5165922994495093E-3</v>
      </c>
      <c r="I32" s="39"/>
      <c r="J32" s="39">
        <v>197.22</v>
      </c>
      <c r="K32" s="39"/>
      <c r="L32" s="157"/>
      <c r="O32" s="7" t="s">
        <v>711</v>
      </c>
      <c r="P32" s="7">
        <v>1.026</v>
      </c>
      <c r="Q32" s="68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7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5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5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7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5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7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5">
        <f t="shared" ref="H36:H37" si="14">(E36-D36)/D36</f>
        <v>8.144269924374628E-2</v>
      </c>
      <c r="I36" s="427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7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5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7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5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7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5">
        <f>(E40-D40)/D40</f>
        <v>4.6207732722618786E-2</v>
      </c>
      <c r="I40" s="39">
        <v>73.5</v>
      </c>
      <c r="J40" s="39">
        <v>1153</v>
      </c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7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5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104.50000000000001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103.55000000000001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7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5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102.60000000000001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>
        <v>43060</v>
      </c>
      <c r="C44" s="10">
        <v>0</v>
      </c>
      <c r="D44" s="39"/>
      <c r="E44" s="39"/>
      <c r="F44" s="39">
        <v>592.9</v>
      </c>
      <c r="G44" s="39"/>
      <c r="H44" s="225"/>
      <c r="I44" s="39"/>
      <c r="J44" s="39">
        <v>1857.78</v>
      </c>
      <c r="K44" s="39"/>
      <c r="L44" s="39"/>
      <c r="O44" s="81">
        <v>1.07</v>
      </c>
      <c r="P44" s="81">
        <f t="shared" si="18"/>
        <v>101.65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100.7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99.75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98.8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97.850000000000009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96.9</v>
      </c>
      <c r="Q49" s="2"/>
      <c r="T49" s="91" t="s">
        <v>121</v>
      </c>
      <c r="U49" s="127" t="s">
        <v>511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95.95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95</v>
      </c>
      <c r="Q51" s="2"/>
      <c r="T51" s="91" t="s">
        <v>104</v>
      </c>
      <c r="U51" s="127" t="s">
        <v>577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94.05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93.1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92.149999999999991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91.2</v>
      </c>
      <c r="T55" s="91" t="s">
        <v>107</v>
      </c>
      <c r="U55" s="127" t="s">
        <v>578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90.25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89.3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88.350000000000009</v>
      </c>
      <c r="T58" s="91" t="s">
        <v>108</v>
      </c>
      <c r="U58" s="127" t="s">
        <v>544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87.4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86.45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85.5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267</v>
      </c>
      <c r="B68" s="499">
        <v>42619</v>
      </c>
      <c r="C68" s="500">
        <v>20</v>
      </c>
      <c r="D68" s="502">
        <v>72.08</v>
      </c>
      <c r="E68" s="502">
        <v>0</v>
      </c>
      <c r="F68" s="502">
        <f>C68*D68+E68</f>
        <v>1441.6</v>
      </c>
      <c r="G68" s="499">
        <v>42683</v>
      </c>
      <c r="H68" s="517">
        <v>35</v>
      </c>
      <c r="I68" s="502">
        <v>71.36</v>
      </c>
      <c r="J68" s="502">
        <v>0.05</v>
      </c>
      <c r="K68" s="502">
        <f>H68*I68-J68</f>
        <v>2497.5499999999997</v>
      </c>
      <c r="L68" s="499">
        <v>42642</v>
      </c>
      <c r="M68" s="50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>
        <v>42621</v>
      </c>
      <c r="C69" s="500">
        <v>20</v>
      </c>
      <c r="D69" s="502">
        <v>70.45</v>
      </c>
      <c r="E69" s="502">
        <v>0</v>
      </c>
      <c r="F69" s="502">
        <f>C69*D69+E69</f>
        <v>1409</v>
      </c>
      <c r="G69" s="499">
        <v>42684</v>
      </c>
      <c r="H69" s="517">
        <v>30</v>
      </c>
      <c r="I69" s="502">
        <v>73.28</v>
      </c>
      <c r="J69" s="502">
        <v>0.05</v>
      </c>
      <c r="K69" s="502">
        <f>H69*I69-J69</f>
        <v>2198.35</v>
      </c>
      <c r="L69" s="500"/>
      <c r="M69" s="500"/>
      <c r="AD69" s="2"/>
      <c r="AE69" s="134"/>
    </row>
    <row r="70" spans="1:31" x14ac:dyDescent="0.25">
      <c r="A70" s="500"/>
      <c r="B70" s="499">
        <v>42648</v>
      </c>
      <c r="C70" s="500">
        <v>25</v>
      </c>
      <c r="D70" s="502">
        <v>67.88</v>
      </c>
      <c r="E70" s="502">
        <v>0</v>
      </c>
      <c r="F70" s="502">
        <f>C70*D70+E70</f>
        <v>1697</v>
      </c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37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7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0"/>
      <c r="B73" s="437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7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0"/>
      <c r="B74" s="437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7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437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7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437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7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SUM(C68:C83)</f>
        <v>365</v>
      </c>
      <c r="D84" s="521"/>
      <c r="E84" s="521"/>
      <c r="F84" s="521">
        <f>SUM(F68:F83)</f>
        <v>26186.6</v>
      </c>
      <c r="G84" s="520"/>
      <c r="H84" s="542">
        <f>SUM(H68:H83)</f>
        <v>365</v>
      </c>
      <c r="I84" s="521"/>
      <c r="J84" s="521"/>
      <c r="K84" s="521">
        <f>SUM(K68:K83)</f>
        <v>27969.379999999997</v>
      </c>
      <c r="L84" s="520"/>
      <c r="M84" s="521">
        <f>SUM(M68:M83)</f>
        <v>75</v>
      </c>
    </row>
    <row r="85" spans="1:13" ht="15.75" thickBot="1" x14ac:dyDescent="0.3">
      <c r="A85" s="522" t="s">
        <v>194</v>
      </c>
      <c r="B85" s="523"/>
      <c r="C85" s="524">
        <f>SumByColor($A$19,C68:C83)</f>
        <v>250</v>
      </c>
      <c r="D85" s="524"/>
      <c r="E85" s="524"/>
      <c r="F85" s="525">
        <f>SumByColor($A$19,F68:F83)</f>
        <v>17820</v>
      </c>
      <c r="G85" s="524"/>
      <c r="H85" s="524">
        <f>SumByColor($A$19,H68:H83)</f>
        <v>250</v>
      </c>
      <c r="I85" s="524"/>
      <c r="J85" s="524"/>
      <c r="K85" s="525">
        <f>SumByColor($A$19,K68:K83)</f>
        <v>18894</v>
      </c>
      <c r="L85" s="524"/>
      <c r="M85" s="525">
        <f>SumByColor($A$19,M68:M83)</f>
        <v>65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5">
        <f t="shared" ref="H89:H100" si="21">(E89-D89)/D89</f>
        <v>-1.1098779134294991E-3</v>
      </c>
      <c r="I89" s="39"/>
    </row>
    <row r="90" spans="1:13" x14ac:dyDescent="0.25">
      <c r="B90" s="187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5">
        <f t="shared" si="21"/>
        <v>-4.5782463928967579E-3</v>
      </c>
      <c r="I90" s="39"/>
    </row>
    <row r="91" spans="1:13" x14ac:dyDescent="0.25">
      <c r="B91" s="187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5">
        <f t="shared" si="21"/>
        <v>-8.3491194836174676E-3</v>
      </c>
      <c r="I91" s="39"/>
    </row>
    <row r="92" spans="1:13" x14ac:dyDescent="0.25">
      <c r="B92" s="187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5">
        <f t="shared" si="21"/>
        <v>3.4378727285484397E-3</v>
      </c>
      <c r="I92" s="39"/>
    </row>
    <row r="93" spans="1:13" x14ac:dyDescent="0.25">
      <c r="B93" s="187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5">
        <f t="shared" si="21"/>
        <v>1.7750648986178355E-2</v>
      </c>
      <c r="I93" s="39"/>
    </row>
    <row r="94" spans="1:13" x14ac:dyDescent="0.25">
      <c r="B94" s="187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5">
        <f t="shared" si="21"/>
        <v>-1.0734582193222488E-2</v>
      </c>
      <c r="I94" s="39"/>
    </row>
    <row r="95" spans="1:13" x14ac:dyDescent="0.25">
      <c r="B95" s="187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5">
        <f t="shared" si="21"/>
        <v>-4.5113309478706287E-2</v>
      </c>
      <c r="I95" s="39"/>
    </row>
    <row r="96" spans="1:13" x14ac:dyDescent="0.25">
      <c r="B96" s="187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5">
        <f t="shared" si="21"/>
        <v>-4.0670857136308754E-2</v>
      </c>
      <c r="I96" s="39"/>
    </row>
    <row r="97" spans="2:9" x14ac:dyDescent="0.25">
      <c r="B97" s="187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5">
        <f t="shared" si="21"/>
        <v>-1.0875357402749307E-2</v>
      </c>
      <c r="I97" s="39"/>
    </row>
    <row r="98" spans="2:9" x14ac:dyDescent="0.25">
      <c r="B98" s="187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5">
        <f t="shared" si="21"/>
        <v>-2.1372541155035086E-3</v>
      </c>
      <c r="I98" s="39"/>
    </row>
    <row r="99" spans="2:9" x14ac:dyDescent="0.25">
      <c r="B99" s="187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5">
        <f t="shared" si="21"/>
        <v>-1.0302367023257689E-2</v>
      </c>
      <c r="I99" s="39"/>
    </row>
    <row r="100" spans="2:9" x14ac:dyDescent="0.25">
      <c r="B100" s="187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5">
        <f t="shared" si="21"/>
        <v>-2.9967396847408339E-3</v>
      </c>
      <c r="I100" s="39"/>
    </row>
    <row r="101" spans="2:9" x14ac:dyDescent="0.25">
      <c r="B101" s="187">
        <v>42701</v>
      </c>
      <c r="C101" s="10">
        <v>0</v>
      </c>
      <c r="D101" s="39"/>
      <c r="E101" s="39"/>
      <c r="F101" s="39">
        <v>158.30000000000001</v>
      </c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67" priority="37">
      <formula>F25&gt;0</formula>
    </cfRule>
    <cfRule type="expression" dxfId="2266" priority="38">
      <formula>F25&lt;0</formula>
    </cfRule>
  </conditionalFormatting>
  <conditionalFormatting sqref="Q7">
    <cfRule type="expression" dxfId="2265" priority="35">
      <formula>Q7&gt;0</formula>
    </cfRule>
    <cfRule type="expression" dxfId="2264" priority="36">
      <formula>Q7&lt;0</formula>
    </cfRule>
  </conditionalFormatting>
  <conditionalFormatting sqref="Q8">
    <cfRule type="expression" dxfId="2263" priority="33">
      <formula>Q8&gt;0</formula>
    </cfRule>
    <cfRule type="expression" dxfId="2262" priority="34">
      <formula>Q8&lt;0</formula>
    </cfRule>
  </conditionalFormatting>
  <conditionalFormatting sqref="F44:F46">
    <cfRule type="expression" dxfId="2261" priority="31">
      <formula>F44&gt;0</formula>
    </cfRule>
    <cfRule type="expression" dxfId="2260" priority="32">
      <formula>F44&lt;0</formula>
    </cfRule>
  </conditionalFormatting>
  <conditionalFormatting sqref="H44:H46">
    <cfRule type="expression" dxfId="2259" priority="29">
      <formula>H44&gt;0</formula>
    </cfRule>
    <cfRule type="expression" dxfId="2258" priority="30">
      <formula>H44&lt;0</formula>
    </cfRule>
  </conditionalFormatting>
  <conditionalFormatting sqref="F89:F110">
    <cfRule type="expression" dxfId="2257" priority="27">
      <formula>F89&gt;0</formula>
    </cfRule>
    <cfRule type="expression" dxfId="2256" priority="28">
      <formula>F89&lt;0</formula>
    </cfRule>
  </conditionalFormatting>
  <conditionalFormatting sqref="H89:H110">
    <cfRule type="expression" dxfId="2255" priority="25">
      <formula>H89&gt;0</formula>
    </cfRule>
    <cfRule type="expression" dxfId="2254" priority="26">
      <formula>H89&lt;0</formula>
    </cfRule>
  </conditionalFormatting>
  <conditionalFormatting sqref="Q10">
    <cfRule type="expression" dxfId="2253" priority="23">
      <formula>Q10&gt;0</formula>
    </cfRule>
    <cfRule type="expression" dxfId="2252" priority="24">
      <formula>Q10&lt;0</formula>
    </cfRule>
  </conditionalFormatting>
  <conditionalFormatting sqref="J25:J38">
    <cfRule type="expression" dxfId="2251" priority="21">
      <formula>J25&gt;0</formula>
    </cfRule>
    <cfRule type="expression" dxfId="2250" priority="22">
      <formula>J25&lt;0</formula>
    </cfRule>
  </conditionalFormatting>
  <conditionalFormatting sqref="K25:K38">
    <cfRule type="expression" dxfId="2249" priority="19">
      <formula>K25&gt;0</formula>
    </cfRule>
    <cfRule type="expression" dxfId="2248" priority="20">
      <formula>K25&lt;0</formula>
    </cfRule>
  </conditionalFormatting>
  <conditionalFormatting sqref="L25:L38">
    <cfRule type="expression" dxfId="2247" priority="17">
      <formula>L25&gt;0</formula>
    </cfRule>
    <cfRule type="expression" dxfId="2246" priority="18">
      <formula>L25&lt;0</formula>
    </cfRule>
  </conditionalFormatting>
  <conditionalFormatting sqref="J40">
    <cfRule type="expression" dxfId="2245" priority="15">
      <formula>J40&gt;0</formula>
    </cfRule>
    <cfRule type="expression" dxfId="2244" priority="16">
      <formula>J40&lt;0</formula>
    </cfRule>
  </conditionalFormatting>
  <conditionalFormatting sqref="L39">
    <cfRule type="expression" dxfId="2243" priority="11">
      <formula>L39&gt;0</formula>
    </cfRule>
    <cfRule type="expression" dxfId="2242" priority="12">
      <formula>L39&lt;0</formula>
    </cfRule>
  </conditionalFormatting>
  <conditionalFormatting sqref="F39">
    <cfRule type="expression" dxfId="2241" priority="9">
      <formula>F39&gt;0</formula>
    </cfRule>
    <cfRule type="expression" dxfId="2240" priority="10">
      <formula>F39&lt;0</formula>
    </cfRule>
  </conditionalFormatting>
  <conditionalFormatting sqref="H39">
    <cfRule type="expression" dxfId="2239" priority="7">
      <formula>H39&gt;0</formula>
    </cfRule>
    <cfRule type="expression" dxfId="2238" priority="8">
      <formula>H39&lt;0</formula>
    </cfRule>
  </conditionalFormatting>
  <conditionalFormatting sqref="J41">
    <cfRule type="expression" dxfId="2237" priority="5">
      <formula>J41&gt;0</formula>
    </cfRule>
    <cfRule type="expression" dxfId="2236" priority="6">
      <formula>J41&lt;0</formula>
    </cfRule>
  </conditionalFormatting>
  <conditionalFormatting sqref="J43">
    <cfRule type="expression" dxfId="2235" priority="3">
      <formula>J43&gt;0</formula>
    </cfRule>
    <cfRule type="expression" dxfId="2234" priority="4">
      <formula>J43&lt;0</formula>
    </cfRule>
  </conditionalFormatting>
  <conditionalFormatting sqref="J44">
    <cfRule type="expression" dxfId="2233" priority="1">
      <formula>J44&gt;0</formula>
    </cfRule>
    <cfRule type="expression" dxfId="223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31.9</v>
      </c>
      <c r="Y2" s="39">
        <v>32.130000000000003</v>
      </c>
      <c r="Z2" s="39">
        <v>31.57</v>
      </c>
      <c r="AA2" s="352">
        <v>31.67</v>
      </c>
      <c r="AB2" s="93">
        <v>341300</v>
      </c>
      <c r="AC2" s="237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31.16</v>
      </c>
      <c r="T3" s="118"/>
      <c r="W3" s="92">
        <v>42829</v>
      </c>
      <c r="X3" s="352">
        <v>32.1</v>
      </c>
      <c r="Y3" s="39">
        <v>32.1</v>
      </c>
      <c r="Z3" s="39">
        <v>31.67</v>
      </c>
      <c r="AA3" s="352">
        <v>31.79</v>
      </c>
      <c r="AB3" s="93">
        <v>466600</v>
      </c>
      <c r="AC3" s="237">
        <v>31.79</v>
      </c>
      <c r="AD3" s="2">
        <f>Y3-Z3</f>
        <v>0.42999999999999972</v>
      </c>
      <c r="AE3" s="134">
        <f>AC3/AC4-1</f>
        <v>-9.6573208722742221E-3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31.16</v>
      </c>
      <c r="R4" s="478">
        <v>7.7999999999999996E-3</v>
      </c>
      <c r="T4" s="118"/>
      <c r="W4" s="92">
        <v>42828</v>
      </c>
      <c r="X4" s="352">
        <v>31.84</v>
      </c>
      <c r="Y4" s="39">
        <v>32.200000000000003</v>
      </c>
      <c r="Z4" s="39">
        <v>31.82</v>
      </c>
      <c r="AA4" s="352">
        <v>32.1</v>
      </c>
      <c r="AB4" s="93">
        <v>472300</v>
      </c>
      <c r="AC4" s="237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31.85</v>
      </c>
      <c r="Y5" s="39">
        <v>32.090000000000003</v>
      </c>
      <c r="Z5" s="39">
        <v>31.76</v>
      </c>
      <c r="AA5" s="352">
        <v>31.83</v>
      </c>
      <c r="AB5" s="93">
        <v>318100</v>
      </c>
      <c r="AC5" s="237">
        <v>31.83</v>
      </c>
      <c r="AD5" s="2">
        <f t="shared" si="0"/>
        <v>0.33000000000000185</v>
      </c>
      <c r="AE5" s="134">
        <f t="shared" si="1"/>
        <v>-1.5683814303638632E-3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31.52</v>
      </c>
      <c r="Y6" s="39">
        <v>31.92</v>
      </c>
      <c r="Z6" s="39">
        <v>31.46</v>
      </c>
      <c r="AA6" s="352">
        <v>31.88</v>
      </c>
      <c r="AB6" s="93">
        <v>261900</v>
      </c>
      <c r="AC6" s="237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2">
        <v>31.87</v>
      </c>
      <c r="Y7" s="39">
        <v>31.88</v>
      </c>
      <c r="Z7" s="39">
        <v>31.46</v>
      </c>
      <c r="AA7" s="352">
        <v>31.68</v>
      </c>
      <c r="AB7" s="93">
        <v>462100</v>
      </c>
      <c r="AC7" s="237">
        <v>31.68</v>
      </c>
      <c r="AD7" s="2">
        <f t="shared" si="0"/>
        <v>0.41999999999999815</v>
      </c>
      <c r="AE7" s="134">
        <f t="shared" si="1"/>
        <v>-5.3375196232339217E-3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31.14</v>
      </c>
      <c r="Y8" s="39">
        <v>31.89</v>
      </c>
      <c r="Z8" s="39">
        <v>30.82</v>
      </c>
      <c r="AA8" s="352">
        <v>31.85</v>
      </c>
      <c r="AB8" s="93">
        <v>888100</v>
      </c>
      <c r="AC8" s="237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29.99</v>
      </c>
      <c r="Y9" s="39">
        <v>30.37</v>
      </c>
      <c r="Z9" s="39">
        <v>29.99</v>
      </c>
      <c r="AA9" s="352">
        <v>30.25</v>
      </c>
      <c r="AB9" s="93">
        <v>320000</v>
      </c>
      <c r="AC9" s="237">
        <v>30.25</v>
      </c>
      <c r="AD9" s="2">
        <f t="shared" si="0"/>
        <v>0.38000000000000256</v>
      </c>
      <c r="AE9" s="134">
        <f t="shared" si="1"/>
        <v>4.983388704318914E-3</v>
      </c>
      <c r="AK9" s="228"/>
      <c r="AN9" s="228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2">
        <v>29.9</v>
      </c>
      <c r="Y10" s="39">
        <v>30.3</v>
      </c>
      <c r="Z10" s="39">
        <v>29.8</v>
      </c>
      <c r="AA10" s="352">
        <v>30.1</v>
      </c>
      <c r="AB10" s="93">
        <v>528400</v>
      </c>
      <c r="AC10" s="237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30.09</v>
      </c>
      <c r="Y11" s="39">
        <v>30.2</v>
      </c>
      <c r="Z11" s="39">
        <v>29.79</v>
      </c>
      <c r="AA11" s="352">
        <v>29.85</v>
      </c>
      <c r="AB11" s="93">
        <v>276500</v>
      </c>
      <c r="AC11" s="237">
        <v>29.85</v>
      </c>
      <c r="AD11" s="2">
        <f t="shared" si="0"/>
        <v>0.41000000000000014</v>
      </c>
      <c r="AE11" s="134">
        <f t="shared" si="1"/>
        <v>-8.3056478405315604E-3</v>
      </c>
      <c r="AK11" s="228"/>
      <c r="AN11" s="228"/>
    </row>
    <row r="12" spans="1:40" x14ac:dyDescent="0.25">
      <c r="W12" s="92">
        <v>42816</v>
      </c>
      <c r="X12" s="352">
        <v>30.32</v>
      </c>
      <c r="Y12" s="39">
        <v>30.42</v>
      </c>
      <c r="Z12" s="39">
        <v>29.93</v>
      </c>
      <c r="AA12" s="352">
        <v>30.1</v>
      </c>
      <c r="AB12" s="93">
        <v>235400</v>
      </c>
      <c r="AC12" s="237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2">
        <v>30.91</v>
      </c>
      <c r="Y13" s="39">
        <v>31.31</v>
      </c>
      <c r="Z13" s="39">
        <v>30.28</v>
      </c>
      <c r="AA13" s="352">
        <v>30.35</v>
      </c>
      <c r="AB13" s="93">
        <v>607200</v>
      </c>
      <c r="AC13" s="237">
        <v>30.35</v>
      </c>
      <c r="AD13" s="2">
        <f t="shared" si="0"/>
        <v>1.0299999999999976</v>
      </c>
      <c r="AE13" s="134">
        <f t="shared" si="1"/>
        <v>-1.3970110461338558E-2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31.09</v>
      </c>
      <c r="Y14" s="39">
        <v>31.38</v>
      </c>
      <c r="Z14" s="39">
        <v>30.62</v>
      </c>
      <c r="AA14" s="352">
        <v>30.78</v>
      </c>
      <c r="AB14" s="93">
        <v>1149200</v>
      </c>
      <c r="AC14" s="237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2">
        <v>31.19</v>
      </c>
      <c r="Y15" s="39">
        <v>31.23</v>
      </c>
      <c r="Z15" s="39">
        <v>30.79</v>
      </c>
      <c r="AA15" s="352">
        <v>31.1</v>
      </c>
      <c r="AB15" s="93">
        <v>314400</v>
      </c>
      <c r="AC15" s="237">
        <v>31.1</v>
      </c>
      <c r="AD15" s="2">
        <f t="shared" si="0"/>
        <v>0.44000000000000128</v>
      </c>
      <c r="AE15" s="134">
        <f t="shared" si="1"/>
        <v>-2.8855402372555128E-3</v>
      </c>
      <c r="AK15" s="228"/>
      <c r="AN15" s="228"/>
    </row>
    <row r="16" spans="1:40" x14ac:dyDescent="0.25">
      <c r="W16" s="92">
        <v>42810</v>
      </c>
      <c r="X16" s="352">
        <v>31.31</v>
      </c>
      <c r="Y16" s="39">
        <v>31.51</v>
      </c>
      <c r="Z16" s="39">
        <v>31.02</v>
      </c>
      <c r="AA16" s="352">
        <v>31.19</v>
      </c>
      <c r="AB16" s="93">
        <v>345600</v>
      </c>
      <c r="AC16" s="237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2">
        <v>30.8</v>
      </c>
      <c r="Y17" s="39">
        <v>31.58</v>
      </c>
      <c r="Z17" s="39">
        <v>30.8</v>
      </c>
      <c r="AA17" s="352">
        <v>31.3</v>
      </c>
      <c r="AB17" s="93">
        <v>598800</v>
      </c>
      <c r="AC17" s="237">
        <v>31.3</v>
      </c>
      <c r="AD17" s="2">
        <f t="shared" si="0"/>
        <v>0.77999999999999758</v>
      </c>
      <c r="AE17" s="134">
        <f t="shared" si="1"/>
        <v>1.065547303842429E-2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31</v>
      </c>
      <c r="Y18" s="39">
        <v>31.02</v>
      </c>
      <c r="Z18" s="39">
        <v>30.66</v>
      </c>
      <c r="AA18" s="352">
        <v>30.97</v>
      </c>
      <c r="AB18" s="93">
        <v>236500</v>
      </c>
      <c r="AC18" s="237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2">
        <v>30.56</v>
      </c>
      <c r="Y19" s="39">
        <v>31.14</v>
      </c>
      <c r="Z19" s="39">
        <v>30.56</v>
      </c>
      <c r="AA19" s="352">
        <v>31.06</v>
      </c>
      <c r="AB19" s="93">
        <v>348200</v>
      </c>
      <c r="AC19" s="237">
        <v>31.06</v>
      </c>
      <c r="AD19" s="2">
        <f t="shared" si="0"/>
        <v>0.58000000000000185</v>
      </c>
      <c r="AE19" s="134">
        <f t="shared" si="1"/>
        <v>6.8071312803887896E-3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30.96</v>
      </c>
      <c r="Y20" s="39">
        <v>30.98</v>
      </c>
      <c r="Z20" s="39">
        <v>30.6</v>
      </c>
      <c r="AA20" s="352">
        <v>30.85</v>
      </c>
      <c r="AB20" s="93">
        <v>256300</v>
      </c>
      <c r="AC20" s="237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7"/>
      <c r="C21" s="10"/>
      <c r="D21" s="39"/>
      <c r="E21" s="39"/>
      <c r="F21" s="39"/>
      <c r="G21" s="39"/>
      <c r="H21" s="225"/>
      <c r="I21" s="39"/>
      <c r="W21" s="92">
        <v>42803</v>
      </c>
      <c r="X21" s="352">
        <v>30.79</v>
      </c>
      <c r="Y21" s="39">
        <v>30.9</v>
      </c>
      <c r="Z21" s="39">
        <v>30.61</v>
      </c>
      <c r="AA21" s="352">
        <v>30.79</v>
      </c>
      <c r="AB21" s="93">
        <v>235100</v>
      </c>
      <c r="AC21" s="237">
        <v>30.79</v>
      </c>
      <c r="AD21" s="2">
        <f t="shared" si="0"/>
        <v>0.28999999999999915</v>
      </c>
      <c r="AE21" s="134">
        <f t="shared" si="1"/>
        <v>-3.2467532467539417E-4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352">
        <v>30.76</v>
      </c>
      <c r="Y22" s="39">
        <v>30.88</v>
      </c>
      <c r="Z22" s="39">
        <v>30.63</v>
      </c>
      <c r="AA22" s="352">
        <v>30.8</v>
      </c>
      <c r="AB22" s="93">
        <v>254700</v>
      </c>
      <c r="AC22" s="237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352">
        <v>31.07</v>
      </c>
      <c r="Y23" s="39">
        <v>31.09</v>
      </c>
      <c r="Z23" s="39">
        <v>30.67</v>
      </c>
      <c r="AA23" s="352">
        <v>30.73</v>
      </c>
      <c r="AB23" s="93">
        <v>319300</v>
      </c>
      <c r="AC23" s="237">
        <v>30.73</v>
      </c>
      <c r="AD23" s="2">
        <f t="shared" si="0"/>
        <v>0.41999999999999815</v>
      </c>
      <c r="AE23" s="134">
        <f t="shared" si="1"/>
        <v>-1.1261261261261146E-2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352">
        <v>31.01</v>
      </c>
      <c r="Y24" s="39">
        <v>31.24</v>
      </c>
      <c r="Z24" s="39">
        <v>30.93</v>
      </c>
      <c r="AA24" s="352">
        <v>31.08</v>
      </c>
      <c r="AB24" s="93">
        <v>348500</v>
      </c>
      <c r="AC24" s="237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352">
        <v>31.1</v>
      </c>
      <c r="Y25" s="39">
        <v>31.36</v>
      </c>
      <c r="Z25" s="39">
        <v>31.03</v>
      </c>
      <c r="AA25" s="352">
        <v>31.15</v>
      </c>
      <c r="AB25" s="93">
        <v>706300</v>
      </c>
      <c r="AC25" s="237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352">
        <v>31.54</v>
      </c>
      <c r="Y26" s="39">
        <v>31.54</v>
      </c>
      <c r="Z26" s="39">
        <v>31.24</v>
      </c>
      <c r="AA26" s="352">
        <v>31.4</v>
      </c>
      <c r="AB26" s="93">
        <v>283100</v>
      </c>
      <c r="AC26" s="237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352">
        <v>31.49</v>
      </c>
      <c r="Y27" s="39">
        <v>31.77</v>
      </c>
      <c r="Z27" s="39">
        <v>31.3</v>
      </c>
      <c r="AA27" s="352">
        <v>31.49</v>
      </c>
      <c r="AB27" s="93">
        <v>375800</v>
      </c>
      <c r="AC27" s="237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352">
        <v>31.82</v>
      </c>
      <c r="Y28" s="39">
        <v>32.03</v>
      </c>
      <c r="Z28" s="39">
        <v>31.29</v>
      </c>
      <c r="AA28" s="352">
        <v>31.43</v>
      </c>
      <c r="AB28" s="93">
        <v>613700</v>
      </c>
      <c r="AC28" s="237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352">
        <v>31.32</v>
      </c>
      <c r="Y29" s="39">
        <v>32.07</v>
      </c>
      <c r="Z29" s="39">
        <v>31.18</v>
      </c>
      <c r="AA29" s="352">
        <v>32.049999999999997</v>
      </c>
      <c r="AB29" s="93">
        <v>922800</v>
      </c>
      <c r="AC29" s="237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352">
        <v>31.28</v>
      </c>
      <c r="Y30" s="39">
        <v>31.45</v>
      </c>
      <c r="Z30" s="39">
        <v>31.25</v>
      </c>
      <c r="AA30" s="352">
        <v>31.34</v>
      </c>
      <c r="AB30" s="93">
        <v>561000</v>
      </c>
      <c r="AC30" s="237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39"/>
      <c r="W31" s="92">
        <v>42789</v>
      </c>
      <c r="X31" s="352">
        <v>31.69</v>
      </c>
      <c r="Y31" s="39">
        <v>31.82</v>
      </c>
      <c r="Z31" s="39">
        <v>31.39</v>
      </c>
      <c r="AA31" s="352">
        <v>31.44</v>
      </c>
      <c r="AB31" s="93">
        <v>553200</v>
      </c>
      <c r="AC31" s="237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352">
        <v>31.5</v>
      </c>
      <c r="Y32" s="39">
        <v>31.98</v>
      </c>
      <c r="Z32" s="39">
        <v>31.5</v>
      </c>
      <c r="AA32" s="352">
        <v>31.73</v>
      </c>
      <c r="AB32" s="93">
        <v>467100</v>
      </c>
      <c r="AC32" s="237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352">
        <v>31.27</v>
      </c>
      <c r="Y33" s="39">
        <v>31.74</v>
      </c>
      <c r="Z33" s="39">
        <v>31.08</v>
      </c>
      <c r="AA33" s="352">
        <v>31.61</v>
      </c>
      <c r="AB33" s="93">
        <v>358700</v>
      </c>
      <c r="AC33" s="237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31.19</v>
      </c>
      <c r="Y34" s="39">
        <v>31.41</v>
      </c>
      <c r="Z34" s="39">
        <v>30.97</v>
      </c>
      <c r="AA34" s="352">
        <v>31.35</v>
      </c>
      <c r="AB34" s="93">
        <v>416000</v>
      </c>
      <c r="AC34" s="237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31.56</v>
      </c>
      <c r="Y35" s="39">
        <v>31.61</v>
      </c>
      <c r="Z35" s="39">
        <v>31.06</v>
      </c>
      <c r="AA35" s="352">
        <v>31.2</v>
      </c>
      <c r="AB35" s="93">
        <v>459800</v>
      </c>
      <c r="AC35" s="237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2">
        <v>31.84</v>
      </c>
      <c r="Y36" s="39">
        <v>31.92</v>
      </c>
      <c r="Z36" s="39">
        <v>31.42</v>
      </c>
      <c r="AA36" s="352">
        <v>31.44</v>
      </c>
      <c r="AB36" s="93">
        <v>501300</v>
      </c>
      <c r="AC36" s="237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2">
        <v>31.56</v>
      </c>
      <c r="Y37" s="39">
        <v>31.98</v>
      </c>
      <c r="Z37" s="39">
        <v>31.56</v>
      </c>
      <c r="AA37" s="352">
        <v>31.95</v>
      </c>
      <c r="AB37" s="93">
        <v>367800</v>
      </c>
      <c r="AC37" s="237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31.4</v>
      </c>
      <c r="Y38" s="39">
        <v>31.59</v>
      </c>
      <c r="Z38" s="39">
        <v>31.2</v>
      </c>
      <c r="AA38" s="352">
        <v>31.55</v>
      </c>
      <c r="AB38" s="93">
        <v>608400</v>
      </c>
      <c r="AC38" s="237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7" t="s">
        <v>23</v>
      </c>
      <c r="B39" s="258">
        <v>42619</v>
      </c>
      <c r="C39" s="253">
        <v>50</v>
      </c>
      <c r="D39" s="254">
        <v>31.18</v>
      </c>
      <c r="E39" s="254">
        <v>0</v>
      </c>
      <c r="F39" s="254">
        <f>D39*C39+E39</f>
        <v>1559</v>
      </c>
      <c r="G39" s="258">
        <v>42741</v>
      </c>
      <c r="H39" s="253">
        <v>50</v>
      </c>
      <c r="I39" s="254">
        <v>31.62</v>
      </c>
      <c r="J39" s="254">
        <v>0.03</v>
      </c>
      <c r="K39" s="254">
        <f>I39*H39-J39</f>
        <v>1580.97</v>
      </c>
      <c r="L39" s="258"/>
      <c r="M39" s="254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352">
        <v>31.47</v>
      </c>
      <c r="Y39" s="39">
        <v>31.64</v>
      </c>
      <c r="Z39" s="39">
        <v>31.04</v>
      </c>
      <c r="AA39" s="352">
        <v>31.33</v>
      </c>
      <c r="AB39" s="93">
        <v>491100</v>
      </c>
      <c r="AC39" s="237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0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3"/>
      <c r="O40" s="2"/>
      <c r="P40" s="81">
        <v>1.1000000000000001</v>
      </c>
      <c r="Q40" s="81">
        <f>P40*$Q$4</f>
        <v>34.276000000000003</v>
      </c>
      <c r="R40" s="33"/>
      <c r="T40" s="95" t="s">
        <v>97</v>
      </c>
      <c r="U40" s="126">
        <v>31.79</v>
      </c>
      <c r="W40" s="92">
        <v>42775</v>
      </c>
      <c r="X40" s="352">
        <v>31.14</v>
      </c>
      <c r="Y40" s="39">
        <v>31.56</v>
      </c>
      <c r="Z40" s="39">
        <v>31.02</v>
      </c>
      <c r="AA40" s="352">
        <v>31.47</v>
      </c>
      <c r="AB40" s="93">
        <v>597900</v>
      </c>
      <c r="AC40" s="237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2">P41*$Q$4</f>
        <v>33.964400000000005</v>
      </c>
      <c r="R41" s="33"/>
      <c r="T41" s="85" t="s">
        <v>98</v>
      </c>
      <c r="U41" s="127">
        <v>31.9</v>
      </c>
      <c r="W41" s="92">
        <v>42774</v>
      </c>
      <c r="X41" s="352">
        <v>30.82</v>
      </c>
      <c r="Y41" s="39">
        <v>31.19</v>
      </c>
      <c r="Z41" s="39">
        <v>30.72</v>
      </c>
      <c r="AA41" s="352">
        <v>31.08</v>
      </c>
      <c r="AB41" s="93">
        <v>950100</v>
      </c>
      <c r="AC41" s="237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2"/>
        <v>33.652799999999999</v>
      </c>
      <c r="R42" s="33"/>
      <c r="T42" s="85" t="s">
        <v>99</v>
      </c>
      <c r="U42" s="127" t="s">
        <v>128</v>
      </c>
      <c r="W42" s="92">
        <v>42773</v>
      </c>
      <c r="X42" s="352">
        <v>31.54</v>
      </c>
      <c r="Y42" s="39">
        <v>31.9</v>
      </c>
      <c r="Z42" s="39">
        <v>29.15</v>
      </c>
      <c r="AA42" s="352">
        <v>30.75</v>
      </c>
      <c r="AB42" s="93">
        <v>2003200</v>
      </c>
      <c r="AC42" s="237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2"/>
        <v>33.341200000000001</v>
      </c>
      <c r="R43" s="81"/>
      <c r="T43" s="85" t="s">
        <v>100</v>
      </c>
      <c r="U43" s="127" t="s">
        <v>531</v>
      </c>
      <c r="W43" s="92">
        <v>42772</v>
      </c>
      <c r="X43" s="352">
        <v>31.72</v>
      </c>
      <c r="Y43" s="39">
        <v>32.26</v>
      </c>
      <c r="Z43" s="39">
        <v>31.58</v>
      </c>
      <c r="AA43" s="352">
        <v>32.18</v>
      </c>
      <c r="AB43" s="93">
        <v>704900</v>
      </c>
      <c r="AC43" s="237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2"/>
        <v>33.029600000000002</v>
      </c>
      <c r="R44" s="81"/>
      <c r="T44" s="85" t="s">
        <v>101</v>
      </c>
      <c r="U44" s="127">
        <v>37.67</v>
      </c>
      <c r="W44" s="92">
        <v>42769</v>
      </c>
      <c r="X44" s="352">
        <v>31.43</v>
      </c>
      <c r="Y44" s="39">
        <v>32.03</v>
      </c>
      <c r="Z44" s="39">
        <v>31.37</v>
      </c>
      <c r="AA44" s="352">
        <v>31.84</v>
      </c>
      <c r="AB44" s="93">
        <v>503400</v>
      </c>
      <c r="AC44" s="237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2"/>
        <v>32.718000000000004</v>
      </c>
      <c r="R45" s="81"/>
      <c r="T45" s="85" t="s">
        <v>102</v>
      </c>
      <c r="U45" s="127">
        <v>0.445183</v>
      </c>
      <c r="W45" s="92">
        <v>42768</v>
      </c>
      <c r="X45" s="352">
        <v>31.7</v>
      </c>
      <c r="Y45" s="39">
        <v>31.83</v>
      </c>
      <c r="Z45" s="39">
        <v>31.37</v>
      </c>
      <c r="AA45" s="352">
        <v>31.48</v>
      </c>
      <c r="AB45" s="93">
        <v>417200</v>
      </c>
      <c r="AC45" s="237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2"/>
        <v>32.406399999999998</v>
      </c>
      <c r="R46" s="81"/>
      <c r="T46" s="85" t="s">
        <v>121</v>
      </c>
      <c r="U46" s="226" t="s">
        <v>426</v>
      </c>
      <c r="W46" s="92">
        <v>42767</v>
      </c>
      <c r="X46" s="352">
        <v>31.89</v>
      </c>
      <c r="Y46" s="39">
        <v>32.17</v>
      </c>
      <c r="Z46" s="39">
        <v>31.47</v>
      </c>
      <c r="AA46" s="352">
        <v>31.65</v>
      </c>
      <c r="AB46" s="93">
        <v>357500</v>
      </c>
      <c r="AC46" s="237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2"/>
        <v>32.094799999999999</v>
      </c>
      <c r="R47" s="81"/>
      <c r="T47" s="85"/>
      <c r="U47" s="127"/>
      <c r="W47" s="92">
        <v>42766</v>
      </c>
      <c r="X47" s="352">
        <v>31.04</v>
      </c>
      <c r="Y47" s="39">
        <v>31.87</v>
      </c>
      <c r="Z47" s="39">
        <v>30.97</v>
      </c>
      <c r="AA47" s="352">
        <v>31.86</v>
      </c>
      <c r="AB47" s="93">
        <v>623000</v>
      </c>
      <c r="AC47" s="237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2"/>
        <v>31.783200000000001</v>
      </c>
      <c r="R48" s="81"/>
      <c r="T48" s="85" t="s">
        <v>104</v>
      </c>
      <c r="U48" s="127" t="s">
        <v>579</v>
      </c>
      <c r="W48" s="92">
        <v>42765</v>
      </c>
      <c r="X48" s="352">
        <v>31.05</v>
      </c>
      <c r="Y48" s="39">
        <v>31.15</v>
      </c>
      <c r="Z48" s="39">
        <v>30.82</v>
      </c>
      <c r="AA48" s="352">
        <v>31</v>
      </c>
      <c r="AB48" s="93">
        <v>453200</v>
      </c>
      <c r="AC48" s="237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2"/>
        <v>31.471599999999999</v>
      </c>
      <c r="R49" s="81"/>
      <c r="T49" s="85" t="s">
        <v>105</v>
      </c>
      <c r="U49" s="127" t="s">
        <v>331</v>
      </c>
      <c r="W49" s="92">
        <v>42762</v>
      </c>
      <c r="X49" s="352">
        <v>31.63</v>
      </c>
      <c r="Y49" s="39">
        <v>31.63</v>
      </c>
      <c r="Z49" s="39">
        <v>31.03</v>
      </c>
      <c r="AA49" s="352">
        <v>31.22</v>
      </c>
      <c r="AB49" s="93">
        <v>809200</v>
      </c>
      <c r="AC49" s="237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2"/>
        <v>31.16</v>
      </c>
      <c r="R50" s="81"/>
      <c r="T50" s="85" t="s">
        <v>106</v>
      </c>
      <c r="U50" s="128">
        <v>349106</v>
      </c>
      <c r="W50" s="92">
        <v>42761</v>
      </c>
      <c r="X50" s="352">
        <v>31.42</v>
      </c>
      <c r="Y50" s="39">
        <v>31.8</v>
      </c>
      <c r="Z50" s="39">
        <v>31.27</v>
      </c>
      <c r="AA50" s="352">
        <v>31.51</v>
      </c>
      <c r="AB50" s="93">
        <v>839400</v>
      </c>
      <c r="AC50" s="237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2"/>
        <v>30.848400000000002</v>
      </c>
      <c r="R51" s="81"/>
      <c r="T51" s="85" t="s">
        <v>109</v>
      </c>
      <c r="U51" s="128">
        <v>511145</v>
      </c>
      <c r="W51" s="92">
        <v>42760</v>
      </c>
      <c r="X51" s="352">
        <v>31.65</v>
      </c>
      <c r="Y51" s="39">
        <v>31.83</v>
      </c>
      <c r="Z51" s="39">
        <v>31.38</v>
      </c>
      <c r="AA51" s="352">
        <v>31.4</v>
      </c>
      <c r="AB51" s="93">
        <v>807700</v>
      </c>
      <c r="AC51" s="237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2"/>
        <v>30.536799999999999</v>
      </c>
      <c r="R52" s="81"/>
      <c r="T52" s="85" t="s">
        <v>107</v>
      </c>
      <c r="U52" s="127" t="s">
        <v>580</v>
      </c>
      <c r="W52" s="92">
        <v>42759</v>
      </c>
      <c r="X52" s="352">
        <v>31.76</v>
      </c>
      <c r="Y52" s="39">
        <v>31.84</v>
      </c>
      <c r="Z52" s="39">
        <v>31.32</v>
      </c>
      <c r="AA52" s="352">
        <v>31.67</v>
      </c>
      <c r="AB52" s="93">
        <v>1254600</v>
      </c>
      <c r="AC52" s="237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2"/>
        <v>30.225200000000001</v>
      </c>
      <c r="R53" s="81"/>
      <c r="T53" s="85" t="s">
        <v>110</v>
      </c>
      <c r="U53" s="127">
        <v>15.28</v>
      </c>
      <c r="W53" s="92">
        <v>42758</v>
      </c>
      <c r="X53" s="352">
        <v>32.340000000000003</v>
      </c>
      <c r="Y53" s="39">
        <v>32.340000000000003</v>
      </c>
      <c r="Z53" s="39">
        <v>31.79</v>
      </c>
      <c r="AA53" s="352">
        <v>31.8</v>
      </c>
      <c r="AB53" s="93">
        <v>430400</v>
      </c>
      <c r="AC53" s="237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2"/>
        <v>29.913599999999999</v>
      </c>
      <c r="R54" s="81"/>
      <c r="T54" s="85" t="s">
        <v>111</v>
      </c>
      <c r="U54" s="127">
        <v>2.0699999999999998</v>
      </c>
      <c r="W54" s="92">
        <v>42755</v>
      </c>
      <c r="X54" s="352">
        <v>32.5</v>
      </c>
      <c r="Y54" s="39">
        <v>32.56</v>
      </c>
      <c r="Z54" s="39">
        <v>32.29</v>
      </c>
      <c r="AA54" s="352">
        <v>32.39</v>
      </c>
      <c r="AB54" s="93">
        <v>214600</v>
      </c>
      <c r="AC54" s="237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29.602</v>
      </c>
      <c r="R55" s="81"/>
      <c r="T55" s="85" t="s">
        <v>108</v>
      </c>
      <c r="U55" s="127" t="s">
        <v>122</v>
      </c>
      <c r="W55" s="92">
        <v>42754</v>
      </c>
      <c r="X55" s="352">
        <v>32.69</v>
      </c>
      <c r="Y55" s="39">
        <v>32.79</v>
      </c>
      <c r="Z55" s="39">
        <v>32.33</v>
      </c>
      <c r="AA55" s="352">
        <v>32.35</v>
      </c>
      <c r="AB55" s="93">
        <v>347500</v>
      </c>
      <c r="AC55" s="237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29.290399999999998</v>
      </c>
      <c r="R56" s="81"/>
      <c r="W56" s="92">
        <v>42753</v>
      </c>
      <c r="X56" s="352">
        <v>32.75</v>
      </c>
      <c r="Y56" s="39">
        <v>32.86</v>
      </c>
      <c r="Z56" s="39">
        <v>32.4</v>
      </c>
      <c r="AA56" s="352">
        <v>32.770000000000003</v>
      </c>
      <c r="AB56" s="93">
        <v>353000</v>
      </c>
      <c r="AC56" s="237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28.978800000000003</v>
      </c>
      <c r="R57" s="81"/>
      <c r="W57" s="92">
        <v>42752</v>
      </c>
      <c r="X57" s="352">
        <v>32.46</v>
      </c>
      <c r="Y57" s="39">
        <v>32.67</v>
      </c>
      <c r="Z57" s="39">
        <v>32.159999999999997</v>
      </c>
      <c r="AA57" s="352">
        <v>32.64</v>
      </c>
      <c r="AB57" s="93">
        <v>283300</v>
      </c>
      <c r="AC57" s="237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28.667200000000001</v>
      </c>
      <c r="R58" s="81"/>
      <c r="W58" s="92">
        <v>42748</v>
      </c>
      <c r="X58" s="352">
        <v>32.15</v>
      </c>
      <c r="Y58" s="39">
        <v>32.54</v>
      </c>
      <c r="Z58" s="39">
        <v>32.04</v>
      </c>
      <c r="AA58" s="352">
        <v>32.520000000000003</v>
      </c>
      <c r="AB58" s="93">
        <v>257000</v>
      </c>
      <c r="AC58" s="237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5" t="s">
        <v>113</v>
      </c>
      <c r="C59" s="185" t="s">
        <v>146</v>
      </c>
      <c r="D59" s="186" t="s">
        <v>145</v>
      </c>
      <c r="E59" s="188" t="s">
        <v>147</v>
      </c>
      <c r="F59" s="188" t="s">
        <v>65</v>
      </c>
      <c r="G59" s="223" t="s">
        <v>151</v>
      </c>
      <c r="H59" s="223" t="s">
        <v>88</v>
      </c>
      <c r="I59" s="223" t="s">
        <v>154</v>
      </c>
      <c r="O59" s="2"/>
      <c r="P59" s="81">
        <v>0.91</v>
      </c>
      <c r="Q59" s="81">
        <f t="shared" si="2"/>
        <v>28.355600000000003</v>
      </c>
      <c r="R59" s="81"/>
      <c r="W59" s="92">
        <v>42747</v>
      </c>
      <c r="X59" s="352">
        <v>31.7</v>
      </c>
      <c r="Y59" s="39">
        <v>32.15</v>
      </c>
      <c r="Z59" s="39">
        <v>31.61</v>
      </c>
      <c r="AA59" s="352">
        <v>32.11</v>
      </c>
      <c r="AB59" s="93">
        <v>244700</v>
      </c>
      <c r="AC59" s="237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8">
        <v>42619</v>
      </c>
      <c r="C60" s="253">
        <v>50</v>
      </c>
      <c r="D60" s="254">
        <v>31.18</v>
      </c>
      <c r="E60" s="254">
        <v>31.29</v>
      </c>
      <c r="F60" s="254">
        <f t="shared" ref="F60:F65" si="3">C60*(E60-D60)</f>
        <v>5.4999999999999716</v>
      </c>
      <c r="G60" s="254">
        <f t="shared" ref="G60:G65" si="4">D60*C60</f>
        <v>1559</v>
      </c>
      <c r="H60" s="268">
        <f t="shared" ref="H60:H65" si="5">(E60-D60)/D60</f>
        <v>3.5279025016035736E-3</v>
      </c>
      <c r="I60" s="254"/>
      <c r="O60" s="2"/>
      <c r="P60" s="81">
        <v>0.9</v>
      </c>
      <c r="Q60" s="81">
        <f t="shared" si="2"/>
        <v>28.044</v>
      </c>
      <c r="R60" s="81"/>
      <c r="W60" s="92">
        <v>42746</v>
      </c>
      <c r="X60" s="352">
        <v>32.090000000000003</v>
      </c>
      <c r="Y60" s="39">
        <v>32.24</v>
      </c>
      <c r="Z60" s="39">
        <v>31.69</v>
      </c>
      <c r="AA60" s="352">
        <v>31.85</v>
      </c>
      <c r="AB60" s="93">
        <v>292300</v>
      </c>
      <c r="AC60" s="237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8">
        <v>42620</v>
      </c>
      <c r="C61" s="253">
        <v>50</v>
      </c>
      <c r="D61" s="254">
        <v>31.18</v>
      </c>
      <c r="E61" s="254">
        <v>31.51</v>
      </c>
      <c r="F61" s="254">
        <f t="shared" si="3"/>
        <v>16.500000000000092</v>
      </c>
      <c r="G61" s="254">
        <f t="shared" si="4"/>
        <v>1559</v>
      </c>
      <c r="H61" s="268">
        <f t="shared" si="5"/>
        <v>1.0583707504810835E-2</v>
      </c>
      <c r="I61" s="254"/>
      <c r="W61" s="92">
        <v>42745</v>
      </c>
      <c r="X61" s="352">
        <v>31.82</v>
      </c>
      <c r="Y61" s="39">
        <v>32.340000000000003</v>
      </c>
      <c r="Z61" s="39">
        <v>31.66</v>
      </c>
      <c r="AA61" s="352">
        <v>32.1</v>
      </c>
      <c r="AB61" s="93">
        <v>581000</v>
      </c>
      <c r="AC61" s="237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8">
        <v>42621</v>
      </c>
      <c r="C62" s="253">
        <v>50</v>
      </c>
      <c r="D62" s="254">
        <v>31.18</v>
      </c>
      <c r="E62" s="254">
        <v>31.65</v>
      </c>
      <c r="F62" s="254">
        <f t="shared" si="3"/>
        <v>23.499999999999943</v>
      </c>
      <c r="G62" s="254">
        <f t="shared" si="4"/>
        <v>1559</v>
      </c>
      <c r="H62" s="268">
        <f t="shared" si="5"/>
        <v>1.5073765234124403E-2</v>
      </c>
      <c r="I62" s="254"/>
      <c r="W62" s="92">
        <v>42744</v>
      </c>
      <c r="X62" s="352">
        <v>31.86</v>
      </c>
      <c r="Y62" s="39">
        <v>31.97</v>
      </c>
      <c r="Z62" s="39">
        <v>31.62</v>
      </c>
      <c r="AA62" s="352">
        <v>31.79</v>
      </c>
      <c r="AB62" s="93">
        <v>678600</v>
      </c>
      <c r="AC62" s="237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8">
        <v>42622</v>
      </c>
      <c r="C63" s="253">
        <v>50</v>
      </c>
      <c r="D63" s="254">
        <v>31.18</v>
      </c>
      <c r="E63" s="254">
        <v>31.5</v>
      </c>
      <c r="F63" s="254">
        <f t="shared" si="3"/>
        <v>16.000000000000014</v>
      </c>
      <c r="G63" s="254">
        <f t="shared" si="4"/>
        <v>1559</v>
      </c>
      <c r="H63" s="268">
        <f t="shared" si="5"/>
        <v>1.0262989095574096E-2</v>
      </c>
      <c r="I63" s="254"/>
      <c r="W63" s="92">
        <v>42741</v>
      </c>
      <c r="X63" s="352">
        <v>31.12</v>
      </c>
      <c r="Y63" s="39">
        <v>31.82</v>
      </c>
      <c r="Z63" s="39">
        <v>31</v>
      </c>
      <c r="AA63" s="352">
        <v>31.81</v>
      </c>
      <c r="AB63" s="93">
        <v>376900</v>
      </c>
      <c r="AC63" s="237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8">
        <v>42634</v>
      </c>
      <c r="C64" s="253">
        <v>50</v>
      </c>
      <c r="D64" s="254">
        <v>31.18</v>
      </c>
      <c r="E64" s="254">
        <v>32.049999999999997</v>
      </c>
      <c r="F64" s="254">
        <f t="shared" si="3"/>
        <v>43.499999999999872</v>
      </c>
      <c r="G64" s="254">
        <f t="shared" si="4"/>
        <v>1559</v>
      </c>
      <c r="H64" s="268">
        <f t="shared" si="5"/>
        <v>2.7902501603591964E-2</v>
      </c>
      <c r="I64" s="254"/>
      <c r="W64" s="92">
        <v>42740</v>
      </c>
      <c r="X64" s="352">
        <v>31.12</v>
      </c>
      <c r="Y64" s="39">
        <v>31.55</v>
      </c>
      <c r="Z64" s="39">
        <v>31.03</v>
      </c>
      <c r="AA64" s="352">
        <v>31.12</v>
      </c>
      <c r="AB64" s="93">
        <v>871500</v>
      </c>
      <c r="AC64" s="237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8">
        <v>42648</v>
      </c>
      <c r="C65" s="253">
        <v>50</v>
      </c>
      <c r="D65" s="254">
        <v>31.18</v>
      </c>
      <c r="E65" s="254">
        <v>31.87</v>
      </c>
      <c r="F65" s="254">
        <f t="shared" si="3"/>
        <v>34.500000000000064</v>
      </c>
      <c r="G65" s="254">
        <f t="shared" si="4"/>
        <v>1559</v>
      </c>
      <c r="H65" s="268">
        <f t="shared" si="5"/>
        <v>2.2129570237331662E-2</v>
      </c>
      <c r="I65" s="254"/>
      <c r="W65" s="92">
        <v>42739</v>
      </c>
      <c r="X65" s="352">
        <v>31.05</v>
      </c>
      <c r="Y65" s="39">
        <v>31.65</v>
      </c>
      <c r="Z65" s="39">
        <v>30.96</v>
      </c>
      <c r="AA65" s="352">
        <v>31.11</v>
      </c>
      <c r="AB65" s="93">
        <v>895800</v>
      </c>
      <c r="AC65" s="237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8">
        <v>42649</v>
      </c>
      <c r="C66" s="253">
        <v>50</v>
      </c>
      <c r="D66" s="254">
        <v>31.18</v>
      </c>
      <c r="E66" s="254">
        <v>31.61</v>
      </c>
      <c r="F66" s="254">
        <f>C66*(E66-D66)</f>
        <v>21.499999999999986</v>
      </c>
      <c r="G66" s="254">
        <f>D66*C66</f>
        <v>1559</v>
      </c>
      <c r="H66" s="268">
        <f>(E66-D66)/D66</f>
        <v>1.379089159717767E-2</v>
      </c>
      <c r="I66" s="254"/>
      <c r="W66" s="92">
        <v>42738</v>
      </c>
      <c r="X66" s="352">
        <v>30.41</v>
      </c>
      <c r="Y66" s="39">
        <v>31.08</v>
      </c>
      <c r="Z66" s="39">
        <v>30.26</v>
      </c>
      <c r="AA66" s="352">
        <v>31.08</v>
      </c>
      <c r="AB66" s="93">
        <v>572200</v>
      </c>
      <c r="AC66" s="237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8">
        <v>42701</v>
      </c>
      <c r="C67" s="253">
        <v>50</v>
      </c>
      <c r="D67" s="254">
        <v>31.18</v>
      </c>
      <c r="E67" s="254">
        <v>29.98</v>
      </c>
      <c r="F67" s="254">
        <f>C67*(E67-D67)</f>
        <v>-59.999999999999964</v>
      </c>
      <c r="G67" s="254">
        <f>D67*C67</f>
        <v>1559</v>
      </c>
      <c r="H67" s="268">
        <f>(E67-D67)/D67</f>
        <v>-3.8486209108402801E-2</v>
      </c>
      <c r="I67" s="254"/>
      <c r="W67" s="92">
        <v>42734</v>
      </c>
      <c r="X67" s="352">
        <v>30.42</v>
      </c>
      <c r="Y67" s="39">
        <v>30.48</v>
      </c>
      <c r="Z67" s="39">
        <v>30.21</v>
      </c>
      <c r="AA67" s="352">
        <v>30.36</v>
      </c>
      <c r="AB67" s="93">
        <v>304700</v>
      </c>
      <c r="AC67" s="237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8">
        <v>42741</v>
      </c>
      <c r="C68" s="253">
        <v>0</v>
      </c>
      <c r="D68" s="254"/>
      <c r="E68" s="254">
        <v>21.97</v>
      </c>
      <c r="F68" s="254"/>
      <c r="G68" s="254"/>
      <c r="H68" s="268"/>
      <c r="I68" s="254"/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:31" x14ac:dyDescent="0.25">
      <c r="B69" s="187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5">
        <f>(E69-D69)/D69</f>
        <v>5.0204918032786844E-2</v>
      </c>
      <c r="I69" s="39"/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  <row r="70" spans="2:31" x14ac:dyDescent="0.25">
      <c r="B70" s="187">
        <v>42804</v>
      </c>
      <c r="C70" s="10">
        <v>0</v>
      </c>
      <c r="D70" s="39"/>
      <c r="E70" s="39">
        <v>30.85</v>
      </c>
      <c r="F70" s="39">
        <v>149.93</v>
      </c>
      <c r="G70" s="39"/>
      <c r="H70" s="225"/>
      <c r="I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31" priority="31">
      <formula>F29&gt;0</formula>
    </cfRule>
    <cfRule type="expression" dxfId="2230" priority="32">
      <formula>F29&lt;0</formula>
    </cfRule>
  </conditionalFormatting>
  <conditionalFormatting sqref="F29 F31:F35">
    <cfRule type="expression" dxfId="2229" priority="33">
      <formula>F29&gt;0</formula>
    </cfRule>
    <cfRule type="expression" dxfId="2228" priority="34">
      <formula>F29&lt;0</formula>
    </cfRule>
  </conditionalFormatting>
  <conditionalFormatting sqref="H29 H31:H35">
    <cfRule type="expression" dxfId="2227" priority="29">
      <formula>H29&gt;0</formula>
    </cfRule>
    <cfRule type="expression" dxfId="2226" priority="30">
      <formula>H29&lt;0</formula>
    </cfRule>
  </conditionalFormatting>
  <conditionalFormatting sqref="F21:F28">
    <cfRule type="expression" dxfId="2225" priority="27">
      <formula>F21&gt;0</formula>
    </cfRule>
    <cfRule type="expression" dxfId="2224" priority="28">
      <formula>F21&lt;0</formula>
    </cfRule>
  </conditionalFormatting>
  <conditionalFormatting sqref="H21:H28">
    <cfRule type="expression" dxfId="2223" priority="25">
      <formula>H21&gt;0</formula>
    </cfRule>
    <cfRule type="expression" dxfId="2222" priority="26">
      <formula>H21&lt;0</formula>
    </cfRule>
  </conditionalFormatting>
  <conditionalFormatting sqref="Q8">
    <cfRule type="expression" dxfId="2221" priority="21">
      <formula>Q8&gt;0</formula>
    </cfRule>
    <cfRule type="expression" dxfId="2220" priority="22">
      <formula>Q8&lt;0</formula>
    </cfRule>
  </conditionalFormatting>
  <conditionalFormatting sqref="Q7">
    <cfRule type="expression" dxfId="2219" priority="23">
      <formula>Q7&gt;0</formula>
    </cfRule>
    <cfRule type="expression" dxfId="2218" priority="24">
      <formula>Q7&lt;0</formula>
    </cfRule>
  </conditionalFormatting>
  <conditionalFormatting sqref="F30">
    <cfRule type="expression" dxfId="2217" priority="19">
      <formula>F30&gt;0</formula>
    </cfRule>
    <cfRule type="expression" dxfId="2216" priority="20">
      <formula>F30&lt;0</formula>
    </cfRule>
  </conditionalFormatting>
  <conditionalFormatting sqref="H30">
    <cfRule type="expression" dxfId="2215" priority="17">
      <formula>H30&gt;0</formula>
    </cfRule>
    <cfRule type="expression" dxfId="2214" priority="18">
      <formula>H30&lt;0</formula>
    </cfRule>
  </conditionalFormatting>
  <conditionalFormatting sqref="F68 F70:F74">
    <cfRule type="expression" dxfId="2213" priority="13">
      <formula>F68&gt;0</formula>
    </cfRule>
    <cfRule type="expression" dxfId="2212" priority="14">
      <formula>F68&lt;0</formula>
    </cfRule>
  </conditionalFormatting>
  <conditionalFormatting sqref="F68 F70:F74">
    <cfRule type="expression" dxfId="2211" priority="15">
      <formula>F68&gt;0</formula>
    </cfRule>
    <cfRule type="expression" dxfId="2210" priority="16">
      <formula>F68&lt;0</formula>
    </cfRule>
  </conditionalFormatting>
  <conditionalFormatting sqref="H68 H70:H74">
    <cfRule type="expression" dxfId="2209" priority="11">
      <formula>H68&gt;0</formula>
    </cfRule>
    <cfRule type="expression" dxfId="2208" priority="12">
      <formula>H68&lt;0</formula>
    </cfRule>
  </conditionalFormatting>
  <conditionalFormatting sqref="F60:F67">
    <cfRule type="expression" dxfId="2207" priority="9">
      <formula>F60&gt;0</formula>
    </cfRule>
    <cfRule type="expression" dxfId="2206" priority="10">
      <formula>F60&lt;0</formula>
    </cfRule>
  </conditionalFormatting>
  <conditionalFormatting sqref="H60:H67">
    <cfRule type="expression" dxfId="2205" priority="7">
      <formula>H60&gt;0</formula>
    </cfRule>
    <cfRule type="expression" dxfId="2204" priority="8">
      <formula>H60&lt;0</formula>
    </cfRule>
  </conditionalFormatting>
  <conditionalFormatting sqref="F69">
    <cfRule type="expression" dxfId="2203" priority="5">
      <formula>F69&gt;0</formula>
    </cfRule>
    <cfRule type="expression" dxfId="2202" priority="6">
      <formula>F69&lt;0</formula>
    </cfRule>
  </conditionalFormatting>
  <conditionalFormatting sqref="H69">
    <cfRule type="expression" dxfId="2201" priority="3">
      <formula>H69&gt;0</formula>
    </cfRule>
    <cfRule type="expression" dxfId="2200" priority="4">
      <formula>H69&lt;0</formula>
    </cfRule>
  </conditionalFormatting>
  <conditionalFormatting sqref="Q10">
    <cfRule type="expression" dxfId="2199" priority="1">
      <formula>Q10&gt;0</formula>
    </cfRule>
    <cfRule type="expression" dxfId="219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36.14</v>
      </c>
      <c r="R4" s="478">
        <v>0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7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5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7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5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7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5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7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5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7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5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7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5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7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5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7">
        <v>42663</v>
      </c>
      <c r="C32" s="10">
        <v>0</v>
      </c>
      <c r="D32" s="39"/>
      <c r="E32" s="39"/>
      <c r="F32" s="39">
        <v>98.45</v>
      </c>
      <c r="G32" s="39"/>
      <c r="H32" s="225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230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2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2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2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2"/>
      <c r="I40" s="3"/>
      <c r="O40" s="847" t="s">
        <v>78</v>
      </c>
      <c r="P40" s="84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2"/>
      <c r="I41" s="3"/>
      <c r="O41" s="81">
        <v>1.1000000000000001</v>
      </c>
      <c r="P41" s="81">
        <f>O41*$Q$4</f>
        <v>39.754000000000005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2"/>
      <c r="I42" s="3"/>
      <c r="O42" s="81">
        <v>1.0900000000000001</v>
      </c>
      <c r="P42" s="81">
        <f t="shared" ref="P42:P61" si="5">O42*$Q$4</f>
        <v>39.392600000000002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2"/>
      <c r="I43" s="3"/>
      <c r="O43" s="81">
        <v>1.08</v>
      </c>
      <c r="P43" s="81">
        <f t="shared" si="5"/>
        <v>39.031200000000005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2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38.669800000000002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5" t="s">
        <v>1</v>
      </c>
      <c r="B45" s="255" t="s">
        <v>2</v>
      </c>
      <c r="C45" s="255" t="s">
        <v>4</v>
      </c>
      <c r="D45" s="256" t="s">
        <v>5</v>
      </c>
      <c r="E45" s="256" t="s">
        <v>94</v>
      </c>
      <c r="F45" s="256" t="s">
        <v>60</v>
      </c>
      <c r="G45" s="255" t="s">
        <v>3</v>
      </c>
      <c r="H45" s="255" t="s">
        <v>6</v>
      </c>
      <c r="I45" s="256" t="s">
        <v>7</v>
      </c>
      <c r="J45" s="256" t="s">
        <v>95</v>
      </c>
      <c r="K45" s="256" t="s">
        <v>61</v>
      </c>
      <c r="L45" s="255" t="s">
        <v>37</v>
      </c>
      <c r="M45" s="255" t="s">
        <v>38</v>
      </c>
      <c r="O45" s="81">
        <v>1.06</v>
      </c>
      <c r="P45" s="81">
        <f t="shared" si="5"/>
        <v>38.308400000000006</v>
      </c>
      <c r="Q45" s="2"/>
      <c r="T45" s="91" t="s">
        <v>99</v>
      </c>
      <c r="U45" s="127" t="s">
        <v>581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7" t="s">
        <v>268</v>
      </c>
      <c r="B46" s="258">
        <v>42619</v>
      </c>
      <c r="C46" s="253">
        <v>100</v>
      </c>
      <c r="D46" s="254">
        <v>24.28</v>
      </c>
      <c r="E46" s="254">
        <v>0</v>
      </c>
      <c r="F46" s="254">
        <f>D46*C46+E46</f>
        <v>2428</v>
      </c>
      <c r="G46" s="258">
        <v>42663</v>
      </c>
      <c r="H46" s="259">
        <v>100</v>
      </c>
      <c r="I46" s="254">
        <v>25.09</v>
      </c>
      <c r="J46" s="254">
        <v>0.55000000000000004</v>
      </c>
      <c r="K46" s="254">
        <f>H46*I46-J46</f>
        <v>2508.4499999999998</v>
      </c>
      <c r="L46" s="258">
        <v>42662</v>
      </c>
      <c r="M46" s="254">
        <v>18</v>
      </c>
      <c r="O46" s="81">
        <v>1.05</v>
      </c>
      <c r="P46" s="81">
        <f t="shared" si="5"/>
        <v>37.947000000000003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0" t="s">
        <v>71</v>
      </c>
      <c r="B47" s="258"/>
      <c r="C47" s="253"/>
      <c r="D47" s="254"/>
      <c r="E47" s="254"/>
      <c r="F47" s="254"/>
      <c r="G47" s="258"/>
      <c r="H47" s="259"/>
      <c r="I47" s="254"/>
      <c r="J47" s="254"/>
      <c r="K47" s="254"/>
      <c r="L47" s="253"/>
      <c r="M47" s="253"/>
      <c r="O47" s="81">
        <v>1.04</v>
      </c>
      <c r="P47" s="81">
        <f t="shared" si="5"/>
        <v>37.585599999999999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3"/>
      <c r="B48" s="258"/>
      <c r="C48" s="253"/>
      <c r="D48" s="254"/>
      <c r="E48" s="254"/>
      <c r="F48" s="254"/>
      <c r="G48" s="258"/>
      <c r="H48" s="259"/>
      <c r="I48" s="254"/>
      <c r="J48" s="254"/>
      <c r="K48" s="254"/>
      <c r="L48" s="253"/>
      <c r="M48" s="253"/>
      <c r="O48" s="81">
        <v>1.03</v>
      </c>
      <c r="P48" s="81">
        <f t="shared" si="5"/>
        <v>37.224200000000003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3"/>
      <c r="B49" s="258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81">
        <v>1.02</v>
      </c>
      <c r="P49" s="81">
        <f t="shared" si="5"/>
        <v>36.8628</v>
      </c>
      <c r="Q49" s="2"/>
      <c r="T49" s="91" t="s">
        <v>121</v>
      </c>
      <c r="U49" s="127" t="s">
        <v>427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3"/>
      <c r="B50" s="258"/>
      <c r="C50" s="253"/>
      <c r="D50" s="254"/>
      <c r="E50" s="254"/>
      <c r="F50" s="254"/>
      <c r="G50" s="253"/>
      <c r="H50" s="259"/>
      <c r="I50" s="254"/>
      <c r="J50" s="254"/>
      <c r="K50" s="254"/>
      <c r="L50" s="253"/>
      <c r="M50" s="253"/>
      <c r="O50" s="81">
        <v>1.01</v>
      </c>
      <c r="P50" s="81">
        <f t="shared" si="5"/>
        <v>36.501400000000004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5"/>
        <v>36.14</v>
      </c>
      <c r="Q51" s="2"/>
      <c r="T51" s="91" t="s">
        <v>104</v>
      </c>
      <c r="U51" s="127" t="s">
        <v>582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5"/>
        <v>35.778599999999997</v>
      </c>
      <c r="Q52" s="2"/>
      <c r="T52" s="91" t="s">
        <v>105</v>
      </c>
      <c r="U52" s="127" t="s">
        <v>536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5"/>
        <v>35.417200000000001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5"/>
        <v>35.055799999999998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5"/>
        <v>34.694400000000002</v>
      </c>
      <c r="T55" s="91" t="s">
        <v>107</v>
      </c>
      <c r="U55" s="127" t="s">
        <v>583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5"/>
        <v>34.332999999999998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33.971599999999995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33.610199999999999</v>
      </c>
      <c r="T58" s="91" t="s">
        <v>108</v>
      </c>
      <c r="U58" s="127" t="s">
        <v>537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33.248800000000003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32.8874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3"/>
      <c r="I61" s="254"/>
      <c r="J61" s="254"/>
      <c r="K61" s="254"/>
      <c r="L61" s="253"/>
      <c r="M61" s="253"/>
      <c r="O61" s="81">
        <v>0.9</v>
      </c>
      <c r="P61" s="81">
        <f t="shared" si="5"/>
        <v>32.526000000000003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2" t="s">
        <v>194</v>
      </c>
      <c r="B63" s="443"/>
      <c r="C63" s="444">
        <f>SumByColor($A$19,C46:C61)</f>
        <v>0</v>
      </c>
      <c r="D63" s="444"/>
      <c r="E63" s="444"/>
      <c r="F63" s="445">
        <f>SumByColor($A$19,F46:F61)</f>
        <v>0</v>
      </c>
      <c r="G63" s="444"/>
      <c r="H63" s="444">
        <f>SumByColor($A$19,H46:H61)</f>
        <v>0</v>
      </c>
      <c r="I63" s="444"/>
      <c r="J63" s="444"/>
      <c r="K63" s="445">
        <f>SumByColor($A$19,K46:K61)</f>
        <v>0</v>
      </c>
      <c r="L63" s="444"/>
      <c r="M63" s="445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197" priority="11">
      <formula>F33&gt;0</formula>
    </cfRule>
    <cfRule type="expression" dxfId="2196" priority="12">
      <formula>F33&lt;0</formula>
    </cfRule>
  </conditionalFormatting>
  <conditionalFormatting sqref="Q7">
    <cfRule type="expression" dxfId="2195" priority="9">
      <formula>Q7&gt;0</formula>
    </cfRule>
    <cfRule type="expression" dxfId="2194" priority="10">
      <formula>Q7&lt;0</formula>
    </cfRule>
  </conditionalFormatting>
  <conditionalFormatting sqref="Q8">
    <cfRule type="expression" dxfId="2193" priority="7">
      <formula>Q8&gt;0</formula>
    </cfRule>
    <cfRule type="expression" dxfId="2192" priority="8">
      <formula>Q8&lt;0</formula>
    </cfRule>
  </conditionalFormatting>
  <conditionalFormatting sqref="F25:F32">
    <cfRule type="expression" dxfId="2191" priority="5">
      <formula>F25&gt;0</formula>
    </cfRule>
    <cfRule type="expression" dxfId="2190" priority="6">
      <formula>F25&lt;0</formula>
    </cfRule>
  </conditionalFormatting>
  <conditionalFormatting sqref="H25:H32">
    <cfRule type="expression" dxfId="2189" priority="3">
      <formula>H25&gt;0</formula>
    </cfRule>
    <cfRule type="expression" dxfId="2188" priority="4">
      <formula>H25&lt;0</formula>
    </cfRule>
  </conditionalFormatting>
  <conditionalFormatting sqref="Q10">
    <cfRule type="expression" dxfId="2187" priority="1">
      <formula>Q10&gt;0</formula>
    </cfRule>
    <cfRule type="expression" dxfId="218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7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457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7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9">
        <f>IF(Q2=0, Q4, (F18-K18-M18)/Q2)</f>
        <v>16.699633333333331</v>
      </c>
      <c r="T3" s="571" t="s">
        <v>481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7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8">
        <v>11.319900000000001</v>
      </c>
      <c r="R4" s="478">
        <v>2.4400000000000002E-2</v>
      </c>
      <c r="T4" s="158" t="s">
        <v>482</v>
      </c>
      <c r="U4" s="1"/>
      <c r="X4" s="134"/>
    </row>
    <row r="5" spans="1:24" x14ac:dyDescent="0.25">
      <c r="A5" s="1"/>
      <c r="B5" s="437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7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3395.9700000000003</v>
      </c>
      <c r="T5" t="s">
        <v>483</v>
      </c>
      <c r="X5" s="134"/>
    </row>
    <row r="6" spans="1:24" x14ac:dyDescent="0.25">
      <c r="B6" s="437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7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7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7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-330.50000000000455</v>
      </c>
      <c r="R7">
        <v>300</v>
      </c>
      <c r="T7" s="1">
        <v>43453</v>
      </c>
      <c r="U7" t="s">
        <v>857</v>
      </c>
      <c r="X7" s="134"/>
    </row>
    <row r="8" spans="1:24" x14ac:dyDescent="0.25">
      <c r="B8" s="437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7">
        <v>43161</v>
      </c>
      <c r="H8" s="179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-1613.9199999999992</v>
      </c>
      <c r="X8" s="134"/>
    </row>
    <row r="9" spans="1:24" x14ac:dyDescent="0.25">
      <c r="B9" s="437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7">
        <v>43161</v>
      </c>
      <c r="H9" s="179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-0.32214679364217563</v>
      </c>
      <c r="T9" s="29">
        <v>43103</v>
      </c>
      <c r="U9" t="s">
        <v>848</v>
      </c>
      <c r="X9" s="134"/>
    </row>
    <row r="10" spans="1:24" x14ac:dyDescent="0.25">
      <c r="A10" t="s">
        <v>799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849</v>
      </c>
      <c r="X10" s="134"/>
    </row>
    <row r="11" spans="1:24" x14ac:dyDescent="0.25">
      <c r="B11" s="437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850</v>
      </c>
      <c r="X11" s="134"/>
    </row>
    <row r="12" spans="1:24" x14ac:dyDescent="0.25">
      <c r="B12" s="437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9"/>
      <c r="I12" s="3"/>
      <c r="J12" s="3"/>
      <c r="K12" s="3"/>
      <c r="L12" s="4"/>
      <c r="M12" s="4"/>
      <c r="X12" s="134"/>
    </row>
    <row r="13" spans="1:24" x14ac:dyDescent="0.25">
      <c r="B13" s="437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9"/>
      <c r="I13" s="3"/>
      <c r="J13" s="3"/>
      <c r="K13" s="3"/>
      <c r="L13" s="4"/>
      <c r="M13" s="4"/>
      <c r="O13" s="11" t="s">
        <v>997</v>
      </c>
      <c r="Q13">
        <f>Q4/0.32</f>
        <v>35.3746875</v>
      </c>
      <c r="U13" t="s">
        <v>858</v>
      </c>
      <c r="X13" s="134"/>
    </row>
    <row r="14" spans="1:24" x14ac:dyDescent="0.25">
      <c r="B14" s="437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9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7" t="s">
        <v>78</v>
      </c>
      <c r="P15" s="847"/>
      <c r="T15" s="1">
        <v>43114</v>
      </c>
      <c r="U15" t="s">
        <v>890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13.017885</v>
      </c>
      <c r="U16" s="478" t="s">
        <v>891</v>
      </c>
      <c r="X16" s="134"/>
    </row>
    <row r="17" spans="1:24" x14ac:dyDescent="0.25">
      <c r="O17" s="81">
        <v>1.1399999999999999</v>
      </c>
      <c r="P17" s="81">
        <f t="shared" si="4"/>
        <v>12.904686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12.791487</v>
      </c>
      <c r="T18" s="1">
        <v>43140</v>
      </c>
      <c r="U18" t="s">
        <v>947</v>
      </c>
      <c r="X18" s="134"/>
    </row>
    <row r="19" spans="1:24" ht="15.75" thickBot="1" x14ac:dyDescent="0.3">
      <c r="A19" s="344" t="s">
        <v>194</v>
      </c>
      <c r="B19" s="345"/>
      <c r="C19" s="346">
        <f>SumByColor($A$19,C2:C17)</f>
        <v>1050</v>
      </c>
      <c r="D19" s="346"/>
      <c r="E19" s="346"/>
      <c r="F19" s="347">
        <f>SumByColor($A$19,F2:F17)</f>
        <v>13793</v>
      </c>
      <c r="G19" s="346"/>
      <c r="H19" s="346">
        <f>SumByColor($A$19,H2:H17)</f>
        <v>1050</v>
      </c>
      <c r="I19" s="346"/>
      <c r="J19" s="346"/>
      <c r="K19" s="347">
        <f>SumByColor($A$19,K2:K17)</f>
        <v>14385</v>
      </c>
      <c r="L19" s="346"/>
      <c r="M19" s="347">
        <f>SumByColor($A$19,M2:M17)</f>
        <v>0</v>
      </c>
      <c r="O19" s="81">
        <v>1.1200000000000001</v>
      </c>
      <c r="P19" s="81">
        <f t="shared" ref="P19:P23" si="5">O19*$Q$4</f>
        <v>12.678288000000002</v>
      </c>
      <c r="X19" s="134"/>
    </row>
    <row r="20" spans="1:24" x14ac:dyDescent="0.25">
      <c r="O20" s="81">
        <v>1.1100000000000001</v>
      </c>
      <c r="P20" s="81">
        <f t="shared" si="5"/>
        <v>12.565089000000002</v>
      </c>
      <c r="T20" s="1">
        <v>43152</v>
      </c>
      <c r="U20" t="s">
        <v>951</v>
      </c>
      <c r="X20" s="134"/>
    </row>
    <row r="21" spans="1:24" x14ac:dyDescent="0.25">
      <c r="O21" s="81">
        <v>1.1000000000000001</v>
      </c>
      <c r="P21" s="81">
        <f t="shared" si="5"/>
        <v>12.451890000000002</v>
      </c>
      <c r="X21" s="134"/>
    </row>
    <row r="22" spans="1:24" x14ac:dyDescent="0.25">
      <c r="O22" s="81">
        <v>1.0900000000000001</v>
      </c>
      <c r="P22" s="81">
        <f t="shared" si="5"/>
        <v>12.338691000000001</v>
      </c>
      <c r="T22" s="1">
        <v>43160</v>
      </c>
      <c r="U22" t="s">
        <v>897</v>
      </c>
      <c r="X22" s="134"/>
    </row>
    <row r="23" spans="1:24" x14ac:dyDescent="0.25">
      <c r="O23" s="81">
        <v>1.08</v>
      </c>
      <c r="P23" s="81">
        <f t="shared" si="5"/>
        <v>12.225492000000001</v>
      </c>
      <c r="X23" s="134"/>
    </row>
    <row r="24" spans="1:24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O24" s="81">
        <v>1.07</v>
      </c>
      <c r="P24" s="81">
        <f t="shared" ref="P24:P26" si="6">O24*$Q$4</f>
        <v>12.112293000000001</v>
      </c>
      <c r="T24" s="1">
        <v>43191</v>
      </c>
      <c r="U24" t="s">
        <v>1018</v>
      </c>
      <c r="X24" s="134"/>
    </row>
    <row r="25" spans="1:24" x14ac:dyDescent="0.25">
      <c r="A25" s="4"/>
      <c r="B25" s="187">
        <v>42969</v>
      </c>
      <c r="C25" s="10">
        <v>150</v>
      </c>
      <c r="D25" s="194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5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11.999094000000001</v>
      </c>
      <c r="X25" s="134"/>
    </row>
    <row r="26" spans="1:24" x14ac:dyDescent="0.25">
      <c r="A26" s="4"/>
      <c r="B26" s="187">
        <v>42977</v>
      </c>
      <c r="C26" s="10">
        <v>250</v>
      </c>
      <c r="D26" s="194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5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11.885895000000001</v>
      </c>
      <c r="X26" s="134"/>
    </row>
    <row r="27" spans="1:24" x14ac:dyDescent="0.25">
      <c r="A27" s="4"/>
      <c r="B27" s="187">
        <v>42983</v>
      </c>
      <c r="C27" s="10">
        <v>250</v>
      </c>
      <c r="D27" s="194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5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11.772696000000002</v>
      </c>
      <c r="X27" s="134"/>
    </row>
    <row r="28" spans="1:24" x14ac:dyDescent="0.25">
      <c r="A28" s="4"/>
      <c r="B28" s="187">
        <v>42984</v>
      </c>
      <c r="C28" s="10">
        <v>200</v>
      </c>
      <c r="D28" s="194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5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11.659497</v>
      </c>
      <c r="X28" s="134"/>
    </row>
    <row r="29" spans="1:24" x14ac:dyDescent="0.25">
      <c r="A29" s="4"/>
      <c r="B29" s="187">
        <v>42986</v>
      </c>
      <c r="C29" s="10">
        <v>200</v>
      </c>
      <c r="D29" s="194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5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11.546298</v>
      </c>
      <c r="X29" s="134"/>
    </row>
    <row r="30" spans="1:24" x14ac:dyDescent="0.25">
      <c r="A30" s="4"/>
      <c r="B30" s="187">
        <v>42999</v>
      </c>
      <c r="C30" s="10">
        <v>200</v>
      </c>
      <c r="D30" s="194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5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11.433099</v>
      </c>
      <c r="X30" s="134"/>
    </row>
    <row r="31" spans="1:24" x14ac:dyDescent="0.25">
      <c r="A31" s="4"/>
      <c r="B31" s="187">
        <v>43023</v>
      </c>
      <c r="C31" s="10">
        <v>200</v>
      </c>
      <c r="D31" s="194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5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11.319900000000001</v>
      </c>
      <c r="X31" s="134"/>
    </row>
    <row r="32" spans="1:24" x14ac:dyDescent="0.25">
      <c r="A32" s="4"/>
      <c r="B32" s="187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5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11.206701000000001</v>
      </c>
      <c r="X32" s="134"/>
    </row>
    <row r="33" spans="1:24" x14ac:dyDescent="0.25">
      <c r="A33" s="4">
        <v>100</v>
      </c>
      <c r="B33" s="187">
        <v>43040</v>
      </c>
      <c r="C33" s="10">
        <v>200</v>
      </c>
      <c r="D33" s="194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5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11.093502000000001</v>
      </c>
      <c r="X33" s="134"/>
    </row>
    <row r="34" spans="1:24" x14ac:dyDescent="0.25">
      <c r="A34" s="4">
        <v>100</v>
      </c>
      <c r="B34" s="187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5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10.980303000000001</v>
      </c>
      <c r="X34" s="134"/>
    </row>
    <row r="35" spans="1:24" x14ac:dyDescent="0.25">
      <c r="A35" s="4"/>
      <c r="B35" s="187">
        <v>43069</v>
      </c>
      <c r="C35" s="10">
        <v>200</v>
      </c>
      <c r="D35" s="194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5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10.867103999999999</v>
      </c>
      <c r="X35" s="134"/>
    </row>
    <row r="36" spans="1:24" x14ac:dyDescent="0.25">
      <c r="A36" s="4">
        <v>200</v>
      </c>
      <c r="B36" s="187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5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10.753905</v>
      </c>
      <c r="X36" s="134"/>
    </row>
    <row r="37" spans="1:24" x14ac:dyDescent="0.25">
      <c r="A37" s="4">
        <v>200</v>
      </c>
      <c r="B37" s="187">
        <v>43091</v>
      </c>
      <c r="C37" s="10">
        <v>600</v>
      </c>
      <c r="D37" s="194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5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10.640706</v>
      </c>
      <c r="X37" s="134"/>
    </row>
    <row r="38" spans="1:24" x14ac:dyDescent="0.25">
      <c r="A38" s="4">
        <v>0</v>
      </c>
      <c r="B38" s="187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5">
        <f t="shared" si="22"/>
        <v>-9.2027895528510886E-2</v>
      </c>
      <c r="I38" s="512" t="s">
        <v>930</v>
      </c>
      <c r="J38" s="39">
        <v>880</v>
      </c>
      <c r="K38" s="39"/>
      <c r="L38" s="4"/>
      <c r="O38" s="81">
        <v>0.93</v>
      </c>
      <c r="P38" s="81">
        <f t="shared" si="19"/>
        <v>10.527507000000002</v>
      </c>
      <c r="X38" s="134"/>
    </row>
    <row r="39" spans="1:24" x14ac:dyDescent="0.25">
      <c r="A39" s="4">
        <v>0</v>
      </c>
      <c r="B39" s="187">
        <v>43103</v>
      </c>
      <c r="C39" s="10">
        <v>600</v>
      </c>
      <c r="D39" s="194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5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10.414308</v>
      </c>
      <c r="X39" s="134"/>
    </row>
    <row r="40" spans="1:24" x14ac:dyDescent="0.25">
      <c r="A40" s="4">
        <v>0</v>
      </c>
      <c r="B40" s="187">
        <v>43108</v>
      </c>
      <c r="C40" s="556">
        <v>600</v>
      </c>
      <c r="D40" s="58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5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10.301109</v>
      </c>
      <c r="X40" s="134"/>
    </row>
    <row r="41" spans="1:24" x14ac:dyDescent="0.25">
      <c r="A41" s="4">
        <v>0</v>
      </c>
      <c r="B41" s="187">
        <v>43110</v>
      </c>
      <c r="C41" s="10">
        <v>600</v>
      </c>
      <c r="D41" s="194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5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10.18791</v>
      </c>
      <c r="X41" s="134"/>
    </row>
    <row r="42" spans="1:24" x14ac:dyDescent="0.25">
      <c r="A42" s="4">
        <v>0</v>
      </c>
      <c r="B42" s="187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5">
        <f t="shared" si="25"/>
        <v>-0.12763875297078142</v>
      </c>
      <c r="I42" s="512" t="s">
        <v>931</v>
      </c>
      <c r="J42" s="39">
        <v>736</v>
      </c>
      <c r="K42" s="39"/>
      <c r="L42" s="4"/>
      <c r="O42" s="81">
        <v>0.89</v>
      </c>
      <c r="P42" s="81">
        <f t="shared" ref="P42:P44" si="26">O42*$Q$4</f>
        <v>10.074711000000001</v>
      </c>
      <c r="Q42" s="2"/>
      <c r="X42" s="134"/>
    </row>
    <row r="43" spans="1:24" x14ac:dyDescent="0.25">
      <c r="A43" s="4">
        <v>0</v>
      </c>
      <c r="B43" s="187">
        <v>43131</v>
      </c>
      <c r="C43" s="10">
        <v>500</v>
      </c>
      <c r="D43" s="194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5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9.9615120000000008</v>
      </c>
      <c r="Q43" s="2"/>
      <c r="X43" s="134"/>
    </row>
    <row r="44" spans="1:24" x14ac:dyDescent="0.25">
      <c r="A44" s="4"/>
      <c r="B44" s="187">
        <v>43132</v>
      </c>
      <c r="C44" s="556">
        <v>600</v>
      </c>
      <c r="D44" s="58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5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9.848313000000001</v>
      </c>
      <c r="Q44" s="2"/>
      <c r="X44" s="134"/>
    </row>
    <row r="45" spans="1:24" x14ac:dyDescent="0.25">
      <c r="A45" s="4"/>
      <c r="B45" s="187">
        <v>43137</v>
      </c>
      <c r="C45" s="10">
        <v>600</v>
      </c>
      <c r="D45" s="194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5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7">
        <v>43151</v>
      </c>
      <c r="C46" s="10">
        <v>600</v>
      </c>
      <c r="D46" s="194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5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7">
        <v>43158</v>
      </c>
      <c r="C47" s="10">
        <v>600</v>
      </c>
      <c r="D47" s="194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5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488</v>
      </c>
      <c r="T47" s="571" t="s">
        <v>481</v>
      </c>
      <c r="X47" s="134"/>
    </row>
    <row r="48" spans="1:24" x14ac:dyDescent="0.25">
      <c r="A48" s="4">
        <v>300</v>
      </c>
      <c r="B48" s="187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5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492</v>
      </c>
      <c r="T48" s="22" t="s">
        <v>491</v>
      </c>
      <c r="X48" s="134"/>
    </row>
    <row r="49" spans="1:24" x14ac:dyDescent="0.25">
      <c r="A49" s="4"/>
      <c r="B49" s="187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5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493</v>
      </c>
      <c r="T49" s="22" t="s">
        <v>494</v>
      </c>
      <c r="X49" s="134"/>
    </row>
    <row r="50" spans="1:24" x14ac:dyDescent="0.25">
      <c r="A50" s="4">
        <v>300</v>
      </c>
      <c r="B50" s="187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5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495</v>
      </c>
      <c r="T50" s="22" t="s">
        <v>496</v>
      </c>
      <c r="X50" s="134"/>
    </row>
    <row r="51" spans="1:24" x14ac:dyDescent="0.25">
      <c r="A51" s="4"/>
      <c r="B51" s="187">
        <v>43185</v>
      </c>
      <c r="C51" s="7">
        <v>300</v>
      </c>
      <c r="D51" s="77">
        <v>16.7</v>
      </c>
      <c r="E51" s="39">
        <v>9.61</v>
      </c>
      <c r="F51" s="39">
        <f t="shared" ref="F51:F52" si="36">C51*(E51-D51)</f>
        <v>-2127</v>
      </c>
      <c r="G51" s="39">
        <f t="shared" ref="G51:G52" si="37">D51*C51</f>
        <v>5010</v>
      </c>
      <c r="H51" s="225">
        <f t="shared" ref="H51:H52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7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5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O53" s="81"/>
      <c r="P53" s="81"/>
      <c r="Q53" s="2"/>
      <c r="S53" t="s">
        <v>499</v>
      </c>
      <c r="T53" s="22" t="s">
        <v>489</v>
      </c>
      <c r="X53" s="134"/>
    </row>
    <row r="54" spans="1:24" x14ac:dyDescent="0.25">
      <c r="B54" s="187"/>
      <c r="C54" s="10"/>
      <c r="D54" s="39"/>
      <c r="E54" s="39"/>
      <c r="F54" s="39"/>
      <c r="G54" s="39"/>
      <c r="H54" s="225"/>
      <c r="I54" s="39"/>
      <c r="J54" s="39"/>
      <c r="K54" s="39"/>
      <c r="O54" s="81"/>
      <c r="P54" s="81"/>
      <c r="S54" t="s">
        <v>498</v>
      </c>
      <c r="T54" s="22" t="s">
        <v>490</v>
      </c>
      <c r="X54" s="134"/>
    </row>
    <row r="55" spans="1:24" x14ac:dyDescent="0.25">
      <c r="B55" s="187"/>
      <c r="C55" s="10"/>
      <c r="D55" s="39"/>
      <c r="E55" s="39"/>
      <c r="F55" s="39"/>
      <c r="G55" s="39"/>
      <c r="H55" s="225"/>
      <c r="I55" s="39"/>
      <c r="J55" s="39"/>
      <c r="K55" s="39"/>
      <c r="O55" s="81"/>
      <c r="P55" s="81"/>
      <c r="S55" t="s">
        <v>497</v>
      </c>
      <c r="T55" s="22" t="s">
        <v>500</v>
      </c>
      <c r="X55" s="134"/>
    </row>
    <row r="56" spans="1:24" x14ac:dyDescent="0.25">
      <c r="B56" s="187"/>
      <c r="C56" s="10"/>
      <c r="D56" s="39"/>
      <c r="E56" s="39"/>
      <c r="F56" s="39"/>
      <c r="G56" s="39"/>
      <c r="H56" s="225"/>
      <c r="I56" s="39"/>
      <c r="J56" s="39"/>
      <c r="K56" s="39"/>
      <c r="O56" s="81"/>
      <c r="P56" s="81"/>
      <c r="X56" s="134"/>
    </row>
    <row r="57" spans="1:24" x14ac:dyDescent="0.25">
      <c r="B57" s="187"/>
      <c r="C57" s="10"/>
      <c r="D57" s="39"/>
      <c r="E57" s="39"/>
      <c r="F57" s="39"/>
      <c r="G57" s="39"/>
      <c r="H57" s="225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4" t="s">
        <v>1</v>
      </c>
      <c r="B59" s="514" t="s">
        <v>2</v>
      </c>
      <c r="C59" s="514" t="s">
        <v>4</v>
      </c>
      <c r="D59" s="515" t="s">
        <v>5</v>
      </c>
      <c r="E59" s="515" t="s">
        <v>94</v>
      </c>
      <c r="F59" s="515" t="s">
        <v>60</v>
      </c>
      <c r="G59" s="514" t="s">
        <v>3</v>
      </c>
      <c r="H59" s="514" t="s">
        <v>6</v>
      </c>
      <c r="I59" s="515" t="s">
        <v>7</v>
      </c>
      <c r="J59" s="515" t="s">
        <v>95</v>
      </c>
      <c r="K59" s="515" t="s">
        <v>61</v>
      </c>
      <c r="L59" s="514" t="s">
        <v>37</v>
      </c>
      <c r="M59" s="514" t="s">
        <v>38</v>
      </c>
      <c r="O59" s="81"/>
      <c r="P59" s="81"/>
      <c r="X59" s="134"/>
    </row>
    <row r="60" spans="1:24" x14ac:dyDescent="0.25">
      <c r="A60" s="516" t="s">
        <v>283</v>
      </c>
      <c r="B60" s="499">
        <v>42639</v>
      </c>
      <c r="C60" s="500">
        <v>80</v>
      </c>
      <c r="D60" s="502">
        <v>26.38</v>
      </c>
      <c r="E60" s="502">
        <v>0</v>
      </c>
      <c r="F60" s="502">
        <f>C60*D60+E60</f>
        <v>2110.4</v>
      </c>
      <c r="G60" s="499">
        <v>42677</v>
      </c>
      <c r="H60" s="517">
        <v>100</v>
      </c>
      <c r="I60" s="502">
        <v>26.49</v>
      </c>
      <c r="J60" s="502">
        <v>0.56000000000000005</v>
      </c>
      <c r="K60" s="502">
        <f>I60*H60-J60</f>
        <v>2648.44</v>
      </c>
      <c r="L60" s="499"/>
      <c r="M60" s="502"/>
      <c r="O60" s="81"/>
      <c r="P60" s="81"/>
      <c r="X60" s="134"/>
    </row>
    <row r="61" spans="1:24" x14ac:dyDescent="0.25">
      <c r="A61" s="518" t="s">
        <v>71</v>
      </c>
      <c r="B61" s="499">
        <v>42639</v>
      </c>
      <c r="C61" s="500">
        <v>20</v>
      </c>
      <c r="D61" s="502">
        <v>25.48</v>
      </c>
      <c r="E61" s="502">
        <v>0</v>
      </c>
      <c r="F61" s="502">
        <f>C61*D61+E61</f>
        <v>509.6</v>
      </c>
      <c r="G61" s="499">
        <v>42678</v>
      </c>
      <c r="H61" s="517">
        <v>20</v>
      </c>
      <c r="I61" s="502">
        <v>27.31</v>
      </c>
      <c r="J61" s="502">
        <v>0.01</v>
      </c>
      <c r="K61" s="502">
        <f>I61*H61-J61</f>
        <v>546.18999999999994</v>
      </c>
      <c r="L61" s="500"/>
      <c r="M61" s="500"/>
      <c r="X61" s="134"/>
    </row>
    <row r="62" spans="1:24" x14ac:dyDescent="0.25">
      <c r="A62" s="500"/>
      <c r="B62" s="499">
        <v>42639</v>
      </c>
      <c r="C62" s="500">
        <v>20</v>
      </c>
      <c r="D62" s="502">
        <v>25.48</v>
      </c>
      <c r="E62" s="502">
        <v>0</v>
      </c>
      <c r="F62" s="502">
        <f>C62*D62+E62</f>
        <v>509.6</v>
      </c>
      <c r="G62" s="499">
        <v>42681</v>
      </c>
      <c r="H62" s="517">
        <v>80</v>
      </c>
      <c r="I62" s="502">
        <v>28.17</v>
      </c>
      <c r="J62" s="502">
        <v>0.05</v>
      </c>
      <c r="K62" s="502">
        <f>I62*H62-J62</f>
        <v>2253.5500000000002</v>
      </c>
      <c r="L62" s="500"/>
      <c r="M62" s="500"/>
      <c r="X62" s="134"/>
    </row>
    <row r="63" spans="1:24" x14ac:dyDescent="0.25">
      <c r="A63" s="500"/>
      <c r="B63" s="499">
        <v>42649</v>
      </c>
      <c r="C63" s="500">
        <v>80</v>
      </c>
      <c r="D63" s="502">
        <v>24.67</v>
      </c>
      <c r="E63" s="502">
        <v>0</v>
      </c>
      <c r="F63" s="502">
        <f>C63*D63+E63</f>
        <v>1973.6000000000001</v>
      </c>
      <c r="G63" s="500"/>
      <c r="H63" s="517"/>
      <c r="I63" s="502"/>
      <c r="J63" s="502"/>
      <c r="K63" s="502"/>
      <c r="L63" s="500"/>
      <c r="M63" s="500"/>
      <c r="X63" s="134"/>
    </row>
    <row r="64" spans="1:24" x14ac:dyDescent="0.25">
      <c r="A64" s="500"/>
      <c r="B64" s="437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7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0"/>
      <c r="B65" s="437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7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0"/>
      <c r="B66" s="437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7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0"/>
      <c r="B67" s="437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7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0"/>
      <c r="B68" s="437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7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0"/>
      <c r="B69" s="437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7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0"/>
      <c r="B70" s="437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7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0"/>
      <c r="B71" s="437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7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0"/>
      <c r="B72" s="437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7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0"/>
      <c r="B73" s="437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0"/>
      <c r="B74" s="437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0"/>
      <c r="H75" s="70"/>
    </row>
    <row r="76" spans="1:24" x14ac:dyDescent="0.25">
      <c r="A76" s="519" t="s">
        <v>81</v>
      </c>
      <c r="B76" s="520"/>
      <c r="C76" s="520">
        <f>SUM(C60:C75)</f>
        <v>1400</v>
      </c>
      <c r="D76" s="521"/>
      <c r="E76" s="521"/>
      <c r="F76" s="521">
        <f>SUM(F60:F75)</f>
        <v>29502.2</v>
      </c>
      <c r="G76" s="520"/>
      <c r="H76" s="542">
        <f>SUM(H60:H75)</f>
        <v>1400</v>
      </c>
      <c r="I76" s="521"/>
      <c r="J76" s="521"/>
      <c r="K76" s="521">
        <f>SUM(K60:K75)</f>
        <v>30785.619999999995</v>
      </c>
      <c r="L76" s="520"/>
      <c r="M76" s="521">
        <f>SUM(M60:M68)</f>
        <v>0</v>
      </c>
    </row>
    <row r="77" spans="1:24" ht="15.75" thickBot="1" x14ac:dyDescent="0.3">
      <c r="A77" s="522" t="s">
        <v>194</v>
      </c>
      <c r="B77" s="523"/>
      <c r="C77" s="524">
        <f>SumByColor($A$19,C60:C75)</f>
        <v>1200</v>
      </c>
      <c r="D77" s="524"/>
      <c r="E77" s="524"/>
      <c r="F77" s="525">
        <f>SumByColor($A$19,F60:F75)</f>
        <v>24399</v>
      </c>
      <c r="G77" s="524"/>
      <c r="H77" s="524">
        <f>SumByColor($A$19,H60:H75)</f>
        <v>1200</v>
      </c>
      <c r="I77" s="524"/>
      <c r="J77" s="524"/>
      <c r="K77" s="525">
        <f>SumByColor($A$19,K60:K75)</f>
        <v>25337</v>
      </c>
      <c r="L77" s="524"/>
      <c r="M77" s="525">
        <f>SumByColor($A$19,M60:M75)</f>
        <v>0</v>
      </c>
    </row>
    <row r="82" spans="2:11" x14ac:dyDescent="0.25">
      <c r="B82" s="185" t="s">
        <v>113</v>
      </c>
      <c r="C82" s="185" t="s">
        <v>146</v>
      </c>
      <c r="D82" s="186" t="s">
        <v>145</v>
      </c>
      <c r="E82" s="188" t="s">
        <v>147</v>
      </c>
      <c r="F82" s="188" t="s">
        <v>65</v>
      </c>
      <c r="G82" s="223" t="s">
        <v>151</v>
      </c>
      <c r="H82" s="223" t="s">
        <v>88</v>
      </c>
      <c r="I82" s="223" t="s">
        <v>154</v>
      </c>
    </row>
    <row r="83" spans="2:11" x14ac:dyDescent="0.25">
      <c r="B83" s="364">
        <v>42639</v>
      </c>
      <c r="C83" s="365">
        <v>80</v>
      </c>
      <c r="D83" s="366">
        <v>26.38</v>
      </c>
      <c r="E83" s="366">
        <v>25.53</v>
      </c>
      <c r="F83" s="366">
        <f t="shared" ref="F83:F92" si="41">C83*(E83-D83)</f>
        <v>-67.999999999999829</v>
      </c>
      <c r="G83" s="366">
        <f t="shared" ref="G83:G92" si="42">D83*C83</f>
        <v>2110.4</v>
      </c>
      <c r="H83" s="367">
        <f t="shared" ref="H83:H92" si="43">(E83-D83)/D83</f>
        <v>-3.2221379833206894E-2</v>
      </c>
      <c r="I83" s="366"/>
    </row>
    <row r="84" spans="2:11" x14ac:dyDescent="0.25">
      <c r="B84" s="364">
        <v>42639</v>
      </c>
      <c r="C84" s="365">
        <v>120</v>
      </c>
      <c r="D84" s="366">
        <v>26.08</v>
      </c>
      <c r="E84" s="366">
        <v>25.53</v>
      </c>
      <c r="F84" s="366">
        <f t="shared" si="41"/>
        <v>-65.999999999999659</v>
      </c>
      <c r="G84" s="366">
        <f t="shared" si="42"/>
        <v>3129.6</v>
      </c>
      <c r="H84" s="367">
        <f t="shared" si="43"/>
        <v>-2.1088957055214616E-2</v>
      </c>
      <c r="I84" s="366"/>
    </row>
    <row r="85" spans="2:11" x14ac:dyDescent="0.25">
      <c r="B85" s="364">
        <v>42641</v>
      </c>
      <c r="C85" s="365">
        <v>120</v>
      </c>
      <c r="D85" s="366">
        <v>26.08</v>
      </c>
      <c r="E85" s="366">
        <v>26</v>
      </c>
      <c r="F85" s="366">
        <f t="shared" si="41"/>
        <v>-9.5999999999997954</v>
      </c>
      <c r="G85" s="366">
        <f t="shared" si="42"/>
        <v>3129.6</v>
      </c>
      <c r="H85" s="367">
        <f t="shared" si="43"/>
        <v>-3.0674846625766221E-3</v>
      </c>
      <c r="I85" s="366"/>
    </row>
    <row r="86" spans="2:11" x14ac:dyDescent="0.25">
      <c r="B86" s="364">
        <v>42643</v>
      </c>
      <c r="C86" s="365">
        <v>120</v>
      </c>
      <c r="D86" s="366">
        <v>26.08</v>
      </c>
      <c r="E86" s="366">
        <v>26.59</v>
      </c>
      <c r="F86" s="366">
        <f t="shared" si="41"/>
        <v>61.200000000000188</v>
      </c>
      <c r="G86" s="366">
        <f t="shared" si="42"/>
        <v>3129.6</v>
      </c>
      <c r="H86" s="367">
        <f t="shared" si="43"/>
        <v>1.9555214723926441E-2</v>
      </c>
      <c r="I86" s="366"/>
    </row>
    <row r="87" spans="2:11" x14ac:dyDescent="0.25">
      <c r="B87" s="364">
        <v>42649</v>
      </c>
      <c r="C87" s="365">
        <v>200</v>
      </c>
      <c r="D87" s="366">
        <v>25.515999999999998</v>
      </c>
      <c r="E87" s="366">
        <v>25.21</v>
      </c>
      <c r="F87" s="366">
        <f t="shared" si="41"/>
        <v>-61.199999999999477</v>
      </c>
      <c r="G87" s="366">
        <f t="shared" si="42"/>
        <v>5103.2</v>
      </c>
      <c r="H87" s="367">
        <f t="shared" si="43"/>
        <v>-1.1992475309609556E-2</v>
      </c>
      <c r="I87" s="366"/>
    </row>
    <row r="88" spans="2:11" x14ac:dyDescent="0.25">
      <c r="B88" s="364">
        <v>42650</v>
      </c>
      <c r="C88" s="365">
        <v>200</v>
      </c>
      <c r="D88" s="366">
        <v>25.515999999999998</v>
      </c>
      <c r="E88" s="366">
        <v>25.33</v>
      </c>
      <c r="F88" s="366">
        <f t="shared" si="41"/>
        <v>-37.199999999999989</v>
      </c>
      <c r="G88" s="366">
        <f t="shared" si="42"/>
        <v>5103.2</v>
      </c>
      <c r="H88" s="367">
        <f t="shared" si="43"/>
        <v>-7.2895438156450835E-3</v>
      </c>
      <c r="I88" s="366"/>
    </row>
    <row r="89" spans="2:11" x14ac:dyDescent="0.25">
      <c r="B89" s="364">
        <v>42661</v>
      </c>
      <c r="C89" s="365">
        <v>200</v>
      </c>
      <c r="D89" s="366">
        <v>25.515999999999998</v>
      </c>
      <c r="E89" s="366">
        <v>26.25</v>
      </c>
      <c r="F89" s="366">
        <f t="shared" si="41"/>
        <v>146.80000000000035</v>
      </c>
      <c r="G89" s="366">
        <f t="shared" si="42"/>
        <v>5103.2</v>
      </c>
      <c r="H89" s="367">
        <f t="shared" si="43"/>
        <v>2.876626430475003E-2</v>
      </c>
      <c r="I89" s="366"/>
    </row>
    <row r="90" spans="2:11" x14ac:dyDescent="0.25">
      <c r="B90" s="364">
        <v>42674</v>
      </c>
      <c r="C90" s="365">
        <v>200</v>
      </c>
      <c r="D90" s="366">
        <v>25.515999999999998</v>
      </c>
      <c r="E90" s="366">
        <v>26.42</v>
      </c>
      <c r="F90" s="366">
        <f t="shared" si="41"/>
        <v>180.80000000000069</v>
      </c>
      <c r="G90" s="366">
        <f t="shared" si="42"/>
        <v>5103.2</v>
      </c>
      <c r="H90" s="367">
        <f t="shared" si="43"/>
        <v>3.5428750587866577E-2</v>
      </c>
      <c r="I90" s="366"/>
    </row>
    <row r="91" spans="2:11" x14ac:dyDescent="0.25">
      <c r="B91" s="364">
        <v>42677</v>
      </c>
      <c r="C91" s="365">
        <v>100</v>
      </c>
      <c r="D91" s="366">
        <v>24.547599999999999</v>
      </c>
      <c r="E91" s="366">
        <v>26.69</v>
      </c>
      <c r="F91" s="366">
        <f t="shared" si="41"/>
        <v>214.24000000000021</v>
      </c>
      <c r="G91" s="366">
        <f t="shared" si="42"/>
        <v>2454.7599999999998</v>
      </c>
      <c r="H91" s="367">
        <f t="shared" si="43"/>
        <v>8.7275334452247971E-2</v>
      </c>
      <c r="I91" s="446"/>
    </row>
    <row r="92" spans="2:11" x14ac:dyDescent="0.25">
      <c r="B92" s="364">
        <v>42678</v>
      </c>
      <c r="C92" s="365">
        <v>80</v>
      </c>
      <c r="D92" s="366">
        <v>23.857099999999999</v>
      </c>
      <c r="E92" s="366">
        <v>27.24</v>
      </c>
      <c r="F92" s="366">
        <f t="shared" si="41"/>
        <v>270.63199999999995</v>
      </c>
      <c r="G92" s="366">
        <f t="shared" si="42"/>
        <v>1908.568</v>
      </c>
      <c r="H92" s="367">
        <f t="shared" si="43"/>
        <v>0.1417984583205838</v>
      </c>
      <c r="I92" s="366"/>
    </row>
    <row r="93" spans="2:11" x14ac:dyDescent="0.25">
      <c r="B93" s="364">
        <v>42681</v>
      </c>
      <c r="C93" s="365">
        <v>0</v>
      </c>
      <c r="D93" s="366"/>
      <c r="E93" s="366"/>
      <c r="F93" s="366">
        <v>344.98</v>
      </c>
      <c r="G93" s="366"/>
      <c r="H93" s="367"/>
      <c r="I93" s="366"/>
    </row>
    <row r="94" spans="2:11" x14ac:dyDescent="0.25">
      <c r="B94" s="364"/>
      <c r="C94" s="365"/>
      <c r="D94" s="366"/>
      <c r="E94" s="366"/>
      <c r="F94" s="366"/>
      <c r="G94" s="366"/>
      <c r="H94" s="367"/>
      <c r="I94" s="366"/>
    </row>
    <row r="95" spans="2:11" x14ac:dyDescent="0.25">
      <c r="B95" s="185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  <c r="J95" s="223" t="s">
        <v>150</v>
      </c>
      <c r="K95" s="223" t="s">
        <v>679</v>
      </c>
    </row>
    <row r="96" spans="2:11" x14ac:dyDescent="0.25">
      <c r="B96" s="187">
        <v>42701</v>
      </c>
      <c r="C96" s="10">
        <v>200</v>
      </c>
      <c r="D96" s="194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5">
        <f t="shared" ref="H96:H120" si="46">(E96-D96)/D96</f>
        <v>8.7174806024646292E-2</v>
      </c>
      <c r="I96" s="39"/>
      <c r="J96" s="39"/>
      <c r="K96" s="39"/>
    </row>
    <row r="97" spans="1:11" x14ac:dyDescent="0.25">
      <c r="B97" s="187">
        <v>42706</v>
      </c>
      <c r="C97" s="10">
        <v>300</v>
      </c>
      <c r="D97" s="194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5">
        <f t="shared" si="46"/>
        <v>-2.5404157043879778E-2</v>
      </c>
      <c r="I97" s="39"/>
      <c r="J97" s="39"/>
      <c r="K97" s="39"/>
    </row>
    <row r="98" spans="1:11" x14ac:dyDescent="0.25">
      <c r="B98" s="187">
        <v>42724</v>
      </c>
      <c r="C98" s="10">
        <v>200</v>
      </c>
      <c r="D98" s="194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5">
        <f t="shared" si="46"/>
        <v>2.2906021091037725E-2</v>
      </c>
      <c r="I98" s="39"/>
      <c r="J98" s="39"/>
      <c r="K98" s="39"/>
    </row>
    <row r="99" spans="1:11" x14ac:dyDescent="0.25">
      <c r="B99" s="187">
        <v>42732</v>
      </c>
      <c r="C99" s="10">
        <v>300</v>
      </c>
      <c r="D99" s="194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5">
        <f t="shared" si="46"/>
        <v>1.0063152371493373E-2</v>
      </c>
      <c r="I99" s="39"/>
      <c r="J99" s="39"/>
      <c r="K99" s="39"/>
    </row>
    <row r="100" spans="1:11" x14ac:dyDescent="0.25">
      <c r="B100" s="187">
        <v>42739</v>
      </c>
      <c r="C100" s="10">
        <v>300</v>
      </c>
      <c r="D100" s="194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5">
        <f t="shared" si="46"/>
        <v>-2.0857148211307453E-2</v>
      </c>
      <c r="I100" s="39"/>
      <c r="J100" s="39"/>
      <c r="K100" s="39"/>
    </row>
    <row r="101" spans="1:11" x14ac:dyDescent="0.25">
      <c r="B101" s="187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5">
        <f t="shared" si="46"/>
        <v>-3.5848809099938164E-2</v>
      </c>
      <c r="I101" s="39"/>
      <c r="J101" s="39"/>
      <c r="K101" s="39"/>
    </row>
    <row r="102" spans="1:11" x14ac:dyDescent="0.25">
      <c r="B102" s="187">
        <v>42746</v>
      </c>
      <c r="C102" s="10">
        <v>400</v>
      </c>
      <c r="D102" s="194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5">
        <f t="shared" si="46"/>
        <v>-3.5332204800255382E-2</v>
      </c>
      <c r="I102" s="39"/>
      <c r="J102" s="39"/>
      <c r="K102" s="39"/>
    </row>
    <row r="103" spans="1:11" x14ac:dyDescent="0.25">
      <c r="A103" t="s">
        <v>340</v>
      </c>
      <c r="B103" s="187">
        <v>42754</v>
      </c>
      <c r="C103" s="556">
        <v>600</v>
      </c>
      <c r="D103" s="583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5">
        <f t="shared" si="46"/>
        <v>-2.4206047610653314E-2</v>
      </c>
      <c r="I103" s="39" t="s">
        <v>334</v>
      </c>
      <c r="J103" s="39"/>
      <c r="K103" s="39"/>
    </row>
    <row r="104" spans="1:11" x14ac:dyDescent="0.25">
      <c r="A104" t="s">
        <v>340</v>
      </c>
      <c r="B104" s="187">
        <v>42760</v>
      </c>
      <c r="C104" s="10">
        <v>600</v>
      </c>
      <c r="D104" s="194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5">
        <f t="shared" si="46"/>
        <v>6.1370022415326402E-3</v>
      </c>
      <c r="I104" s="39"/>
      <c r="J104" s="39"/>
      <c r="K104" s="39"/>
    </row>
    <row r="105" spans="1:11" x14ac:dyDescent="0.25">
      <c r="A105" t="s">
        <v>371</v>
      </c>
      <c r="B105" s="187">
        <v>42764</v>
      </c>
      <c r="C105" s="10">
        <v>600</v>
      </c>
      <c r="D105" s="194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5">
        <f t="shared" si="46"/>
        <v>-8.7937048285907406E-3</v>
      </c>
      <c r="I105" s="39"/>
      <c r="J105" s="39"/>
      <c r="K105" s="39"/>
    </row>
    <row r="106" spans="1:11" x14ac:dyDescent="0.25">
      <c r="A106" t="s">
        <v>382</v>
      </c>
      <c r="B106" s="187">
        <v>42766</v>
      </c>
      <c r="C106" s="10">
        <v>400</v>
      </c>
      <c r="D106" s="194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5">
        <f t="shared" si="46"/>
        <v>4.1863850405960017E-2</v>
      </c>
      <c r="I106" s="39"/>
      <c r="J106" s="39"/>
      <c r="K106" s="39"/>
    </row>
    <row r="107" spans="1:11" x14ac:dyDescent="0.25">
      <c r="A107" t="s">
        <v>390</v>
      </c>
      <c r="B107" s="187">
        <v>42768</v>
      </c>
      <c r="C107" s="10">
        <v>500</v>
      </c>
      <c r="D107" s="194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5">
        <f t="shared" si="46"/>
        <v>1.4005943985984596E-3</v>
      </c>
      <c r="I107" s="39"/>
      <c r="J107" s="39"/>
      <c r="K107" s="39"/>
    </row>
    <row r="108" spans="1:11" x14ac:dyDescent="0.25">
      <c r="A108" t="s">
        <v>411</v>
      </c>
      <c r="B108" s="187">
        <v>42773</v>
      </c>
      <c r="C108" s="556">
        <v>600</v>
      </c>
      <c r="D108" s="583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5">
        <f t="shared" si="46"/>
        <v>-3.5071533134049267E-2</v>
      </c>
      <c r="I108" s="39"/>
      <c r="J108" s="39"/>
      <c r="K108" s="39"/>
    </row>
    <row r="109" spans="1:11" x14ac:dyDescent="0.25">
      <c r="A109" t="s">
        <v>340</v>
      </c>
      <c r="B109" s="187">
        <v>42778</v>
      </c>
      <c r="C109" s="10">
        <v>600</v>
      </c>
      <c r="D109" s="194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5">
        <f t="shared" si="46"/>
        <v>-1.2436801121895361E-2</v>
      </c>
      <c r="I109" s="39"/>
      <c r="J109" s="39"/>
      <c r="K109" s="39"/>
    </row>
    <row r="110" spans="1:11" x14ac:dyDescent="0.25">
      <c r="A110" t="s">
        <v>340</v>
      </c>
      <c r="B110" s="187">
        <v>42779</v>
      </c>
      <c r="C110" s="10">
        <v>600</v>
      </c>
      <c r="D110" s="194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5">
        <f t="shared" si="46"/>
        <v>-5.3769790013654589E-2</v>
      </c>
      <c r="I110" s="39"/>
      <c r="J110" s="39"/>
      <c r="K110" s="39"/>
    </row>
    <row r="111" spans="1:11" x14ac:dyDescent="0.25">
      <c r="A111" t="s">
        <v>439</v>
      </c>
      <c r="B111" s="187">
        <v>42785</v>
      </c>
      <c r="C111" s="10">
        <v>600</v>
      </c>
      <c r="D111" s="194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5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7">
        <v>42805</v>
      </c>
      <c r="C112" s="10">
        <v>600</v>
      </c>
      <c r="D112" s="194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5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7">
        <v>42808</v>
      </c>
      <c r="C113" s="10">
        <v>600</v>
      </c>
      <c r="D113" s="194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5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7">
        <v>42816</v>
      </c>
      <c r="C114" s="10">
        <v>800</v>
      </c>
      <c r="D114" s="194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5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7">
        <v>42828</v>
      </c>
      <c r="C115" s="10">
        <v>400</v>
      </c>
      <c r="D115" s="194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5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7">
        <v>42829</v>
      </c>
      <c r="C116" s="10">
        <v>500</v>
      </c>
      <c r="D116" s="194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5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7">
        <v>42830</v>
      </c>
      <c r="C117" s="10">
        <v>400</v>
      </c>
      <c r="D117" s="194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5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7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5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7">
        <v>42843</v>
      </c>
      <c r="C119" s="10">
        <v>300</v>
      </c>
      <c r="D119" s="194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5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7">
        <v>42852</v>
      </c>
      <c r="C120" s="10">
        <v>200</v>
      </c>
      <c r="D120" s="194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5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7">
        <v>42864</v>
      </c>
      <c r="C121" s="10">
        <v>0</v>
      </c>
      <c r="D121" s="194"/>
      <c r="E121" s="39"/>
      <c r="F121" s="39"/>
      <c r="G121" s="39"/>
      <c r="H121" s="225"/>
      <c r="I121" s="39"/>
      <c r="J121" s="39">
        <v>1283.42</v>
      </c>
      <c r="K121" s="39"/>
    </row>
    <row r="122" spans="1:11" x14ac:dyDescent="0.25">
      <c r="B122" s="187"/>
      <c r="C122" s="10"/>
      <c r="D122" s="39"/>
      <c r="E122" s="39"/>
      <c r="F122" s="39"/>
      <c r="G122" s="39"/>
      <c r="H122" s="225"/>
      <c r="I122" s="39"/>
      <c r="J122" s="39"/>
      <c r="K122" s="39"/>
    </row>
    <row r="123" spans="1:11" x14ac:dyDescent="0.25">
      <c r="B123" s="187"/>
      <c r="C123" s="10"/>
      <c r="D123" s="39"/>
      <c r="E123" s="39"/>
      <c r="F123" s="39"/>
      <c r="G123" s="39"/>
      <c r="H123" s="225"/>
      <c r="I123" s="39"/>
      <c r="J123" s="39"/>
      <c r="K123" s="39"/>
    </row>
    <row r="124" spans="1:11" x14ac:dyDescent="0.25">
      <c r="B124" s="187"/>
      <c r="C124" s="10"/>
      <c r="D124" s="39"/>
      <c r="E124" s="39"/>
      <c r="F124" s="39"/>
      <c r="G124" s="39"/>
      <c r="H124" s="225"/>
      <c r="I124" s="39"/>
      <c r="J124" s="39"/>
      <c r="K124" s="39"/>
    </row>
    <row r="125" spans="1:11" x14ac:dyDescent="0.25">
      <c r="B125" s="187"/>
      <c r="C125" s="10"/>
      <c r="D125" s="39"/>
      <c r="E125" s="39"/>
      <c r="F125" s="39"/>
      <c r="G125" s="39"/>
      <c r="H125" s="225"/>
      <c r="I125" s="39"/>
      <c r="J125" s="39"/>
      <c r="K125" s="39"/>
    </row>
    <row r="126" spans="1:11" x14ac:dyDescent="0.25">
      <c r="B126" s="187"/>
      <c r="C126" s="10"/>
      <c r="D126" s="39"/>
      <c r="E126" s="39"/>
      <c r="F126" s="39"/>
      <c r="G126" s="39"/>
      <c r="H126" s="225"/>
      <c r="I126" s="39"/>
      <c r="J126" s="39"/>
      <c r="K126" s="39"/>
    </row>
    <row r="127" spans="1:11" x14ac:dyDescent="0.25">
      <c r="B127" s="187"/>
      <c r="C127" s="10"/>
      <c r="D127" s="39"/>
      <c r="E127" s="39"/>
      <c r="F127" s="39"/>
      <c r="G127" s="39"/>
      <c r="H127" s="225"/>
      <c r="I127" s="39"/>
      <c r="J127" s="39"/>
      <c r="K127" s="39"/>
    </row>
    <row r="128" spans="1:11" x14ac:dyDescent="0.25">
      <c r="B128" s="187"/>
      <c r="C128" s="10"/>
      <c r="D128" s="39"/>
      <c r="E128" s="39"/>
      <c r="F128" s="39"/>
      <c r="G128" s="39"/>
      <c r="H128" s="225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185" priority="73">
      <formula>F32&gt;0</formula>
    </cfRule>
    <cfRule type="expression" dxfId="2184" priority="74">
      <formula>F32&lt;0</formula>
    </cfRule>
  </conditionalFormatting>
  <conditionalFormatting sqref="Q7">
    <cfRule type="expression" dxfId="2183" priority="71">
      <formula>Q7&gt;0</formula>
    </cfRule>
    <cfRule type="expression" dxfId="2182" priority="72">
      <formula>Q7&lt;0</formula>
    </cfRule>
  </conditionalFormatting>
  <conditionalFormatting sqref="Q8">
    <cfRule type="expression" dxfId="2181" priority="69">
      <formula>Q8&gt;0</formula>
    </cfRule>
    <cfRule type="expression" dxfId="2180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79" priority="61">
      <formula>M58&gt;0</formula>
    </cfRule>
    <cfRule type="expression" dxfId="2178" priority="62">
      <formula>M58&lt;0</formula>
    </cfRule>
  </conditionalFormatting>
  <conditionalFormatting sqref="Q10">
    <cfRule type="expression" dxfId="2177" priority="59">
      <formula>Q10&gt;0</formula>
    </cfRule>
    <cfRule type="expression" dxfId="2176" priority="60">
      <formula>Q10&lt;0</formula>
    </cfRule>
  </conditionalFormatting>
  <conditionalFormatting sqref="F29:F31">
    <cfRule type="expression" dxfId="2175" priority="57">
      <formula>F29&gt;0</formula>
    </cfRule>
    <cfRule type="expression" dxfId="2174" priority="58">
      <formula>F29&lt;0</formula>
    </cfRule>
  </conditionalFormatting>
  <conditionalFormatting sqref="H29:H31">
    <cfRule type="expression" dxfId="2173" priority="55">
      <formula>H29&gt;0</formula>
    </cfRule>
    <cfRule type="expression" dxfId="2172" priority="56">
      <formula>H29&lt;0</formula>
    </cfRule>
  </conditionalFormatting>
  <conditionalFormatting sqref="F83:F94">
    <cfRule type="expression" dxfId="2171" priority="53">
      <formula>F83&gt;0</formula>
    </cfRule>
    <cfRule type="expression" dxfId="2170" priority="54">
      <formula>F83&lt;0</formula>
    </cfRule>
  </conditionalFormatting>
  <conditionalFormatting sqref="H83:H94">
    <cfRule type="expression" dxfId="2169" priority="51">
      <formula>H83&gt;0</formula>
    </cfRule>
    <cfRule type="expression" dxfId="2168" priority="52">
      <formula>H83&lt;0</formula>
    </cfRule>
  </conditionalFormatting>
  <conditionalFormatting sqref="J41">
    <cfRule type="expression" dxfId="2167" priority="49">
      <formula>J41&gt;0</formula>
    </cfRule>
    <cfRule type="expression" dxfId="2166" priority="50">
      <formula>J41&lt;0</formula>
    </cfRule>
  </conditionalFormatting>
  <conditionalFormatting sqref="J39:J47">
    <cfRule type="expression" dxfId="2165" priority="47">
      <formula>J39&gt;0</formula>
    </cfRule>
    <cfRule type="expression" dxfId="2164" priority="48">
      <formula>J39&lt;0</formula>
    </cfRule>
  </conditionalFormatting>
  <conditionalFormatting sqref="F48:F51 H48:H51">
    <cfRule type="expression" dxfId="2163" priority="45">
      <formula>F48&gt;0</formula>
    </cfRule>
    <cfRule type="expression" dxfId="2162" priority="46">
      <formula>F48&lt;0</formula>
    </cfRule>
  </conditionalFormatting>
  <conditionalFormatting sqref="J48:J57">
    <cfRule type="expression" dxfId="2161" priority="43">
      <formula>J48&gt;0</formula>
    </cfRule>
    <cfRule type="expression" dxfId="2160" priority="44">
      <formula>J48&lt;0</formula>
    </cfRule>
  </conditionalFormatting>
  <conditionalFormatting sqref="K45:K52">
    <cfRule type="expression" dxfId="2159" priority="41">
      <formula>K45&gt;0</formula>
    </cfRule>
    <cfRule type="expression" dxfId="2158" priority="42">
      <formula>K45&lt;0</formula>
    </cfRule>
  </conditionalFormatting>
  <conditionalFormatting sqref="K45:K52">
    <cfRule type="expression" dxfId="2157" priority="39">
      <formula>K45&gt;0</formula>
    </cfRule>
    <cfRule type="expression" dxfId="2156" priority="40">
      <formula>K45&lt;0</formula>
    </cfRule>
  </conditionalFormatting>
  <conditionalFormatting sqref="F102:F118 H102:H118 H120:H128 F120:F128">
    <cfRule type="expression" dxfId="2155" priority="35">
      <formula>F102&gt;0</formula>
    </cfRule>
    <cfRule type="expression" dxfId="2154" priority="36">
      <formula>F102&lt;0</formula>
    </cfRule>
  </conditionalFormatting>
  <conditionalFormatting sqref="F96:F101">
    <cfRule type="expression" dxfId="2153" priority="33">
      <formula>F96&gt;0</formula>
    </cfRule>
    <cfRule type="expression" dxfId="2152" priority="34">
      <formula>F96&lt;0</formula>
    </cfRule>
  </conditionalFormatting>
  <conditionalFormatting sqref="H96:H101">
    <cfRule type="expression" dxfId="2151" priority="31">
      <formula>H96&gt;0</formula>
    </cfRule>
    <cfRule type="expression" dxfId="2150" priority="32">
      <formula>H96&lt;0</formula>
    </cfRule>
  </conditionalFormatting>
  <conditionalFormatting sqref="J112">
    <cfRule type="expression" dxfId="2149" priority="29">
      <formula>J112&gt;0</formula>
    </cfRule>
    <cfRule type="expression" dxfId="2148" priority="30">
      <formula>J112&lt;0</formula>
    </cfRule>
  </conditionalFormatting>
  <conditionalFormatting sqref="J110:J118 J120">
    <cfRule type="expression" dxfId="2147" priority="27">
      <formula>J110&gt;0</formula>
    </cfRule>
    <cfRule type="expression" dxfId="2146" priority="28">
      <formula>J110&lt;0</formula>
    </cfRule>
  </conditionalFormatting>
  <conditionalFormatting sqref="F119 H119">
    <cfRule type="expression" dxfId="2145" priority="25">
      <formula>F119&gt;0</formula>
    </cfRule>
    <cfRule type="expression" dxfId="2144" priority="26">
      <formula>F119&lt;0</formula>
    </cfRule>
  </conditionalFormatting>
  <conditionalFormatting sqref="J119">
    <cfRule type="expression" dxfId="2143" priority="23">
      <formula>J119&gt;0</formula>
    </cfRule>
    <cfRule type="expression" dxfId="2142" priority="24">
      <formula>J119&lt;0</formula>
    </cfRule>
  </conditionalFormatting>
  <conditionalFormatting sqref="K112:K123">
    <cfRule type="expression" dxfId="2141" priority="21">
      <formula>K112&gt;0</formula>
    </cfRule>
    <cfRule type="expression" dxfId="2140" priority="22">
      <formula>K112&lt;0</formula>
    </cfRule>
  </conditionalFormatting>
  <conditionalFormatting sqref="K110:K123">
    <cfRule type="expression" dxfId="2139" priority="19">
      <formula>K110&gt;0</formula>
    </cfRule>
    <cfRule type="expression" dxfId="2138" priority="20">
      <formula>K110&lt;0</formula>
    </cfRule>
  </conditionalFormatting>
  <conditionalFormatting sqref="J121">
    <cfRule type="expression" dxfId="2137" priority="17">
      <formula>J121&gt;0</formula>
    </cfRule>
    <cfRule type="expression" dxfId="2136" priority="18">
      <formula>J121&lt;0</formula>
    </cfRule>
  </conditionalFormatting>
  <conditionalFormatting sqref="F25:F28">
    <cfRule type="expression" dxfId="2135" priority="15">
      <formula>F25&gt;0</formula>
    </cfRule>
    <cfRule type="expression" dxfId="2134" priority="16">
      <formula>F25&lt;0</formula>
    </cfRule>
  </conditionalFormatting>
  <conditionalFormatting sqref="H25:H28">
    <cfRule type="expression" dxfId="2133" priority="13">
      <formula>H25&gt;0</formula>
    </cfRule>
    <cfRule type="expression" dxfId="2132" priority="14">
      <formula>H25&lt;0</formula>
    </cfRule>
  </conditionalFormatting>
  <conditionalFormatting sqref="J27:J29">
    <cfRule type="expression" dxfId="2131" priority="11">
      <formula>J27&gt;0</formula>
    </cfRule>
    <cfRule type="expression" dxfId="2130" priority="12">
      <formula>J27&lt;0</formula>
    </cfRule>
  </conditionalFormatting>
  <conditionalFormatting sqref="J30:J31">
    <cfRule type="expression" dxfId="2129" priority="9">
      <formula>J30&gt;0</formula>
    </cfRule>
    <cfRule type="expression" dxfId="2128" priority="10">
      <formula>J30&lt;0</formula>
    </cfRule>
  </conditionalFormatting>
  <conditionalFormatting sqref="J33">
    <cfRule type="expression" dxfId="2127" priority="7">
      <formula>J33&gt;0</formula>
    </cfRule>
    <cfRule type="expression" dxfId="2126" priority="8">
      <formula>J33&lt;0</formula>
    </cfRule>
  </conditionalFormatting>
  <conditionalFormatting sqref="J34">
    <cfRule type="expression" dxfId="2125" priority="5">
      <formula>J34&gt;0</formula>
    </cfRule>
    <cfRule type="expression" dxfId="2124" priority="6">
      <formula>J34&lt;0</formula>
    </cfRule>
  </conditionalFormatting>
  <conditionalFormatting sqref="J35:J43">
    <cfRule type="expression" dxfId="2123" priority="3">
      <formula>J35&gt;0</formula>
    </cfRule>
    <cfRule type="expression" dxfId="2122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56.36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56.36</v>
      </c>
      <c r="R4" s="478">
        <v>7.0000000000000001E-3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7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5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7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5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7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5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7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5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7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5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7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5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7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5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7">
        <v>42598</v>
      </c>
      <c r="C32" s="468">
        <v>200</v>
      </c>
      <c r="D32" s="47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5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7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5">
        <f t="shared" si="3"/>
        <v>-3.0913465963629656E-2</v>
      </c>
      <c r="I33" s="230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7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5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7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5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7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5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7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5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7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5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7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5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7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5">
        <f t="shared" si="3"/>
        <v>3.7145655280184459E-2</v>
      </c>
      <c r="I40" s="39"/>
      <c r="O40" s="847" t="s">
        <v>78</v>
      </c>
      <c r="P40" s="847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7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5">
        <f t="shared" si="3"/>
        <v>-8.5090897414619962E-4</v>
      </c>
      <c r="I41" s="39"/>
      <c r="O41" s="81">
        <v>1.1000000000000001</v>
      </c>
      <c r="P41" s="81">
        <f>O41*$Q$4</f>
        <v>61.996000000000002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7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5">
        <f t="shared" si="3"/>
        <v>1.1993000069571172E-2</v>
      </c>
      <c r="I42" s="39"/>
      <c r="O42" s="81">
        <v>1.0900000000000001</v>
      </c>
      <c r="P42" s="81">
        <f t="shared" ref="P42:P61" si="6">O42*$Q$4</f>
        <v>61.432400000000001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7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5">
        <f t="shared" si="3"/>
        <v>-1.1184904125571167E-3</v>
      </c>
      <c r="I43" s="39"/>
      <c r="O43" s="81">
        <v>1.08</v>
      </c>
      <c r="P43" s="81">
        <f t="shared" si="6"/>
        <v>60.8688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7">
        <v>42640</v>
      </c>
      <c r="C44" s="10">
        <v>0</v>
      </c>
      <c r="D44" s="39"/>
      <c r="E44" s="39"/>
      <c r="F44" s="39">
        <v>117.74</v>
      </c>
      <c r="G44" s="39"/>
      <c r="H44" s="225"/>
      <c r="I44" s="39"/>
      <c r="O44" s="81">
        <v>1.07</v>
      </c>
      <c r="P44" s="81">
        <f t="shared" si="6"/>
        <v>60.305200000000006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6"/>
        <v>59.741600000000005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6"/>
        <v>59.178000000000004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6"/>
        <v>58.614400000000003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58.050800000000002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57.487200000000001</v>
      </c>
      <c r="Q49" s="2"/>
      <c r="T49" s="91" t="s">
        <v>103</v>
      </c>
      <c r="U49" s="127" t="s">
        <v>373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56.9236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56.36</v>
      </c>
      <c r="Q51" s="2"/>
      <c r="T51" s="91" t="s">
        <v>104</v>
      </c>
      <c r="U51" s="127" t="s">
        <v>584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55.796399999999998</v>
      </c>
      <c r="Q52" s="2"/>
      <c r="T52" s="91" t="s">
        <v>105</v>
      </c>
      <c r="U52" s="127" t="s">
        <v>476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55.232799999999997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54.669199999999996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54.105599999999995</v>
      </c>
      <c r="T55" s="91" t="s">
        <v>107</v>
      </c>
      <c r="U55" s="127" t="s">
        <v>585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1" t="s">
        <v>1</v>
      </c>
      <c r="B56" s="371" t="s">
        <v>2</v>
      </c>
      <c r="C56" s="371" t="s">
        <v>4</v>
      </c>
      <c r="D56" s="373" t="s">
        <v>5</v>
      </c>
      <c r="E56" s="373" t="s">
        <v>94</v>
      </c>
      <c r="F56" s="373" t="s">
        <v>60</v>
      </c>
      <c r="G56" s="371" t="s">
        <v>3</v>
      </c>
      <c r="H56" s="371" t="s">
        <v>6</v>
      </c>
      <c r="I56" s="373" t="s">
        <v>7</v>
      </c>
      <c r="J56" s="373" t="s">
        <v>95</v>
      </c>
      <c r="K56" s="373" t="s">
        <v>61</v>
      </c>
      <c r="L56" s="371" t="s">
        <v>37</v>
      </c>
      <c r="M56" s="371" t="s">
        <v>38</v>
      </c>
      <c r="O56" s="81">
        <v>0.95</v>
      </c>
      <c r="P56" s="81">
        <f t="shared" si="6"/>
        <v>53.541999999999994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4" t="s">
        <v>36</v>
      </c>
      <c r="B57" s="364">
        <v>42572</v>
      </c>
      <c r="C57" s="365">
        <v>60</v>
      </c>
      <c r="D57" s="366">
        <v>39.58</v>
      </c>
      <c r="E57" s="366">
        <v>0</v>
      </c>
      <c r="F57" s="366">
        <f>C57*D57+E57</f>
        <v>2374.7999999999997</v>
      </c>
      <c r="G57" s="364">
        <v>42620</v>
      </c>
      <c r="H57" s="369">
        <v>100</v>
      </c>
      <c r="I57" s="366">
        <v>38.479999999999997</v>
      </c>
      <c r="J57" s="366">
        <v>0.08</v>
      </c>
      <c r="K57" s="366">
        <f>I57*H57-J57</f>
        <v>3847.9199999999996</v>
      </c>
      <c r="L57" s="364">
        <v>42621</v>
      </c>
      <c r="M57" s="366">
        <v>20</v>
      </c>
      <c r="O57" s="81">
        <v>0.94</v>
      </c>
      <c r="P57" s="81">
        <f t="shared" si="6"/>
        <v>52.978399999999993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5" t="s">
        <v>71</v>
      </c>
      <c r="B58" s="364">
        <v>42572</v>
      </c>
      <c r="C58" s="365">
        <v>40</v>
      </c>
      <c r="D58" s="366">
        <v>37.880000000000003</v>
      </c>
      <c r="E58" s="366">
        <v>0</v>
      </c>
      <c r="F58" s="366">
        <f>C58*D58+E58</f>
        <v>1515.2</v>
      </c>
      <c r="G58" s="364">
        <v>42640</v>
      </c>
      <c r="H58" s="369">
        <v>100</v>
      </c>
      <c r="I58" s="366">
        <v>38.549999999999997</v>
      </c>
      <c r="J58" s="366">
        <v>0.08</v>
      </c>
      <c r="K58" s="366">
        <f>I58*H58-J58</f>
        <v>3854.9199999999996</v>
      </c>
      <c r="L58" s="365"/>
      <c r="M58" s="365"/>
      <c r="O58" s="81">
        <v>0.93</v>
      </c>
      <c r="P58" s="81">
        <f t="shared" si="6"/>
        <v>52.4148</v>
      </c>
      <c r="T58" s="91" t="s">
        <v>108</v>
      </c>
      <c r="U58" s="127" t="s">
        <v>538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5"/>
      <c r="B59" s="364">
        <v>42572</v>
      </c>
      <c r="C59" s="365">
        <v>40</v>
      </c>
      <c r="D59" s="366">
        <v>37.58</v>
      </c>
      <c r="E59" s="366">
        <v>0</v>
      </c>
      <c r="F59" s="366">
        <f>C59*D59+E59</f>
        <v>1503.1999999999998</v>
      </c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6"/>
        <v>51.851199999999999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5"/>
      <c r="B60" s="364">
        <v>42576</v>
      </c>
      <c r="C60" s="365">
        <v>30</v>
      </c>
      <c r="D60" s="366">
        <v>37.15</v>
      </c>
      <c r="E60" s="366">
        <v>0</v>
      </c>
      <c r="F60" s="366">
        <f>C60*D60+E60</f>
        <v>1114.5</v>
      </c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6"/>
        <v>51.287600000000005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5"/>
      <c r="B61" s="364">
        <v>42594</v>
      </c>
      <c r="C61" s="365">
        <v>30</v>
      </c>
      <c r="D61" s="366">
        <v>36.58</v>
      </c>
      <c r="E61" s="366">
        <v>0</v>
      </c>
      <c r="F61" s="366">
        <f>C61*D61+E61</f>
        <v>1097.3999999999999</v>
      </c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6"/>
        <v>50.724000000000004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21" priority="15">
      <formula>F39&gt;0</formula>
    </cfRule>
    <cfRule type="expression" dxfId="2120" priority="16">
      <formula>F39&lt;0</formula>
    </cfRule>
  </conditionalFormatting>
  <conditionalFormatting sqref="Q7">
    <cfRule type="expression" dxfId="2119" priority="13">
      <formula>Q7&gt;0</formula>
    </cfRule>
    <cfRule type="expression" dxfId="2118" priority="14">
      <formula>Q7&lt;0</formula>
    </cfRule>
  </conditionalFormatting>
  <conditionalFormatting sqref="Q8">
    <cfRule type="expression" dxfId="2117" priority="11">
      <formula>Q8&gt;0</formula>
    </cfRule>
    <cfRule type="expression" dxfId="2116" priority="12">
      <formula>Q8&lt;0</formula>
    </cfRule>
  </conditionalFormatting>
  <conditionalFormatting sqref="F25:F38">
    <cfRule type="expression" dxfId="2115" priority="9">
      <formula>F25&gt;0</formula>
    </cfRule>
    <cfRule type="expression" dxfId="2114" priority="10">
      <formula>F25&lt;0</formula>
    </cfRule>
  </conditionalFormatting>
  <conditionalFormatting sqref="H25:H38">
    <cfRule type="expression" dxfId="2113" priority="7">
      <formula>H25&gt;0</formula>
    </cfRule>
    <cfRule type="expression" dxfId="211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11" priority="3">
      <formula>M55&gt;0</formula>
    </cfRule>
    <cfRule type="expression" dxfId="2110" priority="4">
      <formula>M55&lt;0</formula>
    </cfRule>
  </conditionalFormatting>
  <conditionalFormatting sqref="Q10">
    <cfRule type="expression" dxfId="2109" priority="1">
      <formula>Q10&gt;0</formula>
    </cfRule>
    <cfRule type="expression" dxfId="210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9"/>
      <c r="I3" s="3"/>
      <c r="J3" s="3"/>
      <c r="K3" s="3"/>
      <c r="O3" s="11" t="s">
        <v>58</v>
      </c>
      <c r="Q3" s="469">
        <f>IF(Q2=0, Q4, (F18-K18-M18)/Q2)</f>
        <v>41.48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41.48</v>
      </c>
      <c r="R4" s="478">
        <v>1.0999999999999999E-2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55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7" t="s">
        <v>113</v>
      </c>
      <c r="C21" s="487" t="s">
        <v>146</v>
      </c>
      <c r="D21" s="488" t="s">
        <v>145</v>
      </c>
      <c r="E21" s="489" t="s">
        <v>147</v>
      </c>
      <c r="F21" s="490" t="s">
        <v>65</v>
      </c>
      <c r="G21" s="491" t="s">
        <v>151</v>
      </c>
      <c r="H21" s="490" t="s">
        <v>88</v>
      </c>
      <c r="I21" s="49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349</v>
      </c>
      <c r="B22" s="187">
        <v>42754</v>
      </c>
      <c r="C22" s="10">
        <v>50</v>
      </c>
      <c r="D22" s="196">
        <v>31.18</v>
      </c>
      <c r="E22" s="39">
        <v>33.86</v>
      </c>
      <c r="F22" s="230">
        <f>C22*(E22-D22)</f>
        <v>134</v>
      </c>
      <c r="G22" s="39">
        <f>D22*C22</f>
        <v>1559</v>
      </c>
      <c r="H22" s="226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7"/>
      <c r="C23" s="10"/>
      <c r="D23" s="196"/>
      <c r="E23" s="39"/>
      <c r="F23" s="230"/>
      <c r="G23" s="39"/>
      <c r="H23" s="226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7"/>
      <c r="C24" s="10"/>
      <c r="D24" s="196"/>
      <c r="E24" s="39"/>
      <c r="F24" s="230"/>
      <c r="G24" s="39"/>
      <c r="H24" s="226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7"/>
      <c r="C25" s="10"/>
      <c r="D25" s="196"/>
      <c r="E25" s="39"/>
      <c r="F25" s="230"/>
      <c r="G25" s="39"/>
      <c r="H25" s="226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7"/>
      <c r="C26" s="10"/>
      <c r="D26" s="196"/>
      <c r="E26" s="39"/>
      <c r="F26" s="230"/>
      <c r="G26" s="39"/>
      <c r="H26" s="226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7"/>
      <c r="C27" s="10"/>
      <c r="D27" s="196"/>
      <c r="E27" s="39"/>
      <c r="F27" s="230"/>
      <c r="G27" s="39"/>
      <c r="H27" s="226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7"/>
      <c r="C28" s="10"/>
      <c r="D28" s="196"/>
      <c r="E28" s="39"/>
      <c r="F28" s="230"/>
      <c r="G28" s="39"/>
      <c r="H28" s="226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7"/>
      <c r="C29" s="10"/>
      <c r="D29" s="196"/>
      <c r="E29" s="39"/>
      <c r="F29" s="230"/>
      <c r="G29" s="39"/>
      <c r="H29" s="226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7"/>
      <c r="C30" s="10"/>
      <c r="D30" s="196"/>
      <c r="E30" s="39"/>
      <c r="F30" s="230"/>
      <c r="G30" s="39"/>
      <c r="H30" s="226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7"/>
      <c r="C31" s="10"/>
      <c r="D31" s="196"/>
      <c r="E31" s="39"/>
      <c r="F31" s="230"/>
      <c r="G31" s="39"/>
      <c r="H31" s="226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7"/>
      <c r="C32" s="10"/>
      <c r="D32" s="196"/>
      <c r="E32" s="39"/>
      <c r="F32" s="230"/>
      <c r="G32" s="39"/>
      <c r="H32" s="226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7"/>
      <c r="C33" s="10"/>
      <c r="D33" s="196"/>
      <c r="E33" s="39"/>
      <c r="F33" s="230"/>
      <c r="G33" s="39"/>
      <c r="H33" s="226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7"/>
      <c r="C34" s="10"/>
      <c r="D34" s="196"/>
      <c r="E34" s="39"/>
      <c r="F34" s="230"/>
      <c r="G34" s="39"/>
      <c r="H34" s="226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7"/>
      <c r="C35" s="10"/>
      <c r="D35" s="196"/>
      <c r="E35" s="39"/>
      <c r="F35" s="230"/>
      <c r="G35" s="39"/>
      <c r="H35" s="226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7"/>
      <c r="C36" s="10"/>
      <c r="D36" s="196"/>
      <c r="E36" s="39"/>
      <c r="F36" s="230"/>
      <c r="G36" s="39"/>
      <c r="H36" s="226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8"/>
      <c r="E37" s="3"/>
      <c r="F37" s="3"/>
      <c r="G37" s="3"/>
      <c r="H37" s="227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8"/>
      <c r="E38" s="3"/>
      <c r="F38" s="3"/>
      <c r="G38" s="3"/>
      <c r="H38" s="227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7" t="s">
        <v>78</v>
      </c>
      <c r="P40" s="847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45.628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1" t="s">
        <v>1</v>
      </c>
      <c r="B42" s="371" t="s">
        <v>2</v>
      </c>
      <c r="C42" s="371" t="s">
        <v>4</v>
      </c>
      <c r="D42" s="373" t="s">
        <v>5</v>
      </c>
      <c r="E42" s="373" t="s">
        <v>94</v>
      </c>
      <c r="F42" s="373" t="s">
        <v>60</v>
      </c>
      <c r="G42" s="371" t="s">
        <v>3</v>
      </c>
      <c r="H42" s="371" t="s">
        <v>6</v>
      </c>
      <c r="I42" s="373" t="s">
        <v>7</v>
      </c>
      <c r="J42" s="373" t="s">
        <v>95</v>
      </c>
      <c r="K42" s="373" t="s">
        <v>61</v>
      </c>
      <c r="L42" s="371" t="s">
        <v>37</v>
      </c>
      <c r="M42" s="371" t="s">
        <v>38</v>
      </c>
      <c r="O42" s="81">
        <v>1.0900000000000001</v>
      </c>
      <c r="P42" s="81">
        <f t="shared" ref="P42:P61" si="2">O42*$Q$4</f>
        <v>45.213200000000001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4" t="s">
        <v>316</v>
      </c>
      <c r="B43" s="364">
        <v>42719</v>
      </c>
      <c r="C43" s="365">
        <v>50</v>
      </c>
      <c r="D43" s="366">
        <v>31.18</v>
      </c>
      <c r="E43" s="366">
        <v>0</v>
      </c>
      <c r="F43" s="366">
        <f>C43*D43+E43</f>
        <v>1559</v>
      </c>
      <c r="G43" s="364">
        <v>42753</v>
      </c>
      <c r="H43" s="365">
        <v>50</v>
      </c>
      <c r="I43" s="366">
        <v>32.92</v>
      </c>
      <c r="J43" s="366">
        <v>0.04</v>
      </c>
      <c r="K43" s="366">
        <f>H43*I43-J43</f>
        <v>1645.96</v>
      </c>
      <c r="L43" s="364">
        <v>42748</v>
      </c>
      <c r="M43" s="365">
        <v>18</v>
      </c>
      <c r="O43" s="81">
        <v>1.08</v>
      </c>
      <c r="P43" s="81">
        <f t="shared" si="2"/>
        <v>44.798400000000001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9">
        <v>50</v>
      </c>
      <c r="I44" s="3">
        <v>34.380000000000003</v>
      </c>
      <c r="J44" s="3">
        <v>0.04</v>
      </c>
      <c r="K44" s="3">
        <f>H44*I44-J44</f>
        <v>1718.9600000000003</v>
      </c>
      <c r="L44" s="365"/>
      <c r="M44" s="365"/>
      <c r="O44" s="81">
        <v>1.07</v>
      </c>
      <c r="P44" s="81">
        <f t="shared" si="2"/>
        <v>44.383600000000001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9"/>
      <c r="I45" s="366"/>
      <c r="J45" s="366"/>
      <c r="K45" s="366"/>
      <c r="L45" s="365"/>
      <c r="M45" s="365"/>
      <c r="O45" s="81">
        <v>1.06</v>
      </c>
      <c r="P45" s="81">
        <f t="shared" si="2"/>
        <v>43.968800000000002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9"/>
      <c r="I46" s="366"/>
      <c r="J46" s="366"/>
      <c r="K46" s="366"/>
      <c r="L46" s="365"/>
      <c r="M46" s="365"/>
      <c r="O46" s="81">
        <v>1.05</v>
      </c>
      <c r="P46" s="81">
        <f t="shared" si="2"/>
        <v>43.554000000000002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9"/>
      <c r="I47" s="366"/>
      <c r="J47" s="366"/>
      <c r="K47" s="366"/>
      <c r="L47" s="365"/>
      <c r="M47" s="365"/>
      <c r="O47" s="81">
        <v>1.04</v>
      </c>
      <c r="P47" s="81">
        <f t="shared" si="2"/>
        <v>43.139199999999995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9"/>
      <c r="I48" s="366"/>
      <c r="J48" s="366"/>
      <c r="K48" s="366"/>
      <c r="L48" s="365"/>
      <c r="M48" s="365"/>
      <c r="O48" s="81">
        <v>1.03</v>
      </c>
      <c r="P48" s="81">
        <f t="shared" si="2"/>
        <v>42.724399999999996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9"/>
      <c r="I49" s="366"/>
      <c r="J49" s="366"/>
      <c r="K49" s="366"/>
      <c r="L49" s="365"/>
      <c r="M49" s="365"/>
      <c r="O49" s="81">
        <v>1.02</v>
      </c>
      <c r="P49" s="81">
        <f t="shared" si="2"/>
        <v>42.309599999999996</v>
      </c>
      <c r="Q49" s="2"/>
      <c r="T49" s="91" t="s">
        <v>103</v>
      </c>
      <c r="U49" s="127" t="s">
        <v>586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9"/>
      <c r="I50" s="366"/>
      <c r="J50" s="366"/>
      <c r="K50" s="366"/>
      <c r="L50" s="365"/>
      <c r="M50" s="365"/>
      <c r="O50" s="81">
        <v>1.01</v>
      </c>
      <c r="P50" s="81">
        <f t="shared" si="2"/>
        <v>41.894799999999996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5"/>
      <c r="B51" s="365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</v>
      </c>
      <c r="P51" s="81">
        <f t="shared" si="2"/>
        <v>41.48</v>
      </c>
      <c r="Q51" s="2"/>
      <c r="T51" s="91" t="s">
        <v>104</v>
      </c>
      <c r="U51" s="127" t="s">
        <v>587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6"/>
      <c r="J52" s="366"/>
      <c r="K52" s="366"/>
      <c r="L52" s="365"/>
      <c r="M52" s="365"/>
      <c r="O52" s="81">
        <v>0.99</v>
      </c>
      <c r="P52" s="81">
        <f t="shared" si="2"/>
        <v>41.065199999999997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5"/>
      <c r="B53" s="365"/>
      <c r="C53" s="365"/>
      <c r="D53" s="366"/>
      <c r="E53" s="366"/>
      <c r="F53" s="366"/>
      <c r="G53" s="365"/>
      <c r="H53" s="365"/>
      <c r="I53" s="366"/>
      <c r="J53" s="366"/>
      <c r="K53" s="366"/>
      <c r="L53" s="365"/>
      <c r="M53" s="365"/>
      <c r="O53" s="81">
        <v>0.98</v>
      </c>
      <c r="P53" s="81">
        <f t="shared" si="2"/>
        <v>40.650399999999998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5"/>
      <c r="B54" s="365"/>
      <c r="C54" s="365"/>
      <c r="D54" s="366"/>
      <c r="E54" s="366"/>
      <c r="F54" s="366"/>
      <c r="G54" s="365"/>
      <c r="H54" s="365"/>
      <c r="I54" s="366"/>
      <c r="J54" s="366"/>
      <c r="K54" s="366"/>
      <c r="L54" s="365"/>
      <c r="M54" s="365"/>
      <c r="O54" s="81">
        <v>0.97</v>
      </c>
      <c r="P54" s="81">
        <f t="shared" si="2"/>
        <v>40.235599999999998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5"/>
      <c r="I55" s="366"/>
      <c r="J55" s="366"/>
      <c r="K55" s="366"/>
      <c r="L55" s="365"/>
      <c r="M55" s="365"/>
      <c r="O55" s="81">
        <v>0.96</v>
      </c>
      <c r="P55" s="81">
        <f t="shared" si="2"/>
        <v>39.820799999999998</v>
      </c>
      <c r="T55" s="91" t="s">
        <v>107</v>
      </c>
      <c r="U55" s="127" t="s">
        <v>588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5"/>
      <c r="I56" s="366"/>
      <c r="J56" s="366"/>
      <c r="K56" s="366"/>
      <c r="L56" s="365"/>
      <c r="M56" s="365"/>
      <c r="O56" s="81">
        <v>0.95</v>
      </c>
      <c r="P56" s="81">
        <f t="shared" si="2"/>
        <v>39.405999999999992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5"/>
      <c r="I57" s="366"/>
      <c r="J57" s="366"/>
      <c r="K57" s="366"/>
      <c r="L57" s="365"/>
      <c r="M57" s="365"/>
      <c r="O57" s="81">
        <v>0.94</v>
      </c>
      <c r="P57" s="81">
        <f t="shared" si="2"/>
        <v>38.991199999999992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38.5764</v>
      </c>
      <c r="T58" s="91" t="s">
        <v>108</v>
      </c>
      <c r="U58" s="127" t="s">
        <v>512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38.1616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7"/>
      <c r="B60" s="448"/>
      <c r="C60" s="449"/>
      <c r="D60" s="449"/>
      <c r="E60" s="449"/>
      <c r="F60" s="450"/>
      <c r="G60" s="449"/>
      <c r="H60" s="449"/>
      <c r="I60" s="449"/>
      <c r="J60" s="449"/>
      <c r="K60" s="450"/>
      <c r="L60" s="449"/>
      <c r="M60" s="565"/>
      <c r="O60" s="81">
        <v>0.91</v>
      </c>
      <c r="P60" s="81">
        <f t="shared" si="2"/>
        <v>37.7468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37.332000000000001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5"/>
      <c r="C68" s="415"/>
      <c r="D68" s="559"/>
      <c r="E68" s="559"/>
      <c r="F68" s="559"/>
      <c r="G68" s="415"/>
      <c r="H68" s="415"/>
      <c r="I68" s="55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5"/>
      <c r="B69" s="72"/>
      <c r="C69" s="4"/>
      <c r="D69" s="3"/>
      <c r="E69" s="3"/>
      <c r="F69" s="3"/>
      <c r="G69" s="72"/>
      <c r="H69" s="179"/>
      <c r="I69" s="3"/>
      <c r="J69" s="559"/>
      <c r="K69" s="559"/>
      <c r="L69" s="415"/>
      <c r="M69" s="415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60"/>
      <c r="B70" s="72"/>
      <c r="C70" s="4"/>
      <c r="D70" s="3"/>
      <c r="E70" s="3"/>
      <c r="F70" s="3"/>
      <c r="G70" s="72"/>
      <c r="H70" s="179"/>
      <c r="I70" s="3"/>
      <c r="J70" s="3"/>
      <c r="K70" s="3"/>
      <c r="L70" s="4"/>
      <c r="M70" s="4"/>
      <c r="N70" s="4"/>
    </row>
    <row r="71" spans="1:31" x14ac:dyDescent="0.25">
      <c r="A71" s="561"/>
      <c r="B71" s="72"/>
      <c r="C71" s="4"/>
      <c r="D71" s="3"/>
      <c r="E71" s="3"/>
      <c r="F71" s="3"/>
      <c r="G71" s="72"/>
      <c r="H71" s="179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07" priority="27">
      <formula>F27&gt;0</formula>
    </cfRule>
    <cfRule type="expression" dxfId="210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05" priority="15">
      <formula>Q8&gt;0</formula>
    </cfRule>
    <cfRule type="expression" dxfId="2104" priority="16">
      <formula>Q8&lt;0</formula>
    </cfRule>
  </conditionalFormatting>
  <conditionalFormatting sqref="Q7">
    <cfRule type="expression" dxfId="2103" priority="17">
      <formula>Q7&gt;0</formula>
    </cfRule>
    <cfRule type="expression" dxfId="2102" priority="18">
      <formula>Q7&lt;0</formula>
    </cfRule>
  </conditionalFormatting>
  <conditionalFormatting sqref="F37:F38">
    <cfRule type="expression" dxfId="2101" priority="13">
      <formula>F37&gt;0</formula>
    </cfRule>
    <cfRule type="expression" dxfId="2100" priority="14">
      <formula>F37&lt;0</formula>
    </cfRule>
  </conditionalFormatting>
  <conditionalFormatting sqref="H37:H38">
    <cfRule type="expression" dxfId="2099" priority="11">
      <formula>H37&gt;0</formula>
    </cfRule>
    <cfRule type="expression" dxfId="2098" priority="12">
      <formula>H37&lt;0</formula>
    </cfRule>
  </conditionalFormatting>
  <conditionalFormatting sqref="F23:F26 H23:H26">
    <cfRule type="expression" dxfId="2097" priority="9">
      <formula>F23&gt;0</formula>
    </cfRule>
    <cfRule type="expression" dxfId="2096" priority="10">
      <formula>F23&lt;0</formula>
    </cfRule>
  </conditionalFormatting>
  <conditionalFormatting sqref="Q10">
    <cfRule type="expression" dxfId="2095" priority="3">
      <formula>Q10&gt;0</formula>
    </cfRule>
    <cfRule type="expression" dxfId="2094" priority="4">
      <formula>Q10&lt;0</formula>
    </cfRule>
  </conditionalFormatting>
  <conditionalFormatting sqref="F22 H22">
    <cfRule type="expression" dxfId="2093" priority="1">
      <formula>F22&gt;0</formula>
    </cfRule>
    <cfRule type="expression" dxfId="2092" priority="2">
      <formula>F22&lt;0</formula>
    </cfRule>
  </conditionalFormatting>
  <conditionalFormatting sqref="M41">
    <cfRule type="expression" dxfId="2091" priority="5">
      <formula>M41&gt;0</formula>
    </cfRule>
    <cfRule type="expression" dxfId="209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62.98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62.98</v>
      </c>
      <c r="R4" s="478">
        <v>3.3E-3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7"/>
      <c r="C25" s="10"/>
      <c r="D25" s="584"/>
      <c r="E25" s="39"/>
      <c r="F25" s="39"/>
      <c r="G25" s="39"/>
      <c r="H25" s="225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7"/>
      <c r="C26" s="10"/>
      <c r="D26" s="584"/>
      <c r="E26" s="39"/>
      <c r="F26" s="39"/>
      <c r="G26" s="39"/>
      <c r="H26" s="225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7"/>
      <c r="C34" s="10"/>
      <c r="D34" s="584"/>
      <c r="E34" s="39"/>
      <c r="F34" s="39"/>
      <c r="G34" s="39"/>
      <c r="H34" s="225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7"/>
      <c r="C35" s="10"/>
      <c r="D35" s="584"/>
      <c r="E35" s="39"/>
      <c r="F35" s="39"/>
      <c r="G35" s="39"/>
      <c r="H35" s="225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69.278000000000006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68.648200000000003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68.0184</v>
      </c>
      <c r="Q43" s="2"/>
      <c r="T43" s="125" t="s">
        <v>97</v>
      </c>
      <c r="U43" s="126">
        <v>53.75</v>
      </c>
      <c r="V43" s="51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67.388599999999997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66.758799999999994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66.129000000000005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1" t="s">
        <v>1</v>
      </c>
      <c r="B47" s="371" t="s">
        <v>2</v>
      </c>
      <c r="C47" s="371" t="s">
        <v>4</v>
      </c>
      <c r="D47" s="373" t="s">
        <v>5</v>
      </c>
      <c r="E47" s="373" t="s">
        <v>94</v>
      </c>
      <c r="F47" s="373" t="s">
        <v>60</v>
      </c>
      <c r="G47" s="371" t="s">
        <v>3</v>
      </c>
      <c r="H47" s="371" t="s">
        <v>6</v>
      </c>
      <c r="I47" s="373" t="s">
        <v>7</v>
      </c>
      <c r="J47" s="373" t="s">
        <v>95</v>
      </c>
      <c r="K47" s="373" t="s">
        <v>61</v>
      </c>
      <c r="L47" s="371" t="s">
        <v>37</v>
      </c>
      <c r="M47" s="371" t="s">
        <v>38</v>
      </c>
      <c r="O47" s="81">
        <v>1.04</v>
      </c>
      <c r="P47" s="81">
        <f t="shared" si="2"/>
        <v>65.499200000000002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4" t="s">
        <v>300</v>
      </c>
      <c r="B48" s="364">
        <v>42669</v>
      </c>
      <c r="C48" s="365">
        <v>20</v>
      </c>
      <c r="D48" s="366">
        <v>49.18</v>
      </c>
      <c r="E48" s="366">
        <v>0</v>
      </c>
      <c r="F48" s="366">
        <f t="shared" ref="F48:F53" si="3">C48*D48+E48</f>
        <v>983.6</v>
      </c>
      <c r="G48" s="364">
        <v>42710</v>
      </c>
      <c r="H48" s="369">
        <v>20</v>
      </c>
      <c r="I48" s="366">
        <v>55.88</v>
      </c>
      <c r="J48" s="366">
        <v>0.02</v>
      </c>
      <c r="K48" s="366">
        <f>I48*H48-J48</f>
        <v>1117.5800000000002</v>
      </c>
      <c r="L48" s="364"/>
      <c r="M48" s="365"/>
      <c r="O48" s="81">
        <v>1.03</v>
      </c>
      <c r="P48" s="81">
        <f t="shared" si="2"/>
        <v>64.869399999999999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5" t="s">
        <v>71</v>
      </c>
      <c r="B49" s="364">
        <v>42669</v>
      </c>
      <c r="C49" s="365">
        <v>30</v>
      </c>
      <c r="D49" s="366">
        <v>49.18</v>
      </c>
      <c r="E49" s="366">
        <v>0</v>
      </c>
      <c r="F49" s="366">
        <f t="shared" si="3"/>
        <v>1475.4</v>
      </c>
      <c r="G49" s="364">
        <v>42713</v>
      </c>
      <c r="H49" s="369">
        <v>30</v>
      </c>
      <c r="I49" s="366">
        <v>56.28</v>
      </c>
      <c r="J49" s="366">
        <v>0.04</v>
      </c>
      <c r="K49" s="366">
        <f>I49*H49-J49</f>
        <v>1688.3600000000001</v>
      </c>
      <c r="L49" s="365"/>
      <c r="M49" s="365"/>
      <c r="O49" s="81">
        <v>1.02</v>
      </c>
      <c r="P49" s="81">
        <f t="shared" si="2"/>
        <v>64.239599999999996</v>
      </c>
      <c r="Q49" s="2"/>
      <c r="T49" s="91" t="s">
        <v>103</v>
      </c>
      <c r="U49" s="127" t="s">
        <v>484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5"/>
      <c r="B50" s="585">
        <v>42711</v>
      </c>
      <c r="C50" s="586">
        <v>20</v>
      </c>
      <c r="D50" s="587">
        <v>55.06</v>
      </c>
      <c r="E50" s="587">
        <v>0</v>
      </c>
      <c r="F50" s="587">
        <f t="shared" si="3"/>
        <v>1101.2</v>
      </c>
      <c r="G50" s="585">
        <v>42780</v>
      </c>
      <c r="H50" s="588">
        <v>20</v>
      </c>
      <c r="I50" s="587">
        <v>52.48</v>
      </c>
      <c r="J50" s="587">
        <v>0.02</v>
      </c>
      <c r="K50" s="587">
        <f>I50*H50-J50</f>
        <v>1049.58</v>
      </c>
      <c r="L50" s="585">
        <v>42768</v>
      </c>
      <c r="M50" s="587">
        <v>7.8</v>
      </c>
      <c r="O50" s="81">
        <v>1.01</v>
      </c>
      <c r="P50" s="81">
        <f t="shared" si="2"/>
        <v>63.6098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5"/>
      <c r="B51" s="585">
        <v>42755</v>
      </c>
      <c r="C51" s="586">
        <v>20</v>
      </c>
      <c r="D51" s="587">
        <v>51.33</v>
      </c>
      <c r="E51" s="587">
        <v>0</v>
      </c>
      <c r="F51" s="587">
        <f t="shared" si="3"/>
        <v>1026.5999999999999</v>
      </c>
      <c r="G51" s="585">
        <v>42787</v>
      </c>
      <c r="H51" s="588">
        <v>80</v>
      </c>
      <c r="I51" s="587">
        <v>55.58</v>
      </c>
      <c r="J51" s="587">
        <v>0.1</v>
      </c>
      <c r="K51" s="587">
        <f>I51*H51-J51</f>
        <v>4446.2999999999993</v>
      </c>
      <c r="L51" s="365"/>
      <c r="M51" s="365"/>
      <c r="O51" s="81">
        <v>1</v>
      </c>
      <c r="P51" s="81">
        <f t="shared" si="2"/>
        <v>62.98</v>
      </c>
      <c r="Q51" s="2"/>
      <c r="T51" s="91" t="s">
        <v>104</v>
      </c>
      <c r="U51" s="127" t="s">
        <v>589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5"/>
      <c r="B52" s="585">
        <v>42755</v>
      </c>
      <c r="C52" s="586">
        <v>20</v>
      </c>
      <c r="D52" s="587">
        <v>51.44</v>
      </c>
      <c r="E52" s="587">
        <v>0</v>
      </c>
      <c r="F52" s="587">
        <f t="shared" si="3"/>
        <v>1028.8</v>
      </c>
      <c r="G52" s="586"/>
      <c r="H52" s="588"/>
      <c r="I52" s="587"/>
      <c r="J52" s="587"/>
      <c r="K52" s="587"/>
      <c r="L52" s="365"/>
      <c r="M52" s="365"/>
      <c r="O52" s="81">
        <v>0.99</v>
      </c>
      <c r="P52" s="81">
        <f t="shared" si="2"/>
        <v>62.350199999999994</v>
      </c>
      <c r="Q52" s="2"/>
      <c r="T52" s="91" t="s">
        <v>105</v>
      </c>
      <c r="U52" s="127" t="s">
        <v>368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5"/>
      <c r="B53" s="585">
        <v>42755</v>
      </c>
      <c r="C53" s="586">
        <v>40</v>
      </c>
      <c r="D53" s="587">
        <v>49.68</v>
      </c>
      <c r="E53" s="587">
        <v>0</v>
      </c>
      <c r="F53" s="587">
        <f t="shared" si="3"/>
        <v>1987.2</v>
      </c>
      <c r="G53" s="586"/>
      <c r="H53" s="588"/>
      <c r="I53" s="587"/>
      <c r="J53" s="587"/>
      <c r="K53" s="587"/>
      <c r="L53" s="365"/>
      <c r="M53" s="365"/>
      <c r="O53" s="81">
        <v>0.98</v>
      </c>
      <c r="P53" s="81">
        <f t="shared" si="2"/>
        <v>61.720399999999998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9">
        <v>20</v>
      </c>
      <c r="I54" s="3">
        <v>57.3</v>
      </c>
      <c r="J54" s="3">
        <v>0.02</v>
      </c>
      <c r="K54" s="3">
        <f>H54*I54-J54</f>
        <v>1145.98</v>
      </c>
      <c r="L54" s="365"/>
      <c r="M54" s="365"/>
      <c r="O54" s="81">
        <v>0.97</v>
      </c>
      <c r="P54" s="81">
        <f t="shared" si="2"/>
        <v>61.090599999999995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2"/>
        <v>60.460799999999992</v>
      </c>
      <c r="T55" s="91" t="s">
        <v>107</v>
      </c>
      <c r="U55" s="127" t="s">
        <v>590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2"/>
        <v>59.830999999999996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2"/>
        <v>59.201199999999993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58.571399999999997</v>
      </c>
      <c r="T58" s="91" t="s">
        <v>108</v>
      </c>
      <c r="U58" s="127" t="s">
        <v>545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2"/>
        <v>57.941600000000001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2"/>
        <v>57.311799999999998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2"/>
        <v>56.681999999999995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5"/>
      <c r="I63" s="366"/>
      <c r="J63" s="366"/>
      <c r="K63" s="366"/>
      <c r="L63" s="365"/>
      <c r="M63" s="36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5" t="s">
        <v>113</v>
      </c>
      <c r="C70" s="185" t="s">
        <v>146</v>
      </c>
      <c r="D70" s="186" t="s">
        <v>145</v>
      </c>
      <c r="E70" s="188" t="s">
        <v>147</v>
      </c>
      <c r="F70" s="188" t="s">
        <v>65</v>
      </c>
      <c r="G70" s="223" t="s">
        <v>151</v>
      </c>
      <c r="H70" s="223" t="s">
        <v>88</v>
      </c>
      <c r="I70" s="223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6" t="s">
        <v>337</v>
      </c>
      <c r="B71" s="455">
        <v>42754</v>
      </c>
      <c r="C71" s="456">
        <v>20</v>
      </c>
      <c r="D71" s="589">
        <v>55.06</v>
      </c>
      <c r="E71" s="457">
        <v>55.49</v>
      </c>
      <c r="F71" s="457">
        <f t="shared" ref="F71:F78" si="4">C71*(E71-D71)</f>
        <v>8.5999999999999943</v>
      </c>
      <c r="G71" s="457">
        <f t="shared" ref="G71:G78" si="5">D71*C71</f>
        <v>1101.2</v>
      </c>
      <c r="H71" s="590">
        <f t="shared" ref="H71:H78" si="6">(E71-D71)/D71</f>
        <v>7.8096621867054065E-3</v>
      </c>
      <c r="I71" s="457"/>
      <c r="W71" s="130"/>
      <c r="X71" s="10"/>
      <c r="Y71" s="10"/>
      <c r="Z71" s="10"/>
      <c r="AA71" s="10"/>
      <c r="AB71" s="93"/>
      <c r="AC71" s="10"/>
    </row>
    <row r="72" spans="1:31" x14ac:dyDescent="0.25">
      <c r="A72" s="456" t="s">
        <v>348</v>
      </c>
      <c r="B72" s="455">
        <v>42755</v>
      </c>
      <c r="C72" s="456">
        <v>100</v>
      </c>
      <c r="D72" s="589">
        <v>51.438000000000002</v>
      </c>
      <c r="E72" s="457">
        <v>49.23</v>
      </c>
      <c r="F72" s="457">
        <f t="shared" si="4"/>
        <v>-220.80000000000055</v>
      </c>
      <c r="G72" s="457">
        <f t="shared" si="5"/>
        <v>5143.8</v>
      </c>
      <c r="H72" s="590">
        <f t="shared" si="6"/>
        <v>-4.2925463664994855E-2</v>
      </c>
      <c r="I72" s="457">
        <v>50</v>
      </c>
    </row>
    <row r="73" spans="1:31" x14ac:dyDescent="0.25">
      <c r="A73" s="456" t="s">
        <v>365</v>
      </c>
      <c r="B73" s="455">
        <v>42761</v>
      </c>
      <c r="C73" s="456">
        <v>120</v>
      </c>
      <c r="D73" s="589">
        <v>50.715000000000003</v>
      </c>
      <c r="E73" s="457">
        <v>46.82</v>
      </c>
      <c r="F73" s="457">
        <f t="shared" si="4"/>
        <v>-467.40000000000038</v>
      </c>
      <c r="G73" s="457">
        <f t="shared" si="5"/>
        <v>6085.8</v>
      </c>
      <c r="H73" s="590">
        <f t="shared" si="6"/>
        <v>-7.680173518682841E-2</v>
      </c>
      <c r="I73" s="457"/>
    </row>
    <row r="74" spans="1:31" x14ac:dyDescent="0.25">
      <c r="A74" s="456" t="s">
        <v>365</v>
      </c>
      <c r="B74" s="455">
        <v>42764</v>
      </c>
      <c r="C74" s="456">
        <v>120</v>
      </c>
      <c r="D74" s="589">
        <v>50.715000000000003</v>
      </c>
      <c r="E74" s="457">
        <v>47.74</v>
      </c>
      <c r="F74" s="457">
        <f t="shared" si="4"/>
        <v>-357.00000000000017</v>
      </c>
      <c r="G74" s="457">
        <f t="shared" si="5"/>
        <v>6085.8</v>
      </c>
      <c r="H74" s="590">
        <f t="shared" si="6"/>
        <v>-5.866114561766738E-2</v>
      </c>
      <c r="I74" s="457"/>
    </row>
    <row r="75" spans="1:31" x14ac:dyDescent="0.25">
      <c r="A75" s="456" t="s">
        <v>389</v>
      </c>
      <c r="B75" s="455">
        <v>42768</v>
      </c>
      <c r="C75" s="456">
        <v>120</v>
      </c>
      <c r="D75" s="589">
        <v>50.65</v>
      </c>
      <c r="E75" s="457">
        <v>50.5</v>
      </c>
      <c r="F75" s="457">
        <f t="shared" si="4"/>
        <v>-17.999999999999829</v>
      </c>
      <c r="G75" s="457">
        <f t="shared" si="5"/>
        <v>6078</v>
      </c>
      <c r="H75" s="590">
        <f t="shared" si="6"/>
        <v>-2.9615004935833874E-3</v>
      </c>
      <c r="I75" s="457"/>
    </row>
    <row r="76" spans="1:31" x14ac:dyDescent="0.25">
      <c r="A76" s="456" t="s">
        <v>425</v>
      </c>
      <c r="B76" s="455">
        <v>42780</v>
      </c>
      <c r="C76" s="456">
        <v>100</v>
      </c>
      <c r="D76" s="589">
        <v>50.284199999999998</v>
      </c>
      <c r="E76" s="457">
        <v>53.71</v>
      </c>
      <c r="F76" s="457">
        <f t="shared" si="4"/>
        <v>342.58000000000027</v>
      </c>
      <c r="G76" s="457">
        <f t="shared" si="5"/>
        <v>5028.42</v>
      </c>
      <c r="H76" s="590">
        <f t="shared" si="6"/>
        <v>6.8128756150043199E-2</v>
      </c>
      <c r="I76" s="457">
        <v>50</v>
      </c>
    </row>
    <row r="77" spans="1:31" x14ac:dyDescent="0.25">
      <c r="A77" s="634" t="s">
        <v>441</v>
      </c>
      <c r="B77" s="633">
        <v>42787</v>
      </c>
      <c r="C77" s="634">
        <v>20</v>
      </c>
      <c r="D77" s="635">
        <v>47.1</v>
      </c>
      <c r="E77" s="632">
        <v>54.78</v>
      </c>
      <c r="F77" s="632">
        <f t="shared" si="4"/>
        <v>153.6</v>
      </c>
      <c r="G77" s="632">
        <f t="shared" si="5"/>
        <v>942</v>
      </c>
      <c r="H77" s="636">
        <f t="shared" si="6"/>
        <v>0.16305732484076432</v>
      </c>
      <c r="I77" s="632"/>
    </row>
    <row r="78" spans="1:31" x14ac:dyDescent="0.25">
      <c r="A78" s="634" t="s">
        <v>458</v>
      </c>
      <c r="B78" s="633">
        <v>42792</v>
      </c>
      <c r="C78" s="634">
        <v>20</v>
      </c>
      <c r="D78" s="635">
        <v>47.1</v>
      </c>
      <c r="E78" s="632">
        <v>54.78</v>
      </c>
      <c r="F78" s="632">
        <f t="shared" si="4"/>
        <v>153.6</v>
      </c>
      <c r="G78" s="632">
        <f t="shared" si="5"/>
        <v>942</v>
      </c>
      <c r="H78" s="636">
        <f t="shared" si="6"/>
        <v>0.16305732484076432</v>
      </c>
      <c r="I78" s="632"/>
    </row>
    <row r="79" spans="1:31" x14ac:dyDescent="0.25">
      <c r="A79" s="634"/>
      <c r="B79" s="633">
        <v>42796</v>
      </c>
      <c r="C79" s="634">
        <v>0</v>
      </c>
      <c r="D79" s="635"/>
      <c r="E79" s="632"/>
      <c r="F79" s="632">
        <v>203.98</v>
      </c>
      <c r="G79" s="632"/>
      <c r="H79" s="636"/>
      <c r="I79" s="637"/>
    </row>
    <row r="80" spans="1:31" x14ac:dyDescent="0.25">
      <c r="B80" s="187"/>
      <c r="C80" s="10"/>
      <c r="D80" s="584"/>
      <c r="E80" s="39"/>
      <c r="F80" s="39"/>
      <c r="G80" s="39"/>
      <c r="H80" s="225"/>
      <c r="I80" s="39"/>
    </row>
    <row r="81" spans="2:9" x14ac:dyDescent="0.25">
      <c r="B81" s="187"/>
      <c r="C81" s="10"/>
      <c r="D81" s="584"/>
      <c r="E81" s="39"/>
      <c r="F81" s="39"/>
      <c r="G81" s="39"/>
      <c r="H81" s="225"/>
      <c r="I81" s="39"/>
    </row>
    <row r="82" spans="2:9" x14ac:dyDescent="0.25">
      <c r="B82" s="187"/>
      <c r="C82" s="10"/>
      <c r="D82" s="39"/>
      <c r="E82" s="39"/>
      <c r="F82" s="39"/>
      <c r="G82" s="39"/>
      <c r="H82" s="225"/>
      <c r="I82" s="39"/>
    </row>
    <row r="83" spans="2:9" x14ac:dyDescent="0.25">
      <c r="B83" s="187"/>
      <c r="C83" s="10"/>
      <c r="D83" s="39"/>
      <c r="E83" s="39"/>
      <c r="F83" s="39"/>
      <c r="G83" s="39"/>
      <c r="H83" s="225"/>
      <c r="I83" s="39"/>
    </row>
    <row r="84" spans="2:9" x14ac:dyDescent="0.25">
      <c r="B84" s="187"/>
      <c r="C84" s="10"/>
      <c r="D84" s="39"/>
      <c r="E84" s="39"/>
      <c r="F84" s="39"/>
      <c r="G84" s="39"/>
      <c r="H84" s="225"/>
      <c r="I84" s="39"/>
    </row>
    <row r="85" spans="2:9" x14ac:dyDescent="0.25">
      <c r="B85" s="187"/>
      <c r="C85" s="10"/>
      <c r="D85" s="39"/>
      <c r="E85" s="39"/>
      <c r="F85" s="39"/>
      <c r="G85" s="39"/>
      <c r="H85" s="225"/>
      <c r="I85" s="39"/>
    </row>
    <row r="86" spans="2:9" x14ac:dyDescent="0.25">
      <c r="B86" s="187"/>
      <c r="C86" s="10"/>
      <c r="D86" s="39"/>
      <c r="E86" s="39"/>
      <c r="F86" s="39"/>
      <c r="G86" s="39"/>
      <c r="H86" s="225"/>
      <c r="I86" s="39"/>
    </row>
    <row r="87" spans="2:9" x14ac:dyDescent="0.25">
      <c r="B87" s="187"/>
      <c r="C87" s="10"/>
      <c r="D87" s="39"/>
      <c r="E87" s="39"/>
      <c r="F87" s="39"/>
      <c r="G87" s="39"/>
      <c r="H87" s="225"/>
      <c r="I87" s="39"/>
    </row>
    <row r="88" spans="2:9" x14ac:dyDescent="0.25">
      <c r="B88" s="187"/>
      <c r="C88" s="10"/>
      <c r="D88" s="39"/>
      <c r="E88" s="39"/>
      <c r="F88" s="39"/>
      <c r="G88" s="39"/>
      <c r="H88" s="225"/>
      <c r="I88" s="39"/>
    </row>
    <row r="208" spans="21:21" x14ac:dyDescent="0.25">
      <c r="U208" s="229"/>
    </row>
    <row r="209" spans="21:21" x14ac:dyDescent="0.25">
      <c r="U209" s="229"/>
    </row>
    <row r="281" spans="21:21" x14ac:dyDescent="0.25">
      <c r="U281" s="276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89" priority="29">
      <formula>F25&gt;0</formula>
    </cfRule>
    <cfRule type="expression" dxfId="2088" priority="30">
      <formula>F25&lt;0</formula>
    </cfRule>
  </conditionalFormatting>
  <conditionalFormatting sqref="Q7">
    <cfRule type="expression" dxfId="2087" priority="27">
      <formula>Q7&gt;0</formula>
    </cfRule>
    <cfRule type="expression" dxfId="2086" priority="28">
      <formula>Q7&lt;0</formula>
    </cfRule>
  </conditionalFormatting>
  <conditionalFormatting sqref="Q8">
    <cfRule type="expression" dxfId="2085" priority="25">
      <formula>Q8&gt;0</formula>
    </cfRule>
    <cfRule type="expression" dxfId="2084" priority="26">
      <formula>Q8&lt;0</formula>
    </cfRule>
  </conditionalFormatting>
  <conditionalFormatting sqref="Q10">
    <cfRule type="expression" dxfId="2083" priority="13">
      <formula>Q10&gt;0</formula>
    </cfRule>
    <cfRule type="expression" dxfId="2082" priority="14">
      <formula>Q10&lt;0</formula>
    </cfRule>
  </conditionalFormatting>
  <conditionalFormatting sqref="M46">
    <cfRule type="expression" dxfId="2081" priority="11">
      <formula>M46&gt;0</formula>
    </cfRule>
    <cfRule type="expression" dxfId="2080" priority="12">
      <formula>M46&lt;0</formula>
    </cfRule>
  </conditionalFormatting>
  <conditionalFormatting sqref="F80:F88 H80:H88">
    <cfRule type="expression" dxfId="2079" priority="9">
      <formula>F80&gt;0</formula>
    </cfRule>
    <cfRule type="expression" dxfId="2078" priority="10">
      <formula>F80&lt;0</formula>
    </cfRule>
  </conditionalFormatting>
  <conditionalFormatting sqref="F75:F79">
    <cfRule type="expression" dxfId="2077" priority="7">
      <formula>F75&gt;0</formula>
    </cfRule>
    <cfRule type="expression" dxfId="2076" priority="8">
      <formula>F75&lt;0</formula>
    </cfRule>
  </conditionalFormatting>
  <conditionalFormatting sqref="H75:H79">
    <cfRule type="expression" dxfId="2075" priority="5">
      <formula>H75&gt;0</formula>
    </cfRule>
    <cfRule type="expression" dxfId="2074" priority="6">
      <formula>H75&lt;0</formula>
    </cfRule>
  </conditionalFormatting>
  <conditionalFormatting sqref="F71:F74">
    <cfRule type="expression" dxfId="2073" priority="3">
      <formula>F71&gt;0</formula>
    </cfRule>
    <cfRule type="expression" dxfId="2072" priority="4">
      <formula>F71&lt;0</formula>
    </cfRule>
  </conditionalFormatting>
  <conditionalFormatting sqref="H71:H74">
    <cfRule type="expression" dxfId="2071" priority="1">
      <formula>H71&gt;0</formula>
    </cfRule>
    <cfRule type="expression" dxfId="207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31.88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31.88</v>
      </c>
      <c r="R4" s="498">
        <v>2.23E-2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5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42997</v>
      </c>
      <c r="C26" s="10"/>
      <c r="D26" s="39"/>
      <c r="E26" s="39">
        <v>28.06</v>
      </c>
      <c r="F26" s="39">
        <v>557.94000000000005</v>
      </c>
      <c r="G26" s="39"/>
      <c r="H26" s="225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35.068000000000005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3">O42*$Q$4</f>
        <v>34.749200000000002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3"/>
        <v>34.430399999999999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3"/>
        <v>34.111600000000003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3"/>
        <v>33.7928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3"/>
        <v>33.474000000000004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3"/>
        <v>33.155200000000001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3"/>
        <v>32.836399999999998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3"/>
        <v>32.517600000000002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3"/>
        <v>32.198799999999999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3"/>
        <v>31.88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3"/>
        <v>31.561199999999999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3"/>
        <v>31.2424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3"/>
        <v>30.923599999999997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3"/>
        <v>30.604799999999997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3"/>
        <v>30.285999999999998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3"/>
        <v>29.967199999999998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3"/>
        <v>29.648400000000002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3"/>
        <v>29.329599999999999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3"/>
        <v>29.0108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3"/>
        <v>28.692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705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100</v>
      </c>
      <c r="D84" s="521"/>
      <c r="E84" s="521"/>
      <c r="F84" s="521">
        <f>SUM(F68:F72)</f>
        <v>2248</v>
      </c>
      <c r="G84" s="520"/>
      <c r="H84" s="542">
        <f>SUM(H68:H71)</f>
        <v>100</v>
      </c>
      <c r="I84" s="521"/>
      <c r="J84" s="521"/>
      <c r="K84" s="521">
        <f>SUM(K68:K71)</f>
        <v>2805.94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69" priority="21">
      <formula>F47&gt;0</formula>
    </cfRule>
    <cfRule type="expression" dxfId="2068" priority="22">
      <formula>F47&lt;0</formula>
    </cfRule>
  </conditionalFormatting>
  <conditionalFormatting sqref="Q7">
    <cfRule type="expression" dxfId="2067" priority="19">
      <formula>Q7&gt;0</formula>
    </cfRule>
    <cfRule type="expression" dxfId="2066" priority="20">
      <formula>Q7&lt;0</formula>
    </cfRule>
  </conditionalFormatting>
  <conditionalFormatting sqref="Q8">
    <cfRule type="expression" dxfId="2065" priority="17">
      <formula>Q8&gt;0</formula>
    </cfRule>
    <cfRule type="expression" dxfId="2064" priority="18">
      <formula>Q8&lt;0</formula>
    </cfRule>
  </conditionalFormatting>
  <conditionalFormatting sqref="F25:F46">
    <cfRule type="expression" dxfId="2063" priority="15">
      <formula>F25&gt;0</formula>
    </cfRule>
    <cfRule type="expression" dxfId="2062" priority="16">
      <formula>F25&lt;0</formula>
    </cfRule>
  </conditionalFormatting>
  <conditionalFormatting sqref="H25:H46">
    <cfRule type="expression" dxfId="2061" priority="13">
      <formula>H25&gt;0</formula>
    </cfRule>
    <cfRule type="expression" dxfId="2060" priority="14">
      <formula>H25&lt;0</formula>
    </cfRule>
  </conditionalFormatting>
  <conditionalFormatting sqref="F89:F110">
    <cfRule type="expression" dxfId="2059" priority="11">
      <formula>F89&gt;0</formula>
    </cfRule>
    <cfRule type="expression" dxfId="2058" priority="12">
      <formula>F89&lt;0</formula>
    </cfRule>
  </conditionalFormatting>
  <conditionalFormatting sqref="H89:H110">
    <cfRule type="expression" dxfId="2057" priority="9">
      <formula>H89&gt;0</formula>
    </cfRule>
    <cfRule type="expression" dxfId="2056" priority="10">
      <formula>H89&lt;0</formula>
    </cfRule>
  </conditionalFormatting>
  <conditionalFormatting sqref="Q10">
    <cfRule type="expression" dxfId="2055" priority="7">
      <formula>Q10&gt;0</formula>
    </cfRule>
    <cfRule type="expression" dxfId="2054" priority="8">
      <formula>Q10&lt;0</formula>
    </cfRule>
  </conditionalFormatting>
  <conditionalFormatting sqref="J25:J38">
    <cfRule type="expression" dxfId="2053" priority="5">
      <formula>J25&gt;0</formula>
    </cfRule>
    <cfRule type="expression" dxfId="2052" priority="6">
      <formula>J25&lt;0</formula>
    </cfRule>
  </conditionalFormatting>
  <conditionalFormatting sqref="K25:K38">
    <cfRule type="expression" dxfId="2051" priority="3">
      <formula>K25&gt;0</formula>
    </cfRule>
    <cfRule type="expression" dxfId="2050" priority="4">
      <formula>K25&lt;0</formula>
    </cfRule>
  </conditionalFormatting>
  <conditionalFormatting sqref="L25:L38">
    <cfRule type="expression" dxfId="2049" priority="1">
      <formula>L25&gt;0</formula>
    </cfRule>
    <cfRule type="expression" dxfId="20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70.41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70.41</v>
      </c>
      <c r="R4" s="478">
        <v>4.1000000000000003E-3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/>
      <c r="K24" s="223" t="s">
        <v>150</v>
      </c>
      <c r="L24" s="223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5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5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5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5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>
        <v>42983</v>
      </c>
      <c r="C29" s="231">
        <v>40</v>
      </c>
      <c r="D29" s="232">
        <v>45.02</v>
      </c>
      <c r="E29" s="232">
        <v>46.17</v>
      </c>
      <c r="F29" s="39">
        <f>(E29-D29)*C29</f>
        <v>45.999999999999943</v>
      </c>
      <c r="G29" s="39">
        <f>D29*C29</f>
        <v>1800.8000000000002</v>
      </c>
      <c r="H29" s="225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>
        <v>43007</v>
      </c>
      <c r="C30" s="10">
        <v>0</v>
      </c>
      <c r="D30" s="39"/>
      <c r="E30" s="39"/>
      <c r="F30" s="39">
        <v>130.36000000000001</v>
      </c>
      <c r="G30" s="39"/>
      <c r="H30" s="225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77.451000000000008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0">O42*$Q$4</f>
        <v>76.746899999999997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76.0428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75.338700000000003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74.634600000000006</v>
      </c>
      <c r="Q45" s="2"/>
      <c r="T45" s="91" t="s">
        <v>99</v>
      </c>
      <c r="U45" s="127" t="s">
        <v>591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73.930499999999995</v>
      </c>
      <c r="Q46" s="2"/>
      <c r="T46" s="91" t="s">
        <v>100</v>
      </c>
      <c r="U46" s="127" t="s">
        <v>592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73.226399999999998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7" t="s">
        <v>249</v>
      </c>
      <c r="B48" s="258">
        <v>42577</v>
      </c>
      <c r="C48" s="253">
        <v>30</v>
      </c>
      <c r="D48" s="254">
        <v>52</v>
      </c>
      <c r="E48" s="254">
        <v>0</v>
      </c>
      <c r="F48" s="254">
        <f>D48*C48+E48</f>
        <v>1560</v>
      </c>
      <c r="G48" s="258">
        <v>42580</v>
      </c>
      <c r="H48" s="259">
        <v>30</v>
      </c>
      <c r="I48" s="254">
        <v>50.75</v>
      </c>
      <c r="J48" s="254">
        <v>0.03</v>
      </c>
      <c r="K48" s="254">
        <f>H48*I48-J48</f>
        <v>1522.47</v>
      </c>
      <c r="L48" s="258"/>
      <c r="M48" s="253"/>
      <c r="O48" s="81">
        <v>1.03</v>
      </c>
      <c r="P48" s="81">
        <f t="shared" si="0"/>
        <v>72.522300000000001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0" t="s">
        <v>71</v>
      </c>
      <c r="B49" s="258">
        <v>42578</v>
      </c>
      <c r="C49" s="253">
        <v>20</v>
      </c>
      <c r="D49" s="254">
        <v>48.52</v>
      </c>
      <c r="E49" s="254">
        <v>0</v>
      </c>
      <c r="F49" s="254">
        <f>D49*C49+E49</f>
        <v>970.40000000000009</v>
      </c>
      <c r="G49" s="258">
        <v>42611</v>
      </c>
      <c r="H49" s="259">
        <v>20</v>
      </c>
      <c r="I49" s="254">
        <v>55.03</v>
      </c>
      <c r="J49" s="254">
        <v>0.02</v>
      </c>
      <c r="K49" s="254">
        <f>H49*I49-J49</f>
        <v>1100.58</v>
      </c>
      <c r="L49" s="253"/>
      <c r="M49" s="253"/>
      <c r="O49" s="81">
        <v>1.02</v>
      </c>
      <c r="P49" s="81">
        <f t="shared" si="0"/>
        <v>71.818200000000004</v>
      </c>
      <c r="Q49" s="2"/>
      <c r="T49" s="91" t="s">
        <v>121</v>
      </c>
      <c r="U49" s="127" t="s">
        <v>391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3"/>
      <c r="B50" s="437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7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3"/>
      <c r="M50" s="253"/>
      <c r="O50" s="81">
        <v>1.01</v>
      </c>
      <c r="P50" s="81">
        <f t="shared" si="0"/>
        <v>71.114099999999993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70.41</v>
      </c>
      <c r="Q51" s="2"/>
      <c r="T51" s="91" t="s">
        <v>104</v>
      </c>
      <c r="U51" s="127" t="s">
        <v>593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3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3"/>
      <c r="O52" s="81">
        <v>0.99</v>
      </c>
      <c r="P52" s="81">
        <f t="shared" si="0"/>
        <v>69.7059</v>
      </c>
      <c r="Q52" s="2"/>
      <c r="T52" s="91" t="s">
        <v>105</v>
      </c>
      <c r="U52" s="127" t="s">
        <v>422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69.001799999999989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68.297699999999992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67.593599999999995</v>
      </c>
      <c r="T55" s="91" t="s">
        <v>107</v>
      </c>
      <c r="U55" s="127" t="s">
        <v>594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66.889499999999998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66.185399999999987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65.481300000000005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64.777199999999993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64.073099999999997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63.369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2" t="s">
        <v>194</v>
      </c>
      <c r="B65" s="443"/>
      <c r="C65" s="444">
        <f>SumByColor($A$19,C48:C63)</f>
        <v>60</v>
      </c>
      <c r="D65" s="444"/>
      <c r="E65" s="444"/>
      <c r="F65" s="445">
        <f>SumByColor($A$19,F48:F63)</f>
        <v>2724</v>
      </c>
      <c r="G65" s="444"/>
      <c r="H65" s="444">
        <f>SumByColor($A$19,H48:H63)</f>
        <v>60</v>
      </c>
      <c r="I65" s="444"/>
      <c r="J65" s="444"/>
      <c r="K65" s="445">
        <f>SumByColor($A$19,K48:K63)</f>
        <v>2831</v>
      </c>
      <c r="L65" s="444"/>
      <c r="M65" s="445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4">
        <v>42577</v>
      </c>
      <c r="C70" s="365">
        <v>30</v>
      </c>
      <c r="D70" s="366">
        <v>52</v>
      </c>
      <c r="E70" s="366">
        <v>58.09</v>
      </c>
      <c r="F70" s="366">
        <f t="shared" ref="F70:F78" si="1">C70*(E70-D70)</f>
        <v>182.7000000000001</v>
      </c>
      <c r="G70" s="366">
        <f t="shared" ref="G70:G78" si="2">D70*C70</f>
        <v>1560</v>
      </c>
      <c r="H70" s="367">
        <f t="shared" ref="H70:H78" si="3">(E70-D70)/D70</f>
        <v>0.11711538461538468</v>
      </c>
      <c r="I70" s="366" t="s">
        <v>250</v>
      </c>
    </row>
    <row r="71" spans="1:31" x14ac:dyDescent="0.25">
      <c r="B71" s="364">
        <v>42578</v>
      </c>
      <c r="C71" s="365">
        <v>50</v>
      </c>
      <c r="D71" s="366">
        <v>50.607999999999997</v>
      </c>
      <c r="E71" s="366">
        <v>50.51</v>
      </c>
      <c r="F71" s="366">
        <f t="shared" si="1"/>
        <v>-4.8999999999999488</v>
      </c>
      <c r="G71" s="366">
        <f t="shared" si="2"/>
        <v>2530.3999999999996</v>
      </c>
      <c r="H71" s="367">
        <f t="shared" si="3"/>
        <v>-1.9364527347454747E-3</v>
      </c>
      <c r="I71" s="366"/>
    </row>
    <row r="72" spans="1:31" x14ac:dyDescent="0.25">
      <c r="B72" s="364">
        <v>42580</v>
      </c>
      <c r="C72" s="365">
        <v>20</v>
      </c>
      <c r="D72" s="366">
        <v>50.396500000000003</v>
      </c>
      <c r="E72" s="366">
        <v>50.53</v>
      </c>
      <c r="F72" s="366">
        <f t="shared" si="1"/>
        <v>2.6699999999999591</v>
      </c>
      <c r="G72" s="366">
        <f t="shared" si="2"/>
        <v>1007.9300000000001</v>
      </c>
      <c r="H72" s="367">
        <f t="shared" si="3"/>
        <v>2.6489934816901562E-3</v>
      </c>
      <c r="I72" s="366" t="s">
        <v>253</v>
      </c>
    </row>
    <row r="73" spans="1:31" x14ac:dyDescent="0.25">
      <c r="B73" s="364">
        <v>42585</v>
      </c>
      <c r="C73" s="365">
        <v>20</v>
      </c>
      <c r="D73" s="366">
        <v>50.396500000000003</v>
      </c>
      <c r="E73" s="366">
        <v>49.96</v>
      </c>
      <c r="F73" s="366">
        <f t="shared" si="1"/>
        <v>-8.7300000000000466</v>
      </c>
      <c r="G73" s="366">
        <f t="shared" si="2"/>
        <v>1007.9300000000001</v>
      </c>
      <c r="H73" s="367">
        <f t="shared" si="3"/>
        <v>-8.6613157659758567E-3</v>
      </c>
      <c r="I73" s="366"/>
    </row>
    <row r="74" spans="1:31" x14ac:dyDescent="0.25">
      <c r="B74" s="364">
        <v>42593</v>
      </c>
      <c r="C74" s="365">
        <v>20</v>
      </c>
      <c r="D74" s="366">
        <v>50.396500000000003</v>
      </c>
      <c r="E74" s="366">
        <v>52.02</v>
      </c>
      <c r="F74" s="366">
        <f t="shared" si="1"/>
        <v>32.47</v>
      </c>
      <c r="G74" s="366">
        <f t="shared" si="2"/>
        <v>1007.9300000000001</v>
      </c>
      <c r="H74" s="367">
        <f t="shared" si="3"/>
        <v>3.22145387080452E-2</v>
      </c>
      <c r="I74" s="366"/>
    </row>
    <row r="75" spans="1:31" x14ac:dyDescent="0.25">
      <c r="B75" s="364">
        <v>42601</v>
      </c>
      <c r="C75" s="365">
        <v>20</v>
      </c>
      <c r="D75" s="366">
        <v>50.396500000000003</v>
      </c>
      <c r="E75" s="366">
        <v>52.95</v>
      </c>
      <c r="F75" s="366">
        <f t="shared" si="1"/>
        <v>51.069999999999993</v>
      </c>
      <c r="G75" s="366">
        <f t="shared" si="2"/>
        <v>1007.9300000000001</v>
      </c>
      <c r="H75" s="367">
        <f t="shared" si="3"/>
        <v>5.0668201164763414E-2</v>
      </c>
      <c r="I75" s="366"/>
    </row>
    <row r="76" spans="1:31" x14ac:dyDescent="0.25">
      <c r="B76" s="364">
        <v>42605</v>
      </c>
      <c r="C76" s="365">
        <v>20</v>
      </c>
      <c r="D76" s="366">
        <v>50.396500000000003</v>
      </c>
      <c r="E76" s="366">
        <v>53.6</v>
      </c>
      <c r="F76" s="366">
        <f t="shared" si="1"/>
        <v>64.069999999999965</v>
      </c>
      <c r="G76" s="366">
        <f t="shared" si="2"/>
        <v>1007.9300000000001</v>
      </c>
      <c r="H76" s="367">
        <f t="shared" si="3"/>
        <v>6.3565922236663228E-2</v>
      </c>
      <c r="I76" s="366"/>
    </row>
    <row r="77" spans="1:31" x14ac:dyDescent="0.25">
      <c r="B77" s="364">
        <v>42606</v>
      </c>
      <c r="C77" s="365">
        <v>20</v>
      </c>
      <c r="D77" s="366">
        <v>50.396500000000003</v>
      </c>
      <c r="E77" s="366">
        <v>53.98</v>
      </c>
      <c r="F77" s="366">
        <f t="shared" si="1"/>
        <v>71.669999999999874</v>
      </c>
      <c r="G77" s="366">
        <f t="shared" si="2"/>
        <v>1007.9300000000001</v>
      </c>
      <c r="H77" s="367">
        <f t="shared" si="3"/>
        <v>7.1106128401773799E-2</v>
      </c>
      <c r="I77" s="366"/>
    </row>
    <row r="78" spans="1:31" x14ac:dyDescent="0.25">
      <c r="B78" s="364">
        <v>42609</v>
      </c>
      <c r="C78" s="365">
        <v>20</v>
      </c>
      <c r="D78" s="366">
        <v>50.396500000000003</v>
      </c>
      <c r="E78" s="366">
        <v>55.31</v>
      </c>
      <c r="F78" s="366">
        <f t="shared" si="1"/>
        <v>98.269999999999982</v>
      </c>
      <c r="G78" s="366">
        <f t="shared" si="2"/>
        <v>1007.9300000000001</v>
      </c>
      <c r="H78" s="367">
        <f t="shared" si="3"/>
        <v>9.7496849979661265E-2</v>
      </c>
      <c r="I78" s="446"/>
    </row>
    <row r="79" spans="1:31" x14ac:dyDescent="0.25">
      <c r="B79" s="364">
        <v>42611</v>
      </c>
      <c r="C79" s="365">
        <v>0</v>
      </c>
      <c r="D79" s="366"/>
      <c r="E79" s="366"/>
      <c r="F79" s="366">
        <v>92.65</v>
      </c>
      <c r="G79" s="366"/>
      <c r="H79" s="367"/>
      <c r="I79" s="366"/>
    </row>
    <row r="80" spans="1:31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47" priority="23">
      <formula>F34&gt;0</formula>
    </cfRule>
    <cfRule type="expression" dxfId="2046" priority="24">
      <formula>F34&lt;0</formula>
    </cfRule>
  </conditionalFormatting>
  <conditionalFormatting sqref="Q7">
    <cfRule type="expression" dxfId="2045" priority="21">
      <formula>Q7&gt;0</formula>
    </cfRule>
    <cfRule type="expression" dxfId="2044" priority="22">
      <formula>Q7&lt;0</formula>
    </cfRule>
  </conditionalFormatting>
  <conditionalFormatting sqref="Q8">
    <cfRule type="expression" dxfId="2043" priority="19">
      <formula>Q8&gt;0</formula>
    </cfRule>
    <cfRule type="expression" dxfId="2042" priority="20">
      <formula>Q8&lt;0</formula>
    </cfRule>
  </conditionalFormatting>
  <conditionalFormatting sqref="F25:F33">
    <cfRule type="expression" dxfId="2041" priority="17">
      <formula>F25&gt;0</formula>
    </cfRule>
    <cfRule type="expression" dxfId="2040" priority="18">
      <formula>F25&lt;0</formula>
    </cfRule>
  </conditionalFormatting>
  <conditionalFormatting sqref="H25:H33">
    <cfRule type="expression" dxfId="2039" priority="15">
      <formula>H25&gt;0</formula>
    </cfRule>
    <cfRule type="expression" dxfId="2038" priority="16">
      <formula>H25&lt;0</formula>
    </cfRule>
  </conditionalFormatting>
  <conditionalFormatting sqref="M46">
    <cfRule type="expression" dxfId="2037" priority="13">
      <formula>M46&gt;0</formula>
    </cfRule>
    <cfRule type="expression" dxfId="2036" priority="14">
      <formula>M46&lt;0</formula>
    </cfRule>
  </conditionalFormatting>
  <conditionalFormatting sqref="F79:F87 H79:H87">
    <cfRule type="expression" dxfId="2035" priority="11">
      <formula>F79&gt;0</formula>
    </cfRule>
    <cfRule type="expression" dxfId="2034" priority="12">
      <formula>F79&lt;0</formula>
    </cfRule>
  </conditionalFormatting>
  <conditionalFormatting sqref="F70:F78">
    <cfRule type="expression" dxfId="2033" priority="9">
      <formula>F70&gt;0</formula>
    </cfRule>
    <cfRule type="expression" dxfId="2032" priority="10">
      <formula>F70&lt;0</formula>
    </cfRule>
  </conditionalFormatting>
  <conditionalFormatting sqref="H70:H78">
    <cfRule type="expression" dxfId="2031" priority="7">
      <formula>H70&gt;0</formula>
    </cfRule>
    <cfRule type="expression" dxfId="2030" priority="8">
      <formula>H70&lt;0</formula>
    </cfRule>
  </conditionalFormatting>
  <conditionalFormatting sqref="J27:K27 J30:K30 J33:K33 J36:K36 J39:K39 J42:K42">
    <cfRule type="expression" dxfId="2029" priority="5">
      <formula>J27&gt;0</formula>
    </cfRule>
    <cfRule type="expression" dxfId="2028" priority="6">
      <formula>J27&lt;0</formula>
    </cfRule>
  </conditionalFormatting>
  <conditionalFormatting sqref="J28:K29 J31:K32 J34:K35 J37:K38 J40:K41">
    <cfRule type="expression" dxfId="2027" priority="3">
      <formula>J28&gt;0</formula>
    </cfRule>
    <cfRule type="expression" dxfId="2026" priority="4">
      <formula>J28&lt;0</formula>
    </cfRule>
  </conditionalFormatting>
  <conditionalFormatting sqref="L27:L42">
    <cfRule type="expression" dxfId="2025" priority="1">
      <formula>L27&gt;0</formula>
    </cfRule>
    <cfRule type="expression" dxfId="202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22.63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22.63</v>
      </c>
      <c r="R4" s="478">
        <v>1.2500000000000001E-2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7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5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7">
        <v>42874</v>
      </c>
      <c r="C26" s="10"/>
      <c r="D26" s="39"/>
      <c r="E26" s="39"/>
      <c r="F26" s="39">
        <v>303.26</v>
      </c>
      <c r="G26" s="39"/>
      <c r="H26" s="225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24.893000000000001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4">O42*$Q$4</f>
        <v>24.666700000000002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4"/>
        <v>24.4404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4"/>
        <v>24.214100000000002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4"/>
        <v>23.9878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4"/>
        <v>23.761500000000002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4"/>
        <v>23.5352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4"/>
        <v>23.308900000000001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4"/>
        <v>23.082599999999999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4"/>
        <v>22.856300000000001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4"/>
        <v>22.63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4"/>
        <v>22.403699999999997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4"/>
        <v>22.177399999999999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4"/>
        <v>21.951099999999997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4"/>
        <v>21.724799999999998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4"/>
        <v>21.498499999999996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21.272199999999998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21.0459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20.819600000000001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20.593299999999999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20.367000000000001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1" t="s">
        <v>1</v>
      </c>
      <c r="B74" s="371" t="s">
        <v>2</v>
      </c>
      <c r="C74" s="371" t="s">
        <v>4</v>
      </c>
      <c r="D74" s="373" t="s">
        <v>5</v>
      </c>
      <c r="E74" s="373" t="s">
        <v>94</v>
      </c>
      <c r="F74" s="373" t="s">
        <v>60</v>
      </c>
      <c r="G74" s="371" t="s">
        <v>3</v>
      </c>
      <c r="H74" s="371" t="s">
        <v>6</v>
      </c>
      <c r="I74" s="373" t="s">
        <v>7</v>
      </c>
      <c r="J74" s="373" t="s">
        <v>95</v>
      </c>
      <c r="K74" s="373" t="s">
        <v>61</v>
      </c>
      <c r="L74" s="371" t="s">
        <v>37</v>
      </c>
      <c r="M74" s="371" t="s">
        <v>38</v>
      </c>
    </row>
    <row r="75" spans="1:31" x14ac:dyDescent="0.25">
      <c r="A75" s="374" t="s">
        <v>682</v>
      </c>
      <c r="B75" s="364">
        <v>42843</v>
      </c>
      <c r="C75" s="365">
        <v>100</v>
      </c>
      <c r="D75" s="366">
        <v>24.68</v>
      </c>
      <c r="E75" s="366">
        <v>0</v>
      </c>
      <c r="F75" s="366">
        <f>C75*D75+E75</f>
        <v>2468</v>
      </c>
      <c r="G75" s="364">
        <v>42874</v>
      </c>
      <c r="H75" s="366">
        <v>100</v>
      </c>
      <c r="I75" s="366">
        <v>27.71</v>
      </c>
      <c r="J75" s="366">
        <v>-0.26</v>
      </c>
      <c r="K75" s="366">
        <f>H75*I75-J75</f>
        <v>2771.26</v>
      </c>
      <c r="L75" s="364">
        <v>42880</v>
      </c>
      <c r="M75" s="366">
        <v>6</v>
      </c>
    </row>
    <row r="76" spans="1:31" x14ac:dyDescent="0.25">
      <c r="A76" s="375" t="s">
        <v>71</v>
      </c>
      <c r="B76" s="364"/>
      <c r="C76" s="365"/>
      <c r="D76" s="366"/>
      <c r="E76" s="366"/>
      <c r="F76" s="366"/>
      <c r="G76" s="364"/>
      <c r="H76" s="369"/>
      <c r="I76" s="366"/>
      <c r="J76" s="366"/>
      <c r="K76" s="366"/>
      <c r="L76" s="364"/>
      <c r="M76" s="366"/>
    </row>
    <row r="77" spans="1:31" x14ac:dyDescent="0.25">
      <c r="A77" s="365"/>
      <c r="B77" s="364"/>
      <c r="C77" s="365"/>
      <c r="D77" s="366"/>
      <c r="E77" s="366"/>
      <c r="F77" s="366"/>
      <c r="G77" s="364"/>
      <c r="H77" s="369"/>
      <c r="I77" s="366"/>
      <c r="J77" s="366"/>
      <c r="K77" s="366"/>
      <c r="L77" s="365"/>
      <c r="M77" s="365"/>
    </row>
    <row r="78" spans="1:31" x14ac:dyDescent="0.25">
      <c r="A78" s="365"/>
      <c r="B78" s="364"/>
      <c r="C78" s="365"/>
      <c r="D78" s="366"/>
      <c r="E78" s="366"/>
      <c r="F78" s="366"/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/>
      <c r="C79" s="365"/>
      <c r="D79" s="366"/>
      <c r="E79" s="366"/>
      <c r="F79" s="366"/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364"/>
      <c r="C80" s="365"/>
      <c r="D80" s="366"/>
      <c r="E80" s="366"/>
      <c r="F80" s="366"/>
      <c r="G80" s="365"/>
      <c r="H80" s="369"/>
      <c r="I80" s="366"/>
      <c r="J80" s="366"/>
      <c r="K80" s="366"/>
      <c r="L80" s="365"/>
      <c r="M80" s="365"/>
    </row>
    <row r="81" spans="1:13" x14ac:dyDescent="0.25">
      <c r="A81" s="365"/>
      <c r="B81" s="365"/>
      <c r="C81" s="365"/>
      <c r="D81" s="366"/>
      <c r="E81" s="366"/>
      <c r="F81" s="366"/>
      <c r="G81" s="365"/>
      <c r="H81" s="369"/>
      <c r="I81" s="366"/>
      <c r="J81" s="366"/>
      <c r="K81" s="366"/>
      <c r="L81" s="365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365"/>
      <c r="B85" s="365"/>
      <c r="C85" s="365"/>
      <c r="D85" s="366"/>
      <c r="E85" s="366"/>
      <c r="F85" s="366"/>
      <c r="G85" s="365"/>
      <c r="H85" s="369"/>
      <c r="I85" s="366"/>
      <c r="J85" s="366"/>
      <c r="K85" s="366"/>
      <c r="L85" s="365"/>
      <c r="M85" s="365"/>
    </row>
    <row r="86" spans="1:13" x14ac:dyDescent="0.25">
      <c r="A86" s="365"/>
      <c r="B86" s="365"/>
      <c r="C86" s="365"/>
      <c r="D86" s="366"/>
      <c r="E86" s="366"/>
      <c r="F86" s="366"/>
      <c r="G86" s="365"/>
      <c r="H86" s="369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9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9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9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23" priority="9">
      <formula>F57&gt;0</formula>
    </cfRule>
    <cfRule type="expression" dxfId="2022" priority="10">
      <formula>F57&lt;0</formula>
    </cfRule>
  </conditionalFormatting>
  <conditionalFormatting sqref="Q7">
    <cfRule type="expression" dxfId="2021" priority="7">
      <formula>Q7&gt;0</formula>
    </cfRule>
    <cfRule type="expression" dxfId="2020" priority="8">
      <formula>Q7&lt;0</formula>
    </cfRule>
  </conditionalFormatting>
  <conditionalFormatting sqref="Q8">
    <cfRule type="expression" dxfId="2019" priority="5">
      <formula>Q8&gt;0</formula>
    </cfRule>
    <cfRule type="expression" dxfId="2018" priority="6">
      <formula>Q8&lt;0</formula>
    </cfRule>
  </conditionalFormatting>
  <conditionalFormatting sqref="F25:F56">
    <cfRule type="expression" dxfId="2017" priority="3">
      <formula>F25&gt;0</formula>
    </cfRule>
    <cfRule type="expression" dxfId="2016" priority="4">
      <formula>F25&lt;0</formula>
    </cfRule>
  </conditionalFormatting>
  <conditionalFormatting sqref="H25:H56">
    <cfRule type="expression" dxfId="2015" priority="1">
      <formula>H25&gt;0</formula>
    </cfRule>
    <cfRule type="expression" dxfId="201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64.28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64.28</v>
      </c>
      <c r="R4" s="478">
        <v>2.7300000000000001E-2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70.708000000000013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1">O42*$Q$4</f>
        <v>70.065200000000004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1"/>
        <v>69.42240000000001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1"/>
        <v>68.779600000000002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1"/>
        <v>68.136800000000008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1"/>
        <v>67.494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1"/>
        <v>66.851200000000006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1"/>
        <v>66.208399999999997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1"/>
        <v>65.565600000000003</v>
      </c>
      <c r="Q49" s="2"/>
      <c r="T49" s="91" t="s">
        <v>103</v>
      </c>
      <c r="U49" s="127" t="s">
        <v>477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1"/>
        <v>64.922799999999995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1"/>
        <v>64.28</v>
      </c>
      <c r="Q51" s="2"/>
      <c r="T51" s="91" t="s">
        <v>104</v>
      </c>
      <c r="U51" s="127" t="s">
        <v>595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1"/>
        <v>63.6372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1"/>
        <v>62.994399999999999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1"/>
        <v>62.351599999999998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1"/>
        <v>61.708799999999997</v>
      </c>
      <c r="T55" s="91" t="s">
        <v>107</v>
      </c>
      <c r="U55" s="127" t="s">
        <v>596</v>
      </c>
      <c r="W55" s="130">
        <v>42755</v>
      </c>
      <c r="X55" s="10" t="s">
        <v>345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1"/>
        <v>61.065999999999995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60.423199999999994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59.780400000000007</v>
      </c>
      <c r="T58" s="91" t="s">
        <v>108</v>
      </c>
      <c r="U58" s="127" t="s">
        <v>528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1" t="s">
        <v>1</v>
      </c>
      <c r="B59" s="371" t="s">
        <v>2</v>
      </c>
      <c r="C59" s="371" t="s">
        <v>4</v>
      </c>
      <c r="D59" s="373" t="s">
        <v>5</v>
      </c>
      <c r="E59" s="373" t="s">
        <v>94</v>
      </c>
      <c r="F59" s="373" t="s">
        <v>60</v>
      </c>
      <c r="G59" s="371" t="s">
        <v>3</v>
      </c>
      <c r="H59" s="371" t="s">
        <v>6</v>
      </c>
      <c r="I59" s="373" t="s">
        <v>7</v>
      </c>
      <c r="J59" s="373" t="s">
        <v>95</v>
      </c>
      <c r="K59" s="373" t="s">
        <v>61</v>
      </c>
      <c r="L59" s="371" t="s">
        <v>37</v>
      </c>
      <c r="M59" s="371" t="s">
        <v>38</v>
      </c>
      <c r="O59" s="81">
        <v>0.92</v>
      </c>
      <c r="P59" s="81">
        <f t="shared" si="1"/>
        <v>59.137600000000006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4" t="s">
        <v>276</v>
      </c>
      <c r="B60" s="364">
        <v>42626</v>
      </c>
      <c r="C60" s="365">
        <v>20</v>
      </c>
      <c r="D60" s="366">
        <v>90.85</v>
      </c>
      <c r="E60" s="366">
        <v>0</v>
      </c>
      <c r="F60" s="366">
        <f t="shared" ref="F60:F65" si="2">D60*C60 + E60</f>
        <v>1817</v>
      </c>
      <c r="G60" s="364">
        <v>42762</v>
      </c>
      <c r="H60" s="365">
        <v>40</v>
      </c>
      <c r="I60" s="366">
        <v>77.78</v>
      </c>
      <c r="J60" s="366">
        <v>7.0000000000000007E-2</v>
      </c>
      <c r="K60" s="366">
        <f>I60*H60 - J60</f>
        <v>3111.1299999999997</v>
      </c>
      <c r="L60" s="364">
        <v>42678</v>
      </c>
      <c r="M60" s="366">
        <v>17</v>
      </c>
      <c r="O60" s="81">
        <v>0.91</v>
      </c>
      <c r="P60" s="81">
        <f t="shared" si="1"/>
        <v>58.494800000000005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5" t="s">
        <v>71</v>
      </c>
      <c r="B61" s="364">
        <v>42646</v>
      </c>
      <c r="C61" s="365">
        <v>20</v>
      </c>
      <c r="D61" s="366">
        <v>87.56</v>
      </c>
      <c r="E61" s="366">
        <v>0</v>
      </c>
      <c r="F61" s="366">
        <f t="shared" si="2"/>
        <v>1751.2</v>
      </c>
      <c r="G61" s="364">
        <v>42788</v>
      </c>
      <c r="H61" s="369">
        <v>40</v>
      </c>
      <c r="I61" s="366">
        <v>80.38</v>
      </c>
      <c r="J61" s="366">
        <v>7.0000000000000007E-2</v>
      </c>
      <c r="K61" s="366">
        <f>I61*H61 - J61</f>
        <v>3215.1299999999997</v>
      </c>
      <c r="L61" s="364">
        <v>42769</v>
      </c>
      <c r="M61" s="366">
        <v>40</v>
      </c>
      <c r="O61" s="81">
        <v>0.9</v>
      </c>
      <c r="P61" s="81">
        <f t="shared" si="1"/>
        <v>57.852000000000004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5"/>
      <c r="B62" s="364">
        <v>42677</v>
      </c>
      <c r="C62" s="365">
        <v>40</v>
      </c>
      <c r="D62" s="366">
        <v>81.98</v>
      </c>
      <c r="E62" s="366">
        <v>0</v>
      </c>
      <c r="F62" s="366">
        <f t="shared" si="2"/>
        <v>3279.2000000000003</v>
      </c>
      <c r="G62" s="364">
        <v>42796</v>
      </c>
      <c r="H62" s="369">
        <v>80</v>
      </c>
      <c r="I62" s="366">
        <v>81.2</v>
      </c>
      <c r="J62" s="366">
        <v>0.14000000000000001</v>
      </c>
      <c r="K62" s="366">
        <f>I62*H62 - J62</f>
        <v>6495.86</v>
      </c>
      <c r="L62" s="364">
        <v>42856</v>
      </c>
      <c r="M62" s="36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5"/>
      <c r="B63" s="364">
        <v>42760</v>
      </c>
      <c r="C63" s="365">
        <v>20</v>
      </c>
      <c r="D63" s="366">
        <v>80.28</v>
      </c>
      <c r="E63" s="366">
        <v>0</v>
      </c>
      <c r="F63" s="366">
        <f t="shared" si="2"/>
        <v>1605.6</v>
      </c>
      <c r="G63" s="364">
        <v>42850</v>
      </c>
      <c r="H63" s="369">
        <v>60</v>
      </c>
      <c r="I63" s="366">
        <v>81.98</v>
      </c>
      <c r="J63" s="366">
        <v>0.11</v>
      </c>
      <c r="K63" s="366">
        <f>I63*H63 - J63</f>
        <v>4918.6900000000005</v>
      </c>
      <c r="L63" s="365"/>
      <c r="M63" s="36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5"/>
      <c r="B64" s="364">
        <v>42762</v>
      </c>
      <c r="C64" s="365">
        <v>80</v>
      </c>
      <c r="D64" s="366">
        <v>77.180000000000007</v>
      </c>
      <c r="E64" s="366">
        <v>0</v>
      </c>
      <c r="F64" s="366">
        <f t="shared" si="2"/>
        <v>6174.4000000000005</v>
      </c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5"/>
      <c r="B65" s="364">
        <v>42768</v>
      </c>
      <c r="C65" s="365">
        <v>40</v>
      </c>
      <c r="D65" s="366">
        <v>75.08</v>
      </c>
      <c r="E65" s="366">
        <v>0</v>
      </c>
      <c r="F65" s="366">
        <f t="shared" si="2"/>
        <v>3003.2</v>
      </c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9"/>
      <c r="I72" s="366"/>
      <c r="J72" s="366"/>
      <c r="K72" s="366"/>
      <c r="L72" s="365"/>
      <c r="M72" s="365"/>
    </row>
    <row r="73" spans="1:31" x14ac:dyDescent="0.25">
      <c r="A73" s="365"/>
      <c r="B73" s="365"/>
      <c r="C73" s="365"/>
      <c r="D73" s="366"/>
      <c r="E73" s="366"/>
      <c r="F73" s="366"/>
      <c r="G73" s="365"/>
      <c r="H73" s="369"/>
      <c r="I73" s="366"/>
      <c r="J73" s="366"/>
      <c r="K73" s="366"/>
      <c r="L73" s="365"/>
      <c r="M73" s="365"/>
    </row>
    <row r="74" spans="1:31" x14ac:dyDescent="0.25">
      <c r="A74" s="365"/>
      <c r="B74" s="365"/>
      <c r="C74" s="365"/>
      <c r="D74" s="366"/>
      <c r="E74" s="366"/>
      <c r="F74" s="366"/>
      <c r="G74" s="365"/>
      <c r="H74" s="369"/>
      <c r="I74" s="366"/>
      <c r="J74" s="366"/>
      <c r="K74" s="366"/>
      <c r="L74" s="365"/>
      <c r="M74" s="365"/>
    </row>
    <row r="75" spans="1:31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7" t="s">
        <v>194</v>
      </c>
      <c r="B77" s="448"/>
      <c r="C77" s="449">
        <f>SumByColor($A$19,C60:C75)</f>
        <v>0</v>
      </c>
      <c r="D77" s="449"/>
      <c r="E77" s="449"/>
      <c r="F77" s="450">
        <f>SumByColor($A$19,F60:F75)</f>
        <v>0</v>
      </c>
      <c r="G77" s="449"/>
      <c r="H77" s="449">
        <f>SumByColor($A$19,H60:H75)</f>
        <v>0</v>
      </c>
      <c r="I77" s="449"/>
      <c r="J77" s="449"/>
      <c r="K77" s="450">
        <f>SumByColor($A$19,K60:K75)</f>
        <v>0</v>
      </c>
      <c r="L77" s="449"/>
      <c r="M77" s="450">
        <f>SumByColor($A$19,M60:M75)</f>
        <v>0</v>
      </c>
    </row>
    <row r="78" spans="1:31" x14ac:dyDescent="0.25">
      <c r="A78" s="365"/>
      <c r="B78" s="365"/>
      <c r="C78" s="365"/>
      <c r="D78" s="366"/>
      <c r="E78" s="366"/>
      <c r="F78" s="366"/>
      <c r="G78" s="365"/>
      <c r="H78" s="365"/>
      <c r="I78" s="366"/>
      <c r="J78" s="366"/>
      <c r="K78" s="366"/>
      <c r="L78" s="365"/>
      <c r="M78" s="365"/>
    </row>
    <row r="82" spans="1:12" x14ac:dyDescent="0.25">
      <c r="A82" s="365"/>
      <c r="B82" s="365"/>
      <c r="C82" s="365"/>
      <c r="D82" s="366"/>
      <c r="E82" s="366"/>
      <c r="F82" s="366"/>
      <c r="G82" s="365"/>
      <c r="H82" s="365"/>
      <c r="I82" s="366"/>
      <c r="J82" s="366"/>
      <c r="K82" s="366"/>
      <c r="L82" s="365"/>
    </row>
    <row r="83" spans="1:12" x14ac:dyDescent="0.25">
      <c r="A83" s="365"/>
      <c r="B83" s="487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366"/>
      <c r="K83" s="366"/>
      <c r="L83" s="365"/>
    </row>
    <row r="84" spans="1:12" x14ac:dyDescent="0.25">
      <c r="A84" s="365"/>
      <c r="B84" s="364">
        <v>42626</v>
      </c>
      <c r="C84" s="365">
        <v>20</v>
      </c>
      <c r="D84" s="366">
        <v>90.85</v>
      </c>
      <c r="E84" s="366">
        <v>90.93</v>
      </c>
      <c r="F84" s="366">
        <f t="shared" ref="F84:F107" si="3">C84*(E84-D84)</f>
        <v>1.6000000000002501</v>
      </c>
      <c r="G84" s="366">
        <f t="shared" ref="G84:G107" si="4">D84*C84</f>
        <v>1817</v>
      </c>
      <c r="H84" s="367">
        <f t="shared" ref="H84:H107" si="5">(E84-D84)/D84</f>
        <v>8.8057237204196487E-4</v>
      </c>
      <c r="I84" s="366"/>
      <c r="J84" s="366"/>
      <c r="K84" s="366"/>
      <c r="L84" s="365"/>
    </row>
    <row r="85" spans="1:12" x14ac:dyDescent="0.25">
      <c r="A85" s="365"/>
      <c r="B85" s="364">
        <v>42627</v>
      </c>
      <c r="C85" s="365">
        <v>20</v>
      </c>
      <c r="D85" s="366">
        <v>90.85</v>
      </c>
      <c r="E85" s="366">
        <v>89.44</v>
      </c>
      <c r="F85" s="366">
        <f t="shared" si="3"/>
        <v>-28.199999999999932</v>
      </c>
      <c r="G85" s="366">
        <f t="shared" si="4"/>
        <v>1817</v>
      </c>
      <c r="H85" s="367">
        <f t="shared" si="5"/>
        <v>-1.5520088057237168E-2</v>
      </c>
      <c r="I85" s="366"/>
      <c r="J85" s="366"/>
      <c r="K85" s="366"/>
      <c r="L85" s="365"/>
    </row>
    <row r="86" spans="1:12" x14ac:dyDescent="0.25">
      <c r="A86" s="365"/>
      <c r="B86" s="364">
        <v>42640</v>
      </c>
      <c r="C86" s="365">
        <v>20</v>
      </c>
      <c r="D86" s="366">
        <v>90.85</v>
      </c>
      <c r="E86" s="366">
        <v>90.56</v>
      </c>
      <c r="F86" s="366">
        <f t="shared" si="3"/>
        <v>-5.7999999999998408</v>
      </c>
      <c r="G86" s="366">
        <f t="shared" si="4"/>
        <v>1817</v>
      </c>
      <c r="H86" s="367">
        <f t="shared" si="5"/>
        <v>-3.1920748486515362E-3</v>
      </c>
      <c r="I86" s="366"/>
      <c r="J86" s="366"/>
      <c r="K86" s="366"/>
      <c r="L86" s="365"/>
    </row>
    <row r="87" spans="1:12" x14ac:dyDescent="0.25">
      <c r="A87" s="365"/>
      <c r="B87" s="364">
        <v>42646</v>
      </c>
      <c r="C87" s="365">
        <v>40</v>
      </c>
      <c r="D87" s="366">
        <v>89.204999999999998</v>
      </c>
      <c r="E87" s="366">
        <v>87.09</v>
      </c>
      <c r="F87" s="366">
        <f t="shared" si="3"/>
        <v>-84.599999999999795</v>
      </c>
      <c r="G87" s="366">
        <f t="shared" si="4"/>
        <v>3568.2</v>
      </c>
      <c r="H87" s="367">
        <f t="shared" si="5"/>
        <v>-2.3709433327728211E-2</v>
      </c>
      <c r="I87" s="366"/>
      <c r="J87" s="366"/>
      <c r="K87" s="366"/>
      <c r="L87" s="365"/>
    </row>
    <row r="88" spans="1:12" x14ac:dyDescent="0.25">
      <c r="A88" s="365"/>
      <c r="B88" s="364">
        <v>42651</v>
      </c>
      <c r="C88" s="365">
        <v>40</v>
      </c>
      <c r="D88" s="366">
        <v>89.204999999999998</v>
      </c>
      <c r="E88" s="366">
        <v>86.4</v>
      </c>
      <c r="F88" s="366">
        <f t="shared" si="3"/>
        <v>-112.1999999999997</v>
      </c>
      <c r="G88" s="366">
        <f t="shared" si="4"/>
        <v>3568.2</v>
      </c>
      <c r="H88" s="367">
        <f t="shared" si="5"/>
        <v>-3.1444425760887761E-2</v>
      </c>
      <c r="I88" s="366"/>
      <c r="J88" s="366"/>
      <c r="K88" s="366"/>
      <c r="L88" s="365"/>
    </row>
    <row r="89" spans="1:12" x14ac:dyDescent="0.25">
      <c r="A89" s="365"/>
      <c r="B89" s="364">
        <v>42674</v>
      </c>
      <c r="C89" s="365">
        <v>40</v>
      </c>
      <c r="D89" s="366">
        <v>89.204999999999998</v>
      </c>
      <c r="E89" s="366">
        <v>84.1</v>
      </c>
      <c r="F89" s="366">
        <f t="shared" si="3"/>
        <v>-204.20000000000016</v>
      </c>
      <c r="G89" s="366">
        <f t="shared" si="4"/>
        <v>3568.2</v>
      </c>
      <c r="H89" s="367">
        <f t="shared" si="5"/>
        <v>-5.7227733871419807E-2</v>
      </c>
      <c r="I89" s="366"/>
      <c r="J89" s="366"/>
      <c r="K89" s="366"/>
      <c r="L89" s="365"/>
    </row>
    <row r="90" spans="1:12" x14ac:dyDescent="0.25">
      <c r="A90" s="365"/>
      <c r="B90" s="364">
        <v>42677</v>
      </c>
      <c r="C90" s="365">
        <v>80</v>
      </c>
      <c r="D90" s="366">
        <v>85.38</v>
      </c>
      <c r="E90" s="366">
        <v>81.569999999999993</v>
      </c>
      <c r="F90" s="366">
        <f t="shared" si="3"/>
        <v>-304.80000000000018</v>
      </c>
      <c r="G90" s="366">
        <f t="shared" si="4"/>
        <v>6830.4</v>
      </c>
      <c r="H90" s="367">
        <f t="shared" si="5"/>
        <v>-4.4624033731553089E-2</v>
      </c>
      <c r="I90" s="366" t="s">
        <v>185</v>
      </c>
      <c r="J90" s="366"/>
      <c r="K90" s="366"/>
      <c r="L90" s="365"/>
    </row>
    <row r="91" spans="1:12" x14ac:dyDescent="0.25">
      <c r="A91" s="365"/>
      <c r="B91" s="364">
        <v>42702</v>
      </c>
      <c r="C91" s="365">
        <v>80</v>
      </c>
      <c r="D91" s="366">
        <v>85.38</v>
      </c>
      <c r="E91" s="366">
        <v>74.06</v>
      </c>
      <c r="F91" s="366">
        <f t="shared" si="3"/>
        <v>-905.59999999999945</v>
      </c>
      <c r="G91" s="366">
        <f t="shared" si="4"/>
        <v>6830.4</v>
      </c>
      <c r="H91" s="367">
        <f t="shared" si="5"/>
        <v>-0.13258374326540165</v>
      </c>
      <c r="I91" s="366"/>
      <c r="J91" s="366"/>
      <c r="K91" s="366"/>
      <c r="L91" s="365"/>
    </row>
    <row r="92" spans="1:12" x14ac:dyDescent="0.25">
      <c r="A92" s="365"/>
      <c r="B92" s="364">
        <v>42704</v>
      </c>
      <c r="C92" s="365">
        <v>80</v>
      </c>
      <c r="D92" s="366">
        <v>85.38</v>
      </c>
      <c r="E92" s="366">
        <v>76.89</v>
      </c>
      <c r="F92" s="366">
        <f t="shared" si="3"/>
        <v>-679.19999999999959</v>
      </c>
      <c r="G92" s="366">
        <f t="shared" si="4"/>
        <v>6830.4</v>
      </c>
      <c r="H92" s="367">
        <f t="shared" si="5"/>
        <v>-9.9437807449051244E-2</v>
      </c>
      <c r="I92" s="366"/>
      <c r="J92" s="366"/>
      <c r="K92" s="366"/>
      <c r="L92" s="365"/>
    </row>
    <row r="93" spans="1:12" x14ac:dyDescent="0.25">
      <c r="A93" s="365"/>
      <c r="B93" s="364">
        <v>42729</v>
      </c>
      <c r="C93" s="365">
        <v>80</v>
      </c>
      <c r="D93" s="366">
        <v>85.38</v>
      </c>
      <c r="E93" s="366">
        <v>79.14</v>
      </c>
      <c r="F93" s="366">
        <f t="shared" si="3"/>
        <v>-499.19999999999959</v>
      </c>
      <c r="G93" s="366">
        <f t="shared" si="4"/>
        <v>6830.4</v>
      </c>
      <c r="H93" s="367">
        <f t="shared" si="5"/>
        <v>-7.3085031623330937E-2</v>
      </c>
      <c r="I93" s="366"/>
      <c r="J93" s="366"/>
      <c r="K93" s="366"/>
      <c r="L93" s="365"/>
    </row>
    <row r="94" spans="1:12" x14ac:dyDescent="0.25">
      <c r="A94" s="365"/>
      <c r="B94" s="364">
        <v>42745</v>
      </c>
      <c r="C94" s="365">
        <v>80</v>
      </c>
      <c r="D94" s="366">
        <v>85.38</v>
      </c>
      <c r="E94" s="366">
        <v>82.67</v>
      </c>
      <c r="F94" s="366">
        <f t="shared" si="3"/>
        <v>-216.7999999999995</v>
      </c>
      <c r="G94" s="366">
        <f t="shared" si="4"/>
        <v>6830.4</v>
      </c>
      <c r="H94" s="367">
        <f t="shared" si="5"/>
        <v>-3.1740454438978612E-2</v>
      </c>
      <c r="I94" s="366"/>
      <c r="J94" s="366"/>
      <c r="K94" s="366"/>
      <c r="L94" s="365"/>
    </row>
    <row r="95" spans="1:12" x14ac:dyDescent="0.25">
      <c r="A95" s="365"/>
      <c r="B95" s="364">
        <v>42756</v>
      </c>
      <c r="C95" s="365">
        <v>80</v>
      </c>
      <c r="D95" s="366">
        <v>85.38</v>
      </c>
      <c r="E95" s="366">
        <v>81.56</v>
      </c>
      <c r="F95" s="366">
        <f t="shared" si="3"/>
        <v>-305.59999999999945</v>
      </c>
      <c r="G95" s="366">
        <f t="shared" si="4"/>
        <v>6830.4</v>
      </c>
      <c r="H95" s="367">
        <f t="shared" si="5"/>
        <v>-4.4741157179667292E-2</v>
      </c>
      <c r="I95" s="366"/>
      <c r="J95" s="366"/>
      <c r="K95" s="366"/>
      <c r="L95" s="365"/>
    </row>
    <row r="96" spans="1:12" x14ac:dyDescent="0.25">
      <c r="A96" s="365"/>
      <c r="B96" s="364">
        <v>42760</v>
      </c>
      <c r="C96" s="365">
        <v>100</v>
      </c>
      <c r="D96" s="366">
        <v>84.36</v>
      </c>
      <c r="E96" s="366">
        <v>79.489999999999995</v>
      </c>
      <c r="F96" s="366">
        <f t="shared" si="3"/>
        <v>-487.00000000000045</v>
      </c>
      <c r="G96" s="366">
        <f t="shared" si="4"/>
        <v>8436</v>
      </c>
      <c r="H96" s="367">
        <f t="shared" si="5"/>
        <v>-5.7728781412991995E-2</v>
      </c>
      <c r="I96" s="366"/>
      <c r="J96" s="366"/>
      <c r="K96" s="366"/>
      <c r="L96" s="365"/>
    </row>
    <row r="97" spans="1:12" x14ac:dyDescent="0.25">
      <c r="A97" s="365"/>
      <c r="B97" s="364">
        <v>42762</v>
      </c>
      <c r="C97" s="365">
        <v>180</v>
      </c>
      <c r="D97" s="366">
        <v>81.169280000000001</v>
      </c>
      <c r="E97" s="366">
        <v>77.75</v>
      </c>
      <c r="F97" s="366">
        <f t="shared" si="3"/>
        <v>-615.47040000000015</v>
      </c>
      <c r="G97" s="366">
        <f t="shared" si="4"/>
        <v>14610.4704</v>
      </c>
      <c r="H97" s="367">
        <f t="shared" si="5"/>
        <v>-4.2125296663959574E-2</v>
      </c>
      <c r="I97" s="366"/>
      <c r="J97" s="366"/>
      <c r="K97" s="366"/>
      <c r="L97" s="365"/>
    </row>
    <row r="98" spans="1:12" x14ac:dyDescent="0.25">
      <c r="A98" s="365" t="s">
        <v>372</v>
      </c>
      <c r="B98" s="364">
        <v>42762</v>
      </c>
      <c r="C98" s="365">
        <v>140</v>
      </c>
      <c r="D98" s="366">
        <v>82.137640000000005</v>
      </c>
      <c r="E98" s="366">
        <v>77.75</v>
      </c>
      <c r="F98" s="366">
        <f t="shared" si="3"/>
        <v>-614.26960000000065</v>
      </c>
      <c r="G98" s="366">
        <f t="shared" si="4"/>
        <v>11499.269600000001</v>
      </c>
      <c r="H98" s="367">
        <f t="shared" si="5"/>
        <v>-5.3418140574771865E-2</v>
      </c>
      <c r="I98" s="366"/>
      <c r="J98" s="366"/>
      <c r="K98" s="366"/>
      <c r="L98" s="365"/>
    </row>
    <row r="99" spans="1:12" x14ac:dyDescent="0.25">
      <c r="A99" s="365" t="s">
        <v>388</v>
      </c>
      <c r="B99" s="364">
        <v>42768</v>
      </c>
      <c r="C99" s="365">
        <v>180</v>
      </c>
      <c r="D99" s="366">
        <v>80.347059999999999</v>
      </c>
      <c r="E99" s="366">
        <v>74.8</v>
      </c>
      <c r="F99" s="366">
        <f t="shared" si="3"/>
        <v>-998.47080000000028</v>
      </c>
      <c r="G99" s="366">
        <f t="shared" si="4"/>
        <v>14462.470799999999</v>
      </c>
      <c r="H99" s="367">
        <f t="shared" si="5"/>
        <v>-6.903874267459198E-2</v>
      </c>
      <c r="I99" s="366" t="s">
        <v>185</v>
      </c>
      <c r="J99" s="366"/>
      <c r="K99" s="366"/>
      <c r="L99" s="365"/>
    </row>
    <row r="100" spans="1:12" x14ac:dyDescent="0.25">
      <c r="A100" s="365" t="s">
        <v>388</v>
      </c>
      <c r="B100" s="364">
        <v>42778</v>
      </c>
      <c r="C100" s="365">
        <v>180</v>
      </c>
      <c r="D100" s="366">
        <v>80.347059999999999</v>
      </c>
      <c r="E100" s="366">
        <v>78.53</v>
      </c>
      <c r="F100" s="366">
        <f t="shared" si="3"/>
        <v>-327.07079999999962</v>
      </c>
      <c r="G100" s="366">
        <f t="shared" si="4"/>
        <v>14462.470799999999</v>
      </c>
      <c r="H100" s="367">
        <f t="shared" si="5"/>
        <v>-2.2615139869461284E-2</v>
      </c>
      <c r="I100" s="366"/>
      <c r="J100" s="366"/>
      <c r="K100" s="366"/>
      <c r="L100" s="365"/>
    </row>
    <row r="101" spans="1:12" x14ac:dyDescent="0.25">
      <c r="A101" s="365" t="s">
        <v>443</v>
      </c>
      <c r="B101" s="364">
        <v>42787</v>
      </c>
      <c r="C101" s="365">
        <v>180</v>
      </c>
      <c r="D101" s="366">
        <v>80.346999999999994</v>
      </c>
      <c r="E101" s="366">
        <v>79.760000000000005</v>
      </c>
      <c r="F101" s="366">
        <f t="shared" si="3"/>
        <v>-105.65999999999804</v>
      </c>
      <c r="G101" s="366">
        <f t="shared" si="4"/>
        <v>14462.46</v>
      </c>
      <c r="H101" s="367">
        <f t="shared" si="5"/>
        <v>-7.3058110445939376E-3</v>
      </c>
      <c r="I101" s="366"/>
      <c r="J101" s="366"/>
      <c r="K101" s="366"/>
      <c r="L101" s="365"/>
    </row>
    <row r="102" spans="1:12" x14ac:dyDescent="0.25">
      <c r="A102" s="365" t="s">
        <v>445</v>
      </c>
      <c r="B102" s="364">
        <v>42788</v>
      </c>
      <c r="C102" s="365">
        <v>140</v>
      </c>
      <c r="D102" s="366">
        <v>80.338139999999996</v>
      </c>
      <c r="E102" s="366">
        <v>80.16</v>
      </c>
      <c r="F102" s="366">
        <f t="shared" si="3"/>
        <v>-24.939599999999871</v>
      </c>
      <c r="G102" s="366">
        <f t="shared" si="4"/>
        <v>11247.339599999999</v>
      </c>
      <c r="H102" s="367">
        <f t="shared" si="5"/>
        <v>-2.2173776988115368E-3</v>
      </c>
      <c r="I102" s="366"/>
      <c r="J102" s="366"/>
      <c r="K102" s="366"/>
      <c r="L102" s="365"/>
    </row>
    <row r="103" spans="1:12" x14ac:dyDescent="0.25">
      <c r="A103" s="365" t="s">
        <v>445</v>
      </c>
      <c r="B103" s="364">
        <v>42790</v>
      </c>
      <c r="C103" s="365">
        <v>140</v>
      </c>
      <c r="D103" s="366">
        <v>80.338139999999996</v>
      </c>
      <c r="E103" s="366">
        <v>81.48</v>
      </c>
      <c r="F103" s="366">
        <f t="shared" si="3"/>
        <v>159.86040000000116</v>
      </c>
      <c r="G103" s="366">
        <f t="shared" si="4"/>
        <v>11247.339599999999</v>
      </c>
      <c r="H103" s="367">
        <f t="shared" si="5"/>
        <v>1.4213174464830881E-2</v>
      </c>
      <c r="I103" s="366"/>
      <c r="J103" s="366"/>
      <c r="K103" s="366"/>
      <c r="L103" s="365"/>
    </row>
    <row r="104" spans="1:12" x14ac:dyDescent="0.25">
      <c r="A104" s="365" t="s">
        <v>474</v>
      </c>
      <c r="B104" s="364">
        <v>42796</v>
      </c>
      <c r="C104" s="365">
        <v>60</v>
      </c>
      <c r="D104" s="366">
        <v>79.191299999999998</v>
      </c>
      <c r="E104" s="366">
        <v>81.349999999999994</v>
      </c>
      <c r="F104" s="366">
        <f t="shared" si="3"/>
        <v>129.52199999999976</v>
      </c>
      <c r="G104" s="366">
        <f t="shared" si="4"/>
        <v>4751.4780000000001</v>
      </c>
      <c r="H104" s="367">
        <f t="shared" si="5"/>
        <v>2.7259307524942718E-2</v>
      </c>
      <c r="I104" s="366"/>
      <c r="J104" s="366"/>
      <c r="K104" s="366"/>
      <c r="L104" s="365"/>
    </row>
    <row r="105" spans="1:12" x14ac:dyDescent="0.25">
      <c r="A105" s="365">
        <v>60</v>
      </c>
      <c r="B105" s="364">
        <v>42809</v>
      </c>
      <c r="C105" s="365">
        <v>60</v>
      </c>
      <c r="D105" s="366">
        <v>79.191299999999998</v>
      </c>
      <c r="E105" s="366">
        <v>79.73</v>
      </c>
      <c r="F105" s="366">
        <f t="shared" si="3"/>
        <v>32.322000000000344</v>
      </c>
      <c r="G105" s="366">
        <f t="shared" si="4"/>
        <v>4751.4780000000001</v>
      </c>
      <c r="H105" s="367">
        <f t="shared" si="5"/>
        <v>6.8025149227251697E-3</v>
      </c>
      <c r="I105" s="366"/>
      <c r="J105" s="366"/>
      <c r="K105" s="366"/>
      <c r="L105" s="365"/>
    </row>
    <row r="106" spans="1:12" x14ac:dyDescent="0.25">
      <c r="A106" s="365">
        <v>60</v>
      </c>
      <c r="B106" s="364">
        <v>42818</v>
      </c>
      <c r="C106" s="365">
        <v>60</v>
      </c>
      <c r="D106" s="366">
        <v>79.191299999999998</v>
      </c>
      <c r="E106" s="366">
        <v>78.489999999999995</v>
      </c>
      <c r="F106" s="366">
        <f t="shared" si="3"/>
        <v>-42.078000000000202</v>
      </c>
      <c r="G106" s="366">
        <f t="shared" si="4"/>
        <v>4751.4780000000001</v>
      </c>
      <c r="H106" s="367">
        <f t="shared" si="5"/>
        <v>-8.8557707727995802E-3</v>
      </c>
      <c r="I106" s="366"/>
      <c r="J106" s="366"/>
      <c r="K106" s="366"/>
      <c r="L106" s="365"/>
    </row>
    <row r="107" spans="1:12" x14ac:dyDescent="0.25">
      <c r="A107" s="365">
        <v>60</v>
      </c>
      <c r="B107" s="364">
        <v>42841</v>
      </c>
      <c r="C107" s="365">
        <v>60</v>
      </c>
      <c r="D107" s="366">
        <v>79.19</v>
      </c>
      <c r="E107" s="366">
        <v>77.959999999999994</v>
      </c>
      <c r="F107" s="366">
        <f t="shared" si="3"/>
        <v>-73.800000000000239</v>
      </c>
      <c r="G107" s="366">
        <f t="shared" si="4"/>
        <v>4751.3999999999996</v>
      </c>
      <c r="H107" s="367">
        <f t="shared" si="5"/>
        <v>-1.5532264174769592E-2</v>
      </c>
      <c r="I107" s="366"/>
      <c r="J107" s="366"/>
      <c r="K107" s="366"/>
      <c r="L107" s="365"/>
    </row>
    <row r="108" spans="1:12" x14ac:dyDescent="0.25">
      <c r="A108" s="365">
        <v>0</v>
      </c>
      <c r="B108" s="364">
        <v>42850</v>
      </c>
      <c r="C108" s="365">
        <v>0</v>
      </c>
      <c r="D108" s="366"/>
      <c r="E108" s="366">
        <v>82.17</v>
      </c>
      <c r="F108" s="366">
        <v>167.21</v>
      </c>
      <c r="G108" s="366"/>
      <c r="H108" s="367"/>
      <c r="I108" s="366"/>
      <c r="J108" s="366"/>
      <c r="K108" s="366"/>
      <c r="L108" s="365"/>
    </row>
    <row r="109" spans="1:12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</row>
    <row r="110" spans="1:12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</row>
    <row r="111" spans="1:12" x14ac:dyDescent="0.25">
      <c r="A111" s="365"/>
      <c r="B111" s="364"/>
      <c r="C111" s="365"/>
      <c r="D111" s="366"/>
      <c r="E111" s="366"/>
      <c r="F111" s="366"/>
      <c r="G111" s="366"/>
      <c r="H111" s="367"/>
      <c r="I111" s="366"/>
      <c r="J111" s="366"/>
      <c r="K111" s="366"/>
      <c r="L111" s="365"/>
    </row>
    <row r="112" spans="1:12" x14ac:dyDescent="0.25">
      <c r="A112" s="365"/>
      <c r="B112" s="364"/>
      <c r="C112" s="365"/>
      <c r="D112" s="366"/>
      <c r="E112" s="366"/>
      <c r="F112" s="366"/>
      <c r="G112" s="366"/>
      <c r="H112" s="367"/>
      <c r="I112" s="366"/>
      <c r="J112" s="366"/>
      <c r="K112" s="366"/>
      <c r="L112" s="365"/>
    </row>
    <row r="113" spans="1:12" x14ac:dyDescent="0.25">
      <c r="A113" s="365"/>
      <c r="B113" s="364"/>
      <c r="C113" s="365"/>
      <c r="D113" s="366"/>
      <c r="E113" s="366"/>
      <c r="F113" s="366"/>
      <c r="G113" s="366"/>
      <c r="H113" s="367"/>
      <c r="I113" s="366"/>
      <c r="J113" s="366"/>
      <c r="K113" s="366"/>
      <c r="L113" s="365"/>
    </row>
    <row r="114" spans="1:12" x14ac:dyDescent="0.25">
      <c r="A114" s="365"/>
      <c r="B114" s="364"/>
      <c r="C114" s="365"/>
      <c r="D114" s="366"/>
      <c r="E114" s="366"/>
      <c r="F114" s="366"/>
      <c r="G114" s="366"/>
      <c r="H114" s="367"/>
      <c r="I114" s="366"/>
      <c r="J114" s="366"/>
      <c r="K114" s="366"/>
      <c r="L114" s="365"/>
    </row>
    <row r="115" spans="1:12" x14ac:dyDescent="0.25">
      <c r="A115" s="365"/>
      <c r="B115" s="364"/>
      <c r="C115" s="365"/>
      <c r="D115" s="366"/>
      <c r="E115" s="366"/>
      <c r="F115" s="366"/>
      <c r="G115" s="366"/>
      <c r="H115" s="367"/>
      <c r="I115" s="366"/>
      <c r="J115" s="366"/>
      <c r="K115" s="366"/>
      <c r="L115" s="36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13" priority="15">
      <formula>F57&gt;0</formula>
    </cfRule>
    <cfRule type="expression" dxfId="2012" priority="16">
      <formula>F57&lt;0</formula>
    </cfRule>
  </conditionalFormatting>
  <conditionalFormatting sqref="Q7">
    <cfRule type="expression" dxfId="2011" priority="13">
      <formula>Q7&gt;0</formula>
    </cfRule>
    <cfRule type="expression" dxfId="2010" priority="14">
      <formula>Q7&lt;0</formula>
    </cfRule>
  </conditionalFormatting>
  <conditionalFormatting sqref="Q8">
    <cfRule type="expression" dxfId="2009" priority="11">
      <formula>Q8&gt;0</formula>
    </cfRule>
    <cfRule type="expression" dxfId="2008" priority="12">
      <formula>Q8&lt;0</formula>
    </cfRule>
  </conditionalFormatting>
  <conditionalFormatting sqref="F25:F56">
    <cfRule type="expression" dxfId="2007" priority="9">
      <formula>F25&gt;0</formula>
    </cfRule>
    <cfRule type="expression" dxfId="2006" priority="10">
      <formula>F25&lt;0</formula>
    </cfRule>
  </conditionalFormatting>
  <conditionalFormatting sqref="H25:H56">
    <cfRule type="expression" dxfId="2005" priority="7">
      <formula>H25&gt;0</formula>
    </cfRule>
    <cfRule type="expression" dxfId="2004" priority="8">
      <formula>H25&lt;0</formula>
    </cfRule>
  </conditionalFormatting>
  <conditionalFormatting sqref="M58">
    <cfRule type="expression" dxfId="2003" priority="5">
      <formula>M58&gt;0</formula>
    </cfRule>
    <cfRule type="expression" dxfId="2002" priority="6">
      <formula>M58&lt;0</formula>
    </cfRule>
  </conditionalFormatting>
  <conditionalFormatting sqref="F84:F115">
    <cfRule type="expression" dxfId="2001" priority="3">
      <formula>F84&gt;0</formula>
    </cfRule>
    <cfRule type="expression" dxfId="2000" priority="4">
      <formula>F84&lt;0</formula>
    </cfRule>
  </conditionalFormatting>
  <conditionalFormatting sqref="H84:H115">
    <cfRule type="expression" dxfId="1999" priority="1">
      <formula>H84&gt;0</formula>
    </cfRule>
    <cfRule type="expression" dxfId="199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225.05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225.05</v>
      </c>
      <c r="R4" s="498">
        <v>4.2200000000000001E-2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5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7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5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7">
        <v>43035</v>
      </c>
      <c r="C27" s="10">
        <v>0</v>
      </c>
      <c r="D27" s="39"/>
      <c r="E27" s="39"/>
      <c r="F27" s="39">
        <v>843.18</v>
      </c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1:17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1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247.55500000000004</v>
      </c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245.30450000000002</v>
      </c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243.05400000000003</v>
      </c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240.80350000000001</v>
      </c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238.55300000000003</v>
      </c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236.30250000000001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234.05200000000002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231.8015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229.55100000000002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227.3005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225.05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222.79950000000002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220.54900000000001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218.29850000000002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216.048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213.79750000000001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211.547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209.29650000000001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207.04600000000002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204.7955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202.54500000000002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30</v>
      </c>
      <c r="D84" s="521"/>
      <c r="E84" s="521"/>
      <c r="F84" s="521">
        <f>SUM(F68:F72)</f>
        <v>4475.0999999999995</v>
      </c>
      <c r="G84" s="520"/>
      <c r="H84" s="542">
        <f>SUM(H68:H71)</f>
        <v>30</v>
      </c>
      <c r="I84" s="521"/>
      <c r="J84" s="521"/>
      <c r="K84" s="521">
        <f>SUM(K68:K71)</f>
        <v>5318.28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97" priority="21">
      <formula>F47&gt;0</formula>
    </cfRule>
    <cfRule type="expression" dxfId="1996" priority="22">
      <formula>F47&lt;0</formula>
    </cfRule>
  </conditionalFormatting>
  <conditionalFormatting sqref="Q7">
    <cfRule type="expression" dxfId="1995" priority="19">
      <formula>Q7&gt;0</formula>
    </cfRule>
    <cfRule type="expression" dxfId="1994" priority="20">
      <formula>Q7&lt;0</formula>
    </cfRule>
  </conditionalFormatting>
  <conditionalFormatting sqref="Q8">
    <cfRule type="expression" dxfId="1993" priority="17">
      <formula>Q8&gt;0</formula>
    </cfRule>
    <cfRule type="expression" dxfId="1992" priority="18">
      <formula>Q8&lt;0</formula>
    </cfRule>
  </conditionalFormatting>
  <conditionalFormatting sqref="F25:F46">
    <cfRule type="expression" dxfId="1991" priority="15">
      <formula>F25&gt;0</formula>
    </cfRule>
    <cfRule type="expression" dxfId="1990" priority="16">
      <formula>F25&lt;0</formula>
    </cfRule>
  </conditionalFormatting>
  <conditionalFormatting sqref="H25:H46">
    <cfRule type="expression" dxfId="1989" priority="13">
      <formula>H25&gt;0</formula>
    </cfRule>
    <cfRule type="expression" dxfId="1988" priority="14">
      <formula>H25&lt;0</formula>
    </cfRule>
  </conditionalFormatting>
  <conditionalFormatting sqref="F89:F110">
    <cfRule type="expression" dxfId="1987" priority="11">
      <formula>F89&gt;0</formula>
    </cfRule>
    <cfRule type="expression" dxfId="1986" priority="12">
      <formula>F89&lt;0</formula>
    </cfRule>
  </conditionalFormatting>
  <conditionalFormatting sqref="H89:H110">
    <cfRule type="expression" dxfId="1985" priority="9">
      <formula>H89&gt;0</formula>
    </cfRule>
    <cfRule type="expression" dxfId="1984" priority="10">
      <formula>H89&lt;0</formula>
    </cfRule>
  </conditionalFormatting>
  <conditionalFormatting sqref="Q10">
    <cfRule type="expression" dxfId="1983" priority="7">
      <formula>Q10&gt;0</formula>
    </cfRule>
    <cfRule type="expression" dxfId="1982" priority="8">
      <formula>Q10&lt;0</formula>
    </cfRule>
  </conditionalFormatting>
  <conditionalFormatting sqref="J25:J38">
    <cfRule type="expression" dxfId="1981" priority="5">
      <formula>J25&gt;0</formula>
    </cfRule>
    <cfRule type="expression" dxfId="1980" priority="6">
      <formula>J25&lt;0</formula>
    </cfRule>
  </conditionalFormatting>
  <conditionalFormatting sqref="K25:K38">
    <cfRule type="expression" dxfId="1979" priority="3">
      <formula>K25&gt;0</formula>
    </cfRule>
    <cfRule type="expression" dxfId="1978" priority="4">
      <formula>K25&lt;0</formula>
    </cfRule>
  </conditionalFormatting>
  <conditionalFormatting sqref="L25:L38">
    <cfRule type="expression" dxfId="1977" priority="1">
      <formula>L25&gt;0</formula>
    </cfRule>
    <cfRule type="expression" dxfId="197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6"/>
  <sheetViews>
    <sheetView zoomScaleNormal="100" workbookViewId="0">
      <pane ySplit="1" topLeftCell="A176" activePane="bottomLeft" state="frozen"/>
      <selection pane="bottomLeft" activeCell="A205" sqref="A205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79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428">
        <f>C81-H81</f>
        <v>4000</v>
      </c>
      <c r="Y2" s="62">
        <v>42804</v>
      </c>
      <c r="Z2" s="848" t="s">
        <v>686</v>
      </c>
      <c r="AA2" s="848"/>
      <c r="AB2" s="848"/>
    </row>
    <row r="3" spans="1:32" x14ac:dyDescent="0.25">
      <c r="A3" s="22" t="s">
        <v>71</v>
      </c>
      <c r="B3" s="479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9">
        <v>42803</v>
      </c>
      <c r="H3" s="80">
        <v>200</v>
      </c>
      <c r="I3" s="77">
        <v>15.6</v>
      </c>
      <c r="J3" s="43">
        <v>7.0000000000000007E-2</v>
      </c>
      <c r="K3" s="43">
        <f t="shared" ref="K3:K56" si="1">H3*I3-J3</f>
        <v>3119.93</v>
      </c>
      <c r="L3" s="72">
        <v>42846</v>
      </c>
      <c r="M3" s="43">
        <v>3.25</v>
      </c>
      <c r="O3" s="11" t="s">
        <v>58</v>
      </c>
      <c r="Q3" s="484">
        <f>IF(Q2=0, Q4, (F81-K81-M81)/Q2)</f>
        <v>14.845222499999974</v>
      </c>
      <c r="Y3" s="62">
        <v>42866</v>
      </c>
      <c r="Z3" s="848" t="s">
        <v>687</v>
      </c>
      <c r="AA3" s="848"/>
      <c r="AB3" s="848"/>
      <c r="AC3" s="228"/>
      <c r="AF3" s="228"/>
    </row>
    <row r="4" spans="1:32" ht="15" customHeight="1" x14ac:dyDescent="0.25">
      <c r="B4" s="479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18.229900000000001</v>
      </c>
      <c r="R4" s="478">
        <v>4.4000000000000003E-3</v>
      </c>
      <c r="Y4" s="62">
        <v>43088</v>
      </c>
      <c r="Z4" s="743" t="s">
        <v>795</v>
      </c>
      <c r="AC4" s="228"/>
      <c r="AF4" s="228"/>
    </row>
    <row r="5" spans="1:32" x14ac:dyDescent="0.25">
      <c r="B5" s="47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746</v>
      </c>
      <c r="O5" s="11" t="s">
        <v>67</v>
      </c>
      <c r="Q5" s="3">
        <f>Q4*Q2</f>
        <v>72919.600000000006</v>
      </c>
      <c r="Y5" s="62">
        <v>43096</v>
      </c>
      <c r="Z5" s="743" t="s">
        <v>800</v>
      </c>
    </row>
    <row r="6" spans="1:32" x14ac:dyDescent="0.25">
      <c r="B6" s="479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59380.889999999898</v>
      </c>
      <c r="Y6" s="62">
        <v>43103</v>
      </c>
      <c r="Z6" s="743" t="s">
        <v>851</v>
      </c>
    </row>
    <row r="7" spans="1:32" x14ac:dyDescent="0.25">
      <c r="B7" s="479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28154.281000001734</v>
      </c>
      <c r="R7">
        <v>2000</v>
      </c>
      <c r="U7" s="178"/>
      <c r="Y7" s="62"/>
      <c r="Z7" s="743" t="s">
        <v>852</v>
      </c>
    </row>
    <row r="8" spans="1:32" x14ac:dyDescent="0.25">
      <c r="A8" s="611"/>
      <c r="B8" s="479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13538.710000000108</v>
      </c>
      <c r="Y8" s="62"/>
    </row>
    <row r="9" spans="1:32" x14ac:dyDescent="0.25">
      <c r="A9" s="611"/>
      <c r="B9" s="479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0.22799776156942295</v>
      </c>
      <c r="Y9" s="62">
        <v>43106</v>
      </c>
      <c r="Z9" s="754" t="s">
        <v>873</v>
      </c>
    </row>
    <row r="10" spans="1:32" ht="15" customHeight="1" x14ac:dyDescent="0.25">
      <c r="A10" s="611"/>
      <c r="B10" s="479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M471</f>
        <v>14615.571000001626</v>
      </c>
      <c r="Y10" s="62"/>
    </row>
    <row r="11" spans="1:32" x14ac:dyDescent="0.25">
      <c r="A11" s="611"/>
      <c r="B11" s="479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1.0970987224285378E-2</v>
      </c>
      <c r="R11">
        <f>0.05</f>
        <v>0.05</v>
      </c>
      <c r="Y11" s="62">
        <v>43117</v>
      </c>
      <c r="Z11" s="743" t="s">
        <v>911</v>
      </c>
    </row>
    <row r="12" spans="1:32" x14ac:dyDescent="0.25">
      <c r="A12" s="611"/>
      <c r="B12" s="479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968</v>
      </c>
      <c r="Q12" s="1" t="s">
        <v>1019</v>
      </c>
      <c r="Y12" s="62"/>
    </row>
    <row r="13" spans="1:32" x14ac:dyDescent="0.25">
      <c r="A13" s="611"/>
      <c r="B13" s="479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43" t="s">
        <v>917</v>
      </c>
    </row>
    <row r="14" spans="1:32" x14ac:dyDescent="0.25">
      <c r="A14" s="611"/>
      <c r="B14" s="479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83" t="s">
        <v>113</v>
      </c>
      <c r="P14" s="683" t="s">
        <v>699</v>
      </c>
      <c r="Q14" s="683" t="s">
        <v>700</v>
      </c>
      <c r="R14" s="681" t="s">
        <v>693</v>
      </c>
      <c r="S14" s="681" t="s">
        <v>694</v>
      </c>
      <c r="T14" s="683" t="s">
        <v>696</v>
      </c>
      <c r="U14" s="683" t="s">
        <v>697</v>
      </c>
      <c r="V14" s="681" t="s">
        <v>695</v>
      </c>
      <c r="W14" s="682" t="s">
        <v>698</v>
      </c>
      <c r="Y14" s="62"/>
      <c r="Z14" s="743" t="s">
        <v>920</v>
      </c>
    </row>
    <row r="15" spans="1:32" x14ac:dyDescent="0.25">
      <c r="B15" s="479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84">
        <v>42949</v>
      </c>
      <c r="P15" s="680" t="s">
        <v>701</v>
      </c>
      <c r="Q15" s="680"/>
      <c r="R15" s="679">
        <v>-0.15</v>
      </c>
      <c r="S15" s="679">
        <v>-0.24</v>
      </c>
      <c r="T15" s="680">
        <v>1.02</v>
      </c>
      <c r="U15" s="680">
        <v>1.04</v>
      </c>
      <c r="V15" s="677"/>
      <c r="W15" s="678"/>
      <c r="Y15" s="62"/>
    </row>
    <row r="16" spans="1:32" x14ac:dyDescent="0.25">
      <c r="B16" s="479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23">
        <v>43040</v>
      </c>
      <c r="P16" s="680" t="s">
        <v>702</v>
      </c>
      <c r="Q16" s="680" t="s">
        <v>692</v>
      </c>
      <c r="R16" s="679">
        <v>-0.14599999999999999</v>
      </c>
      <c r="S16" s="677">
        <v>-0.08</v>
      </c>
      <c r="T16" s="680">
        <v>1.05</v>
      </c>
      <c r="U16" s="680">
        <v>1.25</v>
      </c>
      <c r="V16" s="677"/>
      <c r="W16" s="678"/>
      <c r="Y16" s="62">
        <v>43131</v>
      </c>
      <c r="Z16" s="743" t="s">
        <v>919</v>
      </c>
    </row>
    <row r="17" spans="2:26" x14ac:dyDescent="0.25">
      <c r="B17" s="479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85"/>
      <c r="P17" s="680"/>
      <c r="Q17" s="680"/>
      <c r="R17" s="677"/>
      <c r="S17" s="677"/>
      <c r="T17" s="680"/>
      <c r="U17" s="680"/>
      <c r="V17" s="677"/>
      <c r="W17" s="678"/>
      <c r="Y17" s="798">
        <v>43136</v>
      </c>
      <c r="Z17" s="743" t="s">
        <v>918</v>
      </c>
    </row>
    <row r="18" spans="2:26" x14ac:dyDescent="0.25">
      <c r="B18" s="479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85"/>
      <c r="P18" s="680"/>
      <c r="Q18" s="680"/>
      <c r="R18" s="677"/>
      <c r="S18" s="677"/>
      <c r="T18" s="680"/>
      <c r="U18" s="680"/>
      <c r="V18" s="677"/>
      <c r="W18" s="678"/>
      <c r="Y18" s="799"/>
    </row>
    <row r="19" spans="2:26" x14ac:dyDescent="0.25">
      <c r="B19" s="479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85"/>
      <c r="P19" s="680"/>
      <c r="Q19" s="680"/>
      <c r="R19" s="677"/>
      <c r="S19" s="677"/>
      <c r="T19" s="680"/>
      <c r="U19" s="680"/>
      <c r="V19" s="677"/>
      <c r="W19" s="678"/>
      <c r="Y19" s="798">
        <v>43139</v>
      </c>
      <c r="Z19" s="743" t="s">
        <v>946</v>
      </c>
    </row>
    <row r="20" spans="2:26" x14ac:dyDescent="0.25">
      <c r="B20" s="47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85"/>
      <c r="P20" s="680"/>
      <c r="Q20" s="680"/>
      <c r="R20" s="677"/>
      <c r="S20" s="677"/>
      <c r="T20" s="680"/>
      <c r="U20" s="680"/>
      <c r="V20" s="677"/>
      <c r="W20" s="678"/>
      <c r="Y20" s="798"/>
    </row>
    <row r="21" spans="2:26" x14ac:dyDescent="0.25">
      <c r="B21" s="479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85"/>
      <c r="P21" s="680"/>
      <c r="Q21" s="680"/>
      <c r="R21" s="677"/>
      <c r="S21" s="677"/>
      <c r="T21" s="680"/>
      <c r="U21" s="680"/>
      <c r="V21" s="677"/>
      <c r="W21" s="678"/>
      <c r="Y21" s="799"/>
    </row>
    <row r="22" spans="2:26" x14ac:dyDescent="0.25">
      <c r="B22" s="47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85"/>
      <c r="P22" s="680"/>
      <c r="Q22" s="680"/>
      <c r="R22" s="677"/>
      <c r="S22" s="677"/>
      <c r="T22" s="680"/>
      <c r="U22" s="680"/>
      <c r="V22" s="677"/>
      <c r="W22" s="678"/>
      <c r="Y22" s="798">
        <v>43145</v>
      </c>
      <c r="Z22" s="743" t="s">
        <v>82</v>
      </c>
    </row>
    <row r="23" spans="2:26" x14ac:dyDescent="0.25">
      <c r="B23" s="47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85"/>
      <c r="P23" s="680"/>
      <c r="Q23" s="680"/>
      <c r="R23" s="677"/>
      <c r="S23" s="677"/>
      <c r="T23" s="680"/>
      <c r="U23" s="680"/>
      <c r="V23" s="677"/>
      <c r="W23" s="678"/>
      <c r="Z23" s="743" t="s">
        <v>969</v>
      </c>
    </row>
    <row r="24" spans="2:26" x14ac:dyDescent="0.25">
      <c r="B24" s="479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85"/>
      <c r="P24" s="680"/>
      <c r="Q24" s="680"/>
      <c r="R24" s="677"/>
      <c r="S24" s="677"/>
      <c r="T24" s="680"/>
      <c r="U24" s="680"/>
      <c r="V24" s="677"/>
      <c r="W24" s="678"/>
    </row>
    <row r="25" spans="2:26" x14ac:dyDescent="0.25">
      <c r="B25" s="47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85"/>
      <c r="P25" s="680"/>
      <c r="Q25" s="680"/>
      <c r="R25" s="677"/>
      <c r="S25" s="677"/>
      <c r="T25" s="680"/>
      <c r="U25" s="680"/>
      <c r="V25" s="677"/>
      <c r="W25" s="678"/>
      <c r="Y25" s="1">
        <v>43161</v>
      </c>
      <c r="Z25" s="743" t="s">
        <v>970</v>
      </c>
    </row>
    <row r="26" spans="2:26" ht="15" customHeight="1" x14ac:dyDescent="0.25">
      <c r="B26" s="47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7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9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7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9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7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9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7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9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79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9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79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9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7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9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7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9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7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9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7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9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7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9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7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9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7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9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7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9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7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9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47" t="s">
        <v>78</v>
      </c>
      <c r="P41" s="847"/>
    </row>
    <row r="42" spans="1:16" ht="15.75" thickTop="1" x14ac:dyDescent="0.25">
      <c r="B42" s="47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9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22.240478</v>
      </c>
    </row>
    <row r="43" spans="1:16" x14ac:dyDescent="0.25">
      <c r="A43" s="2"/>
      <c r="B43" s="47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9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22.058178999999999</v>
      </c>
    </row>
    <row r="44" spans="1:16" x14ac:dyDescent="0.25">
      <c r="B44" s="47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9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21.875879999999999</v>
      </c>
    </row>
    <row r="45" spans="1:16" x14ac:dyDescent="0.25">
      <c r="B45" s="47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9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21.693580999999998</v>
      </c>
    </row>
    <row r="46" spans="1:16" x14ac:dyDescent="0.25">
      <c r="B46" s="47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9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21.511282000000001</v>
      </c>
    </row>
    <row r="47" spans="1:16" x14ac:dyDescent="0.25">
      <c r="B47" s="47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9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21.328983000000001</v>
      </c>
    </row>
    <row r="48" spans="1:16" x14ac:dyDescent="0.25">
      <c r="B48" s="47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9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21.146684</v>
      </c>
    </row>
    <row r="49" spans="2:16" x14ac:dyDescent="0.25">
      <c r="B49" s="47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9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20.964385</v>
      </c>
    </row>
    <row r="50" spans="2:16" x14ac:dyDescent="0.25">
      <c r="B50" s="47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9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20.782086</v>
      </c>
    </row>
    <row r="51" spans="2:16" x14ac:dyDescent="0.25">
      <c r="B51" s="479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9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20.599786999999999</v>
      </c>
    </row>
    <row r="52" spans="2:16" x14ac:dyDescent="0.25">
      <c r="B52" s="479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9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20.417488000000002</v>
      </c>
    </row>
    <row r="53" spans="2:16" ht="15" customHeight="1" x14ac:dyDescent="0.25">
      <c r="B53" s="479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9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1.1100000000000001</v>
      </c>
      <c r="P53" s="81">
        <f t="shared" si="2"/>
        <v>20.235189000000002</v>
      </c>
    </row>
    <row r="54" spans="2:16" x14ac:dyDescent="0.25">
      <c r="B54" s="479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9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1.1000000000000001</v>
      </c>
      <c r="P54" s="81">
        <f>O54*$Q$4</f>
        <v>20.052890000000001</v>
      </c>
    </row>
    <row r="55" spans="2:16" x14ac:dyDescent="0.25">
      <c r="B55" s="479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9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1.0900000000000001</v>
      </c>
      <c r="P55" s="81">
        <f t="shared" ref="P55:P74" si="3">O55*$Q$4</f>
        <v>19.870591000000001</v>
      </c>
    </row>
    <row r="56" spans="2:16" x14ac:dyDescent="0.25">
      <c r="B56" s="479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29"/>
      <c r="O56" s="81">
        <v>1.08</v>
      </c>
      <c r="P56" s="81">
        <f t="shared" si="3"/>
        <v>19.688292000000001</v>
      </c>
    </row>
    <row r="57" spans="2:16" x14ac:dyDescent="0.25">
      <c r="B57" s="479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29"/>
      <c r="O57" s="81">
        <v>1.07</v>
      </c>
      <c r="P57" s="81">
        <f t="shared" si="3"/>
        <v>19.505993</v>
      </c>
    </row>
    <row r="58" spans="2:16" x14ac:dyDescent="0.25">
      <c r="B58" s="479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1.06</v>
      </c>
      <c r="P58" s="81">
        <f t="shared" si="3"/>
        <v>19.323694000000003</v>
      </c>
    </row>
    <row r="59" spans="2:16" x14ac:dyDescent="0.25">
      <c r="B59" s="479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19.141395000000003</v>
      </c>
    </row>
    <row r="60" spans="2:16" x14ac:dyDescent="0.25">
      <c r="B60" s="479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18.959096000000002</v>
      </c>
    </row>
    <row r="61" spans="2:16" x14ac:dyDescent="0.25">
      <c r="B61" s="479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18.776797000000002</v>
      </c>
    </row>
    <row r="62" spans="2:16" x14ac:dyDescent="0.25">
      <c r="B62" s="479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O62" s="81">
        <v>1.02</v>
      </c>
      <c r="P62" s="81">
        <f t="shared" si="3"/>
        <v>18.594498000000002</v>
      </c>
    </row>
    <row r="63" spans="2:16" x14ac:dyDescent="0.25">
      <c r="B63" s="479">
        <v>43146</v>
      </c>
      <c r="C63" s="4">
        <v>400</v>
      </c>
      <c r="D63" s="234">
        <v>15.82</v>
      </c>
      <c r="E63" s="3">
        <v>0</v>
      </c>
      <c r="F63" s="3">
        <f t="shared" ref="F63" si="4">C63*D63+E63</f>
        <v>6328</v>
      </c>
      <c r="O63" s="81">
        <v>1.01</v>
      </c>
      <c r="P63" s="81">
        <f t="shared" si="3"/>
        <v>18.412199000000001</v>
      </c>
    </row>
    <row r="64" spans="2:16" x14ac:dyDescent="0.25">
      <c r="B64" s="480">
        <v>43146</v>
      </c>
      <c r="C64" s="4">
        <v>500</v>
      </c>
      <c r="D64" s="234">
        <v>15.52</v>
      </c>
      <c r="E64" s="3">
        <v>0</v>
      </c>
      <c r="F64" s="3">
        <f t="shared" ref="F64:F75" si="5">C64*D64+E64</f>
        <v>7760</v>
      </c>
      <c r="O64" s="81">
        <v>1</v>
      </c>
      <c r="P64" s="81">
        <f t="shared" si="3"/>
        <v>18.229900000000001</v>
      </c>
    </row>
    <row r="65" spans="2:16" x14ac:dyDescent="0.25">
      <c r="B65" s="480">
        <v>43147</v>
      </c>
      <c r="C65" s="4">
        <v>500</v>
      </c>
      <c r="D65" s="234">
        <v>15.75</v>
      </c>
      <c r="E65" s="3">
        <v>0</v>
      </c>
      <c r="F65" s="3">
        <f t="shared" si="5"/>
        <v>7875</v>
      </c>
      <c r="O65" s="81">
        <v>0.99</v>
      </c>
      <c r="P65" s="81">
        <f t="shared" si="3"/>
        <v>18.047601</v>
      </c>
    </row>
    <row r="66" spans="2:16" x14ac:dyDescent="0.25">
      <c r="B66" s="480">
        <v>43151</v>
      </c>
      <c r="C66" s="4">
        <v>500</v>
      </c>
      <c r="D66" s="234">
        <v>15.82</v>
      </c>
      <c r="E66" s="3">
        <v>0</v>
      </c>
      <c r="F66" s="3">
        <f t="shared" si="5"/>
        <v>7910</v>
      </c>
      <c r="O66" s="81">
        <v>0.98</v>
      </c>
      <c r="P66" s="81">
        <f t="shared" si="3"/>
        <v>17.865302</v>
      </c>
    </row>
    <row r="67" spans="2:16" x14ac:dyDescent="0.25">
      <c r="B67" s="480">
        <v>43152</v>
      </c>
      <c r="C67" s="4">
        <v>500</v>
      </c>
      <c r="D67" s="234">
        <v>15.44</v>
      </c>
      <c r="E67" s="3">
        <v>0</v>
      </c>
      <c r="F67" s="3">
        <f t="shared" si="5"/>
        <v>7720</v>
      </c>
      <c r="O67" s="81">
        <v>0.97</v>
      </c>
      <c r="P67" s="81">
        <f t="shared" si="3"/>
        <v>17.683002999999999</v>
      </c>
    </row>
    <row r="68" spans="2:16" x14ac:dyDescent="0.25">
      <c r="B68" s="479">
        <v>43159</v>
      </c>
      <c r="C68" s="4">
        <v>400</v>
      </c>
      <c r="D68" s="234">
        <v>14.75</v>
      </c>
      <c r="E68" s="3">
        <v>0</v>
      </c>
      <c r="F68" s="3">
        <f t="shared" si="5"/>
        <v>5900</v>
      </c>
      <c r="O68" s="81">
        <v>0.96</v>
      </c>
      <c r="P68" s="81">
        <f t="shared" si="3"/>
        <v>17.500703999999999</v>
      </c>
    </row>
    <row r="69" spans="2:16" x14ac:dyDescent="0.25">
      <c r="B69" s="741">
        <v>43181</v>
      </c>
      <c r="C69" s="4">
        <v>400</v>
      </c>
      <c r="D69" s="234">
        <v>15.9</v>
      </c>
      <c r="E69" s="3">
        <v>0</v>
      </c>
      <c r="F69" s="3">
        <f t="shared" si="5"/>
        <v>6360</v>
      </c>
      <c r="O69" s="81">
        <v>0.95</v>
      </c>
      <c r="P69" s="81">
        <f t="shared" si="3"/>
        <v>17.318404999999998</v>
      </c>
    </row>
    <row r="70" spans="2:16" x14ac:dyDescent="0.25">
      <c r="B70" s="741">
        <v>43182</v>
      </c>
      <c r="C70" s="4">
        <v>200</v>
      </c>
      <c r="D70" s="234">
        <v>15.7</v>
      </c>
      <c r="E70" s="3">
        <v>0</v>
      </c>
      <c r="F70" s="3">
        <f t="shared" si="5"/>
        <v>3140</v>
      </c>
      <c r="G70" s="29"/>
      <c r="O70" s="81">
        <v>0.94</v>
      </c>
      <c r="P70" s="81">
        <f t="shared" si="3"/>
        <v>17.136105999999998</v>
      </c>
    </row>
    <row r="71" spans="2:16" x14ac:dyDescent="0.25">
      <c r="B71" s="741">
        <v>43187</v>
      </c>
      <c r="C71" s="4">
        <v>200</v>
      </c>
      <c r="D71" s="234">
        <v>15.45</v>
      </c>
      <c r="E71" s="3">
        <v>0</v>
      </c>
      <c r="F71" s="3">
        <f t="shared" si="5"/>
        <v>3090</v>
      </c>
      <c r="G71" s="29"/>
      <c r="O71" s="81">
        <v>0.93</v>
      </c>
      <c r="P71" s="81">
        <f t="shared" si="3"/>
        <v>16.953807000000001</v>
      </c>
    </row>
    <row r="72" spans="2:16" x14ac:dyDescent="0.25">
      <c r="B72" s="741">
        <v>43192</v>
      </c>
      <c r="C72" s="4">
        <v>200</v>
      </c>
      <c r="D72" s="234">
        <v>15.68</v>
      </c>
      <c r="E72" s="3">
        <v>0</v>
      </c>
      <c r="F72" s="3">
        <f t="shared" si="5"/>
        <v>3136</v>
      </c>
      <c r="G72" s="29"/>
      <c r="O72" s="81">
        <v>0.92</v>
      </c>
      <c r="P72" s="81">
        <f t="shared" si="3"/>
        <v>16.771508000000001</v>
      </c>
    </row>
    <row r="73" spans="2:16" x14ac:dyDescent="0.25">
      <c r="B73" s="741">
        <v>43192</v>
      </c>
      <c r="C73" s="4">
        <v>200</v>
      </c>
      <c r="D73" s="234">
        <v>15.25</v>
      </c>
      <c r="E73" s="3">
        <v>0</v>
      </c>
      <c r="F73" s="3">
        <f t="shared" si="5"/>
        <v>3050</v>
      </c>
      <c r="G73" s="29"/>
      <c r="O73" s="81">
        <v>0.91</v>
      </c>
      <c r="P73" s="81">
        <f t="shared" si="3"/>
        <v>16.589209</v>
      </c>
    </row>
    <row r="74" spans="2:16" ht="15" customHeight="1" x14ac:dyDescent="0.25">
      <c r="B74" s="741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O74" s="81">
        <v>0.9</v>
      </c>
      <c r="P74" s="81">
        <f t="shared" si="3"/>
        <v>16.40691</v>
      </c>
    </row>
    <row r="75" spans="2:16" x14ac:dyDescent="0.25">
      <c r="B75" s="741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O75" s="81">
        <v>0.89</v>
      </c>
      <c r="P75" s="81">
        <f>O75*$Q$4</f>
        <v>16.224610999999999</v>
      </c>
    </row>
    <row r="76" spans="2:16" x14ac:dyDescent="0.25">
      <c r="C76" s="4"/>
      <c r="G76" s="29"/>
      <c r="O76" s="81">
        <v>0.88</v>
      </c>
      <c r="P76" s="81">
        <f>O76*$Q$4</f>
        <v>16.042311999999999</v>
      </c>
    </row>
    <row r="77" spans="2:16" x14ac:dyDescent="0.25">
      <c r="G77" s="29"/>
      <c r="O77" s="81">
        <v>0.87</v>
      </c>
      <c r="P77" s="81">
        <f>O77*$Q$4</f>
        <v>15.860013</v>
      </c>
    </row>
    <row r="78" spans="2:16" x14ac:dyDescent="0.25">
      <c r="G78" s="29"/>
      <c r="O78" s="81">
        <v>0.86</v>
      </c>
      <c r="P78" s="81">
        <f>O78*$Q$4</f>
        <v>15.677714</v>
      </c>
    </row>
    <row r="79" spans="2:16" x14ac:dyDescent="0.25">
      <c r="G79" s="29"/>
      <c r="O79" s="81">
        <v>0.85</v>
      </c>
      <c r="P79" s="81">
        <f>O79*$Q$4</f>
        <v>15.495414999999999</v>
      </c>
    </row>
    <row r="80" spans="2:16" x14ac:dyDescent="0.25">
      <c r="G80" s="29"/>
    </row>
    <row r="81" spans="1:13" x14ac:dyDescent="0.25">
      <c r="A81" s="31" t="s">
        <v>81</v>
      </c>
      <c r="B81" s="481"/>
      <c r="C81" s="71">
        <f>SUM(C2:C80)</f>
        <v>22700</v>
      </c>
      <c r="D81" s="18"/>
      <c r="E81" s="18"/>
      <c r="F81" s="18">
        <f>SUM(F2:F80)</f>
        <v>349427.85</v>
      </c>
      <c r="G81" s="14"/>
      <c r="H81" s="71">
        <f>SUM(H2:H80)</f>
        <v>18700</v>
      </c>
      <c r="I81" s="79"/>
      <c r="J81" s="18"/>
      <c r="K81" s="18">
        <f>SUM(K2:K80)</f>
        <v>288433.71000000008</v>
      </c>
      <c r="L81" s="14"/>
      <c r="M81" s="18">
        <f>SUM(M2:M80)</f>
        <v>1613.25</v>
      </c>
    </row>
    <row r="82" spans="1:13" ht="15.75" thickBot="1" x14ac:dyDescent="0.3">
      <c r="A82" s="344" t="s">
        <v>194</v>
      </c>
      <c r="B82" s="482"/>
      <c r="C82" s="346">
        <f>SumByColor($A$82, C2:C80)</f>
        <v>18700</v>
      </c>
      <c r="D82" s="346"/>
      <c r="E82" s="346"/>
      <c r="F82" s="347">
        <f>SumByColor($A$82, F2:F80)</f>
        <v>287159</v>
      </c>
      <c r="G82" s="346"/>
      <c r="H82" s="346">
        <f>SumByColor($A$82, H2:H80)</f>
        <v>18700</v>
      </c>
      <c r="I82" s="346"/>
      <c r="J82" s="347"/>
      <c r="K82" s="347">
        <f>SumByColor($A$82, K2:K80)</f>
        <v>288439</v>
      </c>
      <c r="L82" s="346"/>
      <c r="M82" s="347">
        <f>SumByColor($A$82, M2:M80)</f>
        <v>1613</v>
      </c>
    </row>
    <row r="85" spans="1:13" x14ac:dyDescent="0.25">
      <c r="B85" s="483" t="s">
        <v>113</v>
      </c>
      <c r="C85" s="185" t="s">
        <v>146</v>
      </c>
      <c r="D85" s="193" t="s">
        <v>145</v>
      </c>
      <c r="E85" s="188" t="s">
        <v>147</v>
      </c>
      <c r="F85" s="189" t="s">
        <v>65</v>
      </c>
      <c r="G85" s="223" t="s">
        <v>151</v>
      </c>
      <c r="H85" s="189" t="s">
        <v>88</v>
      </c>
      <c r="I85" s="223" t="s">
        <v>154</v>
      </c>
      <c r="J85" s="223" t="s">
        <v>504</v>
      </c>
      <c r="K85" s="223" t="s">
        <v>150</v>
      </c>
      <c r="L85" s="223" t="s">
        <v>945</v>
      </c>
    </row>
    <row r="86" spans="1:13" x14ac:dyDescent="0.25">
      <c r="A86" t="s">
        <v>435</v>
      </c>
      <c r="B86" s="152">
        <v>42787</v>
      </c>
      <c r="C86" s="10">
        <v>5700</v>
      </c>
      <c r="D86" s="236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5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447</v>
      </c>
      <c r="B87" s="152">
        <v>42788</v>
      </c>
      <c r="C87" s="428">
        <v>6000</v>
      </c>
      <c r="D87" s="646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5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6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5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6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5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6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5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6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5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6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6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6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6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28">
        <v>6000</v>
      </c>
      <c r="D94" s="646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6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6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6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28">
        <v>6000</v>
      </c>
      <c r="D96" s="646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6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6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6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6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6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6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6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6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6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6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6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28">
        <v>6000</v>
      </c>
      <c r="D102" s="646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6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28">
        <v>6000</v>
      </c>
      <c r="D103" s="646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6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6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5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6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5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6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5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6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5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6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5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6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5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6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5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6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5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6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5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6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5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6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5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6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5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6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5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6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5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6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5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6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5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6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5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6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5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6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5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6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5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6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5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6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5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6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5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6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5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4">
        <v>8000</v>
      </c>
      <c r="D128" s="791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5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6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5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6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5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6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5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6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5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6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5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6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5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6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5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6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5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6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5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28">
        <v>6000</v>
      </c>
      <c r="D138" s="646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5">
        <f t="shared" si="77"/>
        <v>-7.5886670271143777E-2</v>
      </c>
      <c r="I138" s="196" t="s">
        <v>782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6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5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6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5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6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5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28">
        <v>6000</v>
      </c>
      <c r="D142" s="646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5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6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5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6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5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6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5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28">
        <v>6000</v>
      </c>
      <c r="D146" s="646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5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28">
        <v>6000</v>
      </c>
      <c r="D147" s="646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5">
        <f t="shared" si="77"/>
        <v>-4.8574114697586983E-2</v>
      </c>
      <c r="I147" s="196" t="s">
        <v>789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6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5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6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5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6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5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6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5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6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5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6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5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6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5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6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5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6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5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6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5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6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5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6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5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6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5">
        <f t="shared" si="92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2">
        <v>43112</v>
      </c>
      <c r="C161" s="10">
        <v>4100</v>
      </c>
      <c r="D161" s="236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5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2">
        <v>43116</v>
      </c>
      <c r="C162" s="10">
        <v>4300</v>
      </c>
      <c r="D162" s="236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5">
        <f t="shared" si="92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2">
        <v>43116</v>
      </c>
      <c r="C163" s="10">
        <v>4500</v>
      </c>
      <c r="D163" s="236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5">
        <f t="shared" si="92"/>
        <v>0.16119174942704342</v>
      </c>
      <c r="I163" s="39"/>
      <c r="J163" s="39"/>
      <c r="K163" s="39">
        <v>26011</v>
      </c>
      <c r="L163" s="39"/>
    </row>
    <row r="164" spans="1:26" x14ac:dyDescent="0.25">
      <c r="B164" s="152">
        <v>43117</v>
      </c>
      <c r="C164" s="10">
        <v>4100</v>
      </c>
      <c r="D164" s="236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5">
        <f t="shared" si="92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2">
        <v>43117</v>
      </c>
      <c r="C165" s="10">
        <v>4000</v>
      </c>
      <c r="D165" s="236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5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2">
        <v>43123</v>
      </c>
      <c r="C166" s="7">
        <v>4000</v>
      </c>
      <c r="D166" s="425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5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2">
        <v>43125</v>
      </c>
      <c r="C167" s="10">
        <v>4100</v>
      </c>
      <c r="D167" s="236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5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2">
        <v>43126</v>
      </c>
      <c r="C168" s="10">
        <v>4100</v>
      </c>
      <c r="D168" s="236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5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2">
        <v>43130</v>
      </c>
      <c r="C169" s="10">
        <v>4800</v>
      </c>
      <c r="D169" s="236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5">
        <f t="shared" si="98"/>
        <v>0.14282098335759019</v>
      </c>
      <c r="I169" s="39"/>
      <c r="J169" s="39"/>
      <c r="K169" s="39">
        <v>25451</v>
      </c>
      <c r="L169" s="39"/>
      <c r="Z169" s="795"/>
    </row>
    <row r="170" spans="1:26" x14ac:dyDescent="0.25">
      <c r="A170">
        <v>3300</v>
      </c>
      <c r="B170" s="152">
        <v>43133</v>
      </c>
      <c r="C170" s="10">
        <v>5000</v>
      </c>
      <c r="D170" s="236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5">
        <f t="shared" si="98"/>
        <v>0.10369157112259034</v>
      </c>
      <c r="I170" s="39"/>
      <c r="J170" s="39"/>
      <c r="K170" s="39">
        <v>22847</v>
      </c>
      <c r="L170" s="39"/>
      <c r="Z170" s="795"/>
    </row>
    <row r="171" spans="1:26" x14ac:dyDescent="0.25">
      <c r="A171">
        <v>3300</v>
      </c>
      <c r="B171" s="152">
        <v>43139</v>
      </c>
      <c r="C171" s="10">
        <v>5500</v>
      </c>
      <c r="D171" s="236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5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795"/>
    </row>
    <row r="172" spans="1:26" x14ac:dyDescent="0.25">
      <c r="B172" s="152">
        <v>43140</v>
      </c>
      <c r="C172" s="10">
        <v>6000</v>
      </c>
      <c r="D172" s="236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5">
        <f t="shared" si="98"/>
        <v>-1.9880439316001697E-2</v>
      </c>
      <c r="I172" s="39"/>
      <c r="J172" s="39"/>
      <c r="K172" s="39"/>
      <c r="L172" s="39"/>
      <c r="Z172" s="796"/>
    </row>
    <row r="173" spans="1:26" x14ac:dyDescent="0.25">
      <c r="B173" s="152">
        <v>43140</v>
      </c>
      <c r="C173" s="10">
        <v>5500</v>
      </c>
      <c r="D173" s="236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5">
        <f t="shared" si="98"/>
        <v>-2.1451104100946364E-2</v>
      </c>
      <c r="I173" s="39"/>
      <c r="J173" s="39"/>
      <c r="K173" s="39"/>
      <c r="L173" s="39"/>
      <c r="Z173" s="796"/>
    </row>
    <row r="174" spans="1:26" x14ac:dyDescent="0.25">
      <c r="B174" s="152">
        <v>43140</v>
      </c>
      <c r="C174" s="428">
        <v>6000</v>
      </c>
      <c r="D174" s="646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5">
        <f t="shared" si="98"/>
        <v>-1.8105849582172675E-2</v>
      </c>
      <c r="I174" s="39">
        <v>15.75</v>
      </c>
      <c r="J174" s="39"/>
      <c r="K174" s="39"/>
      <c r="L174" s="39"/>
      <c r="Z174" s="796"/>
    </row>
    <row r="175" spans="1:26" x14ac:dyDescent="0.25">
      <c r="A175">
        <v>2300</v>
      </c>
      <c r="B175" s="152">
        <v>43140</v>
      </c>
      <c r="C175" s="10">
        <v>5500</v>
      </c>
      <c r="D175" s="236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5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2">
        <v>43143</v>
      </c>
      <c r="C176" s="10">
        <v>5000</v>
      </c>
      <c r="D176" s="236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5">
        <f t="shared" si="98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2">
        <v>43146</v>
      </c>
      <c r="C177" s="10">
        <v>5000</v>
      </c>
      <c r="D177" s="236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5">
        <f t="shared" si="98"/>
        <v>4.0683586277260549E-2</v>
      </c>
      <c r="I177" s="39"/>
      <c r="J177" s="39"/>
      <c r="K177" s="39">
        <v>17807</v>
      </c>
      <c r="L177" s="39"/>
      <c r="Z177" s="802"/>
    </row>
    <row r="178" spans="1:26" x14ac:dyDescent="0.25">
      <c r="A178">
        <v>1200</v>
      </c>
      <c r="B178" s="152">
        <v>43147</v>
      </c>
      <c r="C178" s="10">
        <v>5500</v>
      </c>
      <c r="D178" s="236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5">
        <f t="shared" si="98"/>
        <v>1.2748597654250966E-4</v>
      </c>
      <c r="I178" s="39"/>
      <c r="J178" s="39"/>
      <c r="K178" s="39">
        <v>14407</v>
      </c>
      <c r="L178" s="39"/>
      <c r="Z178" s="802"/>
    </row>
    <row r="179" spans="1:26" x14ac:dyDescent="0.25">
      <c r="A179">
        <v>800</v>
      </c>
      <c r="B179" s="152">
        <v>43151</v>
      </c>
      <c r="C179" s="10">
        <v>5000</v>
      </c>
      <c r="D179" s="236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5">
        <f t="shared" si="98"/>
        <v>3.4606235772565663E-2</v>
      </c>
      <c r="I179" s="39"/>
      <c r="J179" s="39"/>
      <c r="K179" s="39">
        <v>17321</v>
      </c>
      <c r="L179" s="39"/>
      <c r="Z179" s="811"/>
    </row>
    <row r="180" spans="1:26" x14ac:dyDescent="0.25">
      <c r="A180">
        <v>800</v>
      </c>
      <c r="B180" s="152">
        <v>43151</v>
      </c>
      <c r="C180" s="10">
        <v>5500</v>
      </c>
      <c r="D180" s="236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5">
        <f t="shared" si="98"/>
        <v>9.2622165442351554E-3</v>
      </c>
      <c r="I180" s="39"/>
      <c r="J180" s="39"/>
      <c r="K180" s="39">
        <v>15521</v>
      </c>
      <c r="L180" s="39"/>
      <c r="Z180" s="811"/>
    </row>
    <row r="181" spans="1:26" x14ac:dyDescent="0.25">
      <c r="A181">
        <v>800</v>
      </c>
      <c r="B181" s="152">
        <v>43152</v>
      </c>
      <c r="C181" s="428">
        <v>6000</v>
      </c>
      <c r="D181" s="646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5">
        <f t="shared" si="98"/>
        <v>-2.1551448487561537E-2</v>
      </c>
      <c r="I181" s="196" t="s">
        <v>964</v>
      </c>
      <c r="J181" s="39"/>
      <c r="K181" s="39">
        <v>12591</v>
      </c>
      <c r="L181" s="39"/>
      <c r="Z181" s="813"/>
    </row>
    <row r="182" spans="1:26" x14ac:dyDescent="0.25">
      <c r="A182">
        <v>1100</v>
      </c>
      <c r="B182" s="152">
        <v>43156</v>
      </c>
      <c r="C182" s="10">
        <v>6000</v>
      </c>
      <c r="D182" s="236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5">
        <f t="shared" ref="H182:H184" si="101">(E182-D182)/D182</f>
        <v>-6.2032359148175035E-3</v>
      </c>
      <c r="I182" s="196"/>
      <c r="J182" s="39"/>
      <c r="K182" s="39">
        <v>14031</v>
      </c>
      <c r="L182" s="39">
        <v>63.55</v>
      </c>
      <c r="Z182" s="813"/>
    </row>
    <row r="183" spans="1:26" x14ac:dyDescent="0.25">
      <c r="A183">
        <v>1100</v>
      </c>
      <c r="B183" s="152">
        <v>43159</v>
      </c>
      <c r="C183" s="10">
        <v>6400</v>
      </c>
      <c r="D183" s="236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5">
        <f t="shared" si="101"/>
        <v>-6.8155564112437506E-2</v>
      </c>
      <c r="I183" s="39">
        <v>15.5</v>
      </c>
      <c r="J183" s="39"/>
      <c r="K183" s="39">
        <v>7819</v>
      </c>
      <c r="L183" s="39"/>
      <c r="Z183" s="813"/>
    </row>
    <row r="184" spans="1:26" x14ac:dyDescent="0.25">
      <c r="A184">
        <v>2000</v>
      </c>
      <c r="B184" s="152">
        <v>43165</v>
      </c>
      <c r="C184" s="10">
        <v>6400</v>
      </c>
      <c r="D184" s="236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5">
        <f t="shared" si="101"/>
        <v>-3.542549095109751E-2</v>
      </c>
      <c r="I184" s="39"/>
      <c r="J184" s="39"/>
      <c r="K184" s="39">
        <v>11083</v>
      </c>
      <c r="L184" s="39"/>
      <c r="Z184" s="802"/>
    </row>
    <row r="185" spans="1:26" x14ac:dyDescent="0.25">
      <c r="A185">
        <v>2000</v>
      </c>
      <c r="B185" s="152">
        <v>43168</v>
      </c>
      <c r="C185" s="10">
        <v>6400</v>
      </c>
      <c r="D185" s="236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5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2">
        <v>43172</v>
      </c>
      <c r="C186" s="10">
        <v>6400</v>
      </c>
      <c r="D186" s="236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5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2">
        <v>43180</v>
      </c>
      <c r="C187" s="823">
        <v>5000</v>
      </c>
      <c r="D187" s="824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5">
        <f t="shared" si="104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2">
        <v>43180</v>
      </c>
      <c r="C188" s="10">
        <v>4800</v>
      </c>
      <c r="D188" s="236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5">
        <f t="shared" si="104"/>
        <v>6.5365853658536519E-2</v>
      </c>
      <c r="I188" s="39"/>
      <c r="J188" s="39"/>
      <c r="K188" s="39">
        <v>19438</v>
      </c>
      <c r="L188" s="39"/>
    </row>
    <row r="189" spans="1:26" x14ac:dyDescent="0.25">
      <c r="B189" s="152">
        <v>43181</v>
      </c>
      <c r="C189" s="10">
        <v>5200</v>
      </c>
      <c r="D189" s="236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5">
        <f t="shared" si="104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2">
        <v>43181</v>
      </c>
      <c r="C190" s="10">
        <v>4800</v>
      </c>
      <c r="D190" s="236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5">
        <f t="shared" si="104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2">
        <v>43182</v>
      </c>
      <c r="C191" s="10">
        <v>5000</v>
      </c>
      <c r="D191" s="236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5">
        <f t="shared" si="104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2">
        <v>43185</v>
      </c>
      <c r="C192" s="10">
        <v>5000</v>
      </c>
      <c r="D192" s="236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5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5" x14ac:dyDescent="0.25">
      <c r="A193">
        <v>4000</v>
      </c>
      <c r="B193" s="152">
        <v>43186</v>
      </c>
      <c r="C193" s="823">
        <v>5000</v>
      </c>
      <c r="D193" s="824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5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5" x14ac:dyDescent="0.25">
      <c r="A194">
        <v>4000</v>
      </c>
      <c r="B194" s="152">
        <v>43187</v>
      </c>
      <c r="C194" s="10">
        <v>5200</v>
      </c>
      <c r="D194" s="236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5">
        <f t="shared" si="110"/>
        <v>-3.9011703511053638E-3</v>
      </c>
      <c r="I194" s="39"/>
      <c r="J194" s="39"/>
      <c r="K194" s="39">
        <v>14299</v>
      </c>
      <c r="L194" s="39"/>
    </row>
    <row r="195" spans="1:15" x14ac:dyDescent="0.25">
      <c r="A195">
        <v>3800</v>
      </c>
      <c r="B195" s="152">
        <v>43188</v>
      </c>
      <c r="C195" s="10">
        <v>5000</v>
      </c>
      <c r="D195" s="236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5">
        <f t="shared" ref="H195:H200" si="113">(E195-D195)/D195</f>
        <v>5.0266961843990002E-2</v>
      </c>
      <c r="I195" s="39"/>
      <c r="J195" s="39"/>
      <c r="K195" s="39">
        <v>18478</v>
      </c>
      <c r="L195" s="39"/>
      <c r="O195" s="2"/>
    </row>
    <row r="196" spans="1:15" x14ac:dyDescent="0.25">
      <c r="A196">
        <v>3600</v>
      </c>
      <c r="B196" s="152">
        <v>43188</v>
      </c>
      <c r="C196" s="10">
        <v>4800</v>
      </c>
      <c r="D196" s="236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5">
        <f t="shared" si="113"/>
        <v>5.2528548123980411E-2</v>
      </c>
      <c r="I196" s="39"/>
      <c r="J196" s="39"/>
      <c r="K196" s="39">
        <v>18477</v>
      </c>
      <c r="L196" s="39"/>
    </row>
    <row r="197" spans="1:15" ht="15" customHeight="1" x14ac:dyDescent="0.25">
      <c r="B197" s="152">
        <v>43192</v>
      </c>
      <c r="C197" s="823">
        <v>5000</v>
      </c>
      <c r="D197" s="824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5">
        <f t="shared" si="113"/>
        <v>1.4993481095176038E-2</v>
      </c>
      <c r="I197" s="39"/>
      <c r="J197" s="39"/>
      <c r="K197" s="39">
        <v>15767</v>
      </c>
      <c r="L197" s="39"/>
    </row>
    <row r="198" spans="1:15" x14ac:dyDescent="0.25">
      <c r="A198">
        <v>4000</v>
      </c>
      <c r="B198" s="152">
        <v>43192</v>
      </c>
      <c r="C198" s="10">
        <v>5200</v>
      </c>
      <c r="D198" s="236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5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5" x14ac:dyDescent="0.25">
      <c r="A199">
        <v>3600</v>
      </c>
      <c r="B199" s="152">
        <v>43193</v>
      </c>
      <c r="C199" s="10">
        <v>4800</v>
      </c>
      <c r="D199" s="236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5">
        <f t="shared" si="113"/>
        <v>4.6435578809679585E-2</v>
      </c>
      <c r="I199" s="39"/>
      <c r="J199" s="39"/>
      <c r="K199" s="39">
        <v>18019</v>
      </c>
      <c r="L199" s="39"/>
    </row>
    <row r="200" spans="1:15" x14ac:dyDescent="0.25">
      <c r="A200">
        <v>2800</v>
      </c>
      <c r="B200" s="152">
        <v>43195</v>
      </c>
      <c r="C200" s="7">
        <v>4000</v>
      </c>
      <c r="D200" s="425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5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5" x14ac:dyDescent="0.25">
      <c r="A201">
        <v>2800</v>
      </c>
      <c r="B201" s="152">
        <v>43196</v>
      </c>
      <c r="C201" s="10">
        <v>4400</v>
      </c>
      <c r="D201" s="236">
        <v>15.12</v>
      </c>
      <c r="E201" s="39">
        <v>16.420000000000002</v>
      </c>
      <c r="F201" s="39">
        <f t="shared" ref="F201:F204" si="114">C201*(E201-D201)</f>
        <v>5720.0000000000109</v>
      </c>
      <c r="G201" s="39">
        <f t="shared" ref="G201:G204" si="115">D201*C201</f>
        <v>66528</v>
      </c>
      <c r="H201" s="225">
        <f t="shared" ref="H201:H204" si="116">(E201-D201)/D201</f>
        <v>8.5978835978836154E-2</v>
      </c>
      <c r="I201" s="39"/>
      <c r="J201" s="39"/>
      <c r="K201" s="39">
        <v>20339</v>
      </c>
      <c r="L201" s="39"/>
    </row>
    <row r="202" spans="1:15" x14ac:dyDescent="0.25">
      <c r="A202">
        <v>2800</v>
      </c>
      <c r="B202" s="152">
        <v>43196</v>
      </c>
      <c r="C202" s="10">
        <v>4800</v>
      </c>
      <c r="D202" s="236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5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5" x14ac:dyDescent="0.25">
      <c r="A203">
        <v>2000</v>
      </c>
      <c r="B203" s="152">
        <v>43200</v>
      </c>
      <c r="C203" s="7">
        <v>4000</v>
      </c>
      <c r="D203" s="425">
        <v>14.845000000000001</v>
      </c>
      <c r="E203" s="39">
        <v>17.059999999999999</v>
      </c>
      <c r="F203" s="39">
        <f t="shared" si="114"/>
        <v>8859.9999999999927</v>
      </c>
      <c r="G203" s="39">
        <f t="shared" si="115"/>
        <v>59380</v>
      </c>
      <c r="H203" s="225">
        <f t="shared" si="116"/>
        <v>0.14920848770629827</v>
      </c>
      <c r="I203" s="39"/>
      <c r="J203" s="39"/>
      <c r="K203" s="39">
        <v>23474</v>
      </c>
      <c r="L203" s="39"/>
    </row>
    <row r="204" spans="1:15" x14ac:dyDescent="0.25">
      <c r="A204">
        <v>2000</v>
      </c>
      <c r="B204" s="152">
        <v>43208</v>
      </c>
      <c r="C204" s="10">
        <v>4000</v>
      </c>
      <c r="D204" s="236">
        <v>14.845000000000001</v>
      </c>
      <c r="E204" s="39">
        <v>18.23</v>
      </c>
      <c r="F204" s="39">
        <f t="shared" si="114"/>
        <v>13540</v>
      </c>
      <c r="G204" s="39">
        <f t="shared" si="115"/>
        <v>59380</v>
      </c>
      <c r="H204" s="225">
        <f t="shared" si="116"/>
        <v>0.22802290333445602</v>
      </c>
      <c r="I204" s="39"/>
      <c r="J204" s="39"/>
      <c r="K204" s="39">
        <v>28154</v>
      </c>
      <c r="L204" s="39"/>
    </row>
    <row r="205" spans="1:15" x14ac:dyDescent="0.25">
      <c r="B205" s="152"/>
      <c r="C205" s="10"/>
      <c r="D205" s="236"/>
      <c r="E205" s="39"/>
      <c r="F205" s="39"/>
      <c r="G205" s="39"/>
      <c r="H205" s="225"/>
      <c r="I205" s="39"/>
      <c r="J205" s="39"/>
      <c r="K205" s="39"/>
      <c r="L205" s="39"/>
    </row>
    <row r="206" spans="1:15" x14ac:dyDescent="0.25">
      <c r="B206" s="152"/>
      <c r="C206" s="10"/>
      <c r="D206" s="236"/>
      <c r="E206" s="39"/>
      <c r="F206" s="39"/>
      <c r="G206" s="39"/>
      <c r="H206" s="225"/>
      <c r="I206" s="39"/>
      <c r="J206" s="39"/>
      <c r="K206" s="39"/>
      <c r="L206" s="39"/>
    </row>
    <row r="207" spans="1:15" x14ac:dyDescent="0.25">
      <c r="B207" s="152"/>
      <c r="C207" s="10"/>
      <c r="D207" s="236"/>
      <c r="E207" s="39"/>
      <c r="F207" s="39"/>
      <c r="G207" s="39"/>
      <c r="H207" s="225"/>
      <c r="I207" s="39"/>
      <c r="J207" s="39"/>
      <c r="K207" s="39"/>
      <c r="L207" s="39"/>
    </row>
    <row r="208" spans="1:15" x14ac:dyDescent="0.25">
      <c r="B208" s="152"/>
      <c r="C208" s="10"/>
      <c r="D208" s="236"/>
      <c r="E208" s="39"/>
      <c r="F208" s="39"/>
      <c r="G208" s="39"/>
      <c r="H208" s="225"/>
      <c r="I208" s="39"/>
      <c r="J208" s="39"/>
      <c r="K208" s="39"/>
      <c r="L208" s="39"/>
    </row>
    <row r="209" spans="2:12" x14ac:dyDescent="0.25">
      <c r="B209" s="152"/>
      <c r="C209" s="10"/>
      <c r="D209" s="236"/>
      <c r="E209" s="39"/>
      <c r="F209" s="39"/>
      <c r="G209" s="39"/>
      <c r="H209" s="225"/>
      <c r="I209" s="39"/>
      <c r="J209" s="39"/>
      <c r="K209" s="39"/>
      <c r="L209" s="39"/>
    </row>
    <row r="211" spans="2:12" x14ac:dyDescent="0.25">
      <c r="B211" s="622" t="s">
        <v>113</v>
      </c>
      <c r="C211" s="487" t="s">
        <v>146</v>
      </c>
      <c r="D211" s="623" t="s">
        <v>145</v>
      </c>
      <c r="E211" s="489" t="s">
        <v>147</v>
      </c>
      <c r="F211" s="490" t="s">
        <v>65</v>
      </c>
      <c r="G211" s="491" t="s">
        <v>151</v>
      </c>
      <c r="H211" s="490" t="s">
        <v>88</v>
      </c>
      <c r="I211" s="491" t="s">
        <v>154</v>
      </c>
    </row>
    <row r="212" spans="2:12" x14ac:dyDescent="0.25">
      <c r="B212" s="624">
        <v>42305</v>
      </c>
      <c r="C212" s="365">
        <v>2000</v>
      </c>
      <c r="D212" s="625">
        <v>34.06</v>
      </c>
      <c r="E212" s="366">
        <v>17.68</v>
      </c>
      <c r="F212" s="366">
        <v>-32767.45</v>
      </c>
      <c r="G212" s="366">
        <f t="shared" ref="G212:G218" si="117">IF(C212=0, 0,D212*C212)</f>
        <v>68120</v>
      </c>
      <c r="H212" s="368">
        <f t="shared" ref="H212:H218" si="118">IF(C212=0, D212, (E212-D212)/D212)</f>
        <v>-0.48091603053435117</v>
      </c>
      <c r="I212" s="366"/>
    </row>
    <row r="213" spans="2:12" x14ac:dyDescent="0.25">
      <c r="B213" s="624">
        <v>42307</v>
      </c>
      <c r="C213" s="365">
        <v>0</v>
      </c>
      <c r="D213" s="625" t="s">
        <v>128</v>
      </c>
      <c r="E213" s="366">
        <v>17.55</v>
      </c>
      <c r="F213" s="366">
        <v>-30722.2</v>
      </c>
      <c r="G213" s="366">
        <f t="shared" si="117"/>
        <v>0</v>
      </c>
      <c r="H213" s="368" t="str">
        <f t="shared" si="118"/>
        <v>N/A</v>
      </c>
      <c r="I213" s="366"/>
    </row>
    <row r="214" spans="2:12" x14ac:dyDescent="0.25">
      <c r="B214" s="624">
        <v>42310</v>
      </c>
      <c r="C214" s="365">
        <v>0</v>
      </c>
      <c r="D214" s="625" t="s">
        <v>128</v>
      </c>
      <c r="E214" s="366">
        <v>19.010000000000002</v>
      </c>
      <c r="F214" s="366">
        <v>-30693.25</v>
      </c>
      <c r="G214" s="366">
        <f t="shared" si="117"/>
        <v>0</v>
      </c>
      <c r="H214" s="368" t="str">
        <f t="shared" si="118"/>
        <v>N/A</v>
      </c>
      <c r="I214" s="366"/>
    </row>
    <row r="215" spans="2:12" x14ac:dyDescent="0.25">
      <c r="B215" s="624">
        <v>42314</v>
      </c>
      <c r="C215" s="365">
        <v>2500</v>
      </c>
      <c r="D215" s="625">
        <v>30.24</v>
      </c>
      <c r="E215" s="366">
        <v>18.29</v>
      </c>
      <c r="F215" s="366">
        <v>-29878.25</v>
      </c>
      <c r="G215" s="366">
        <f t="shared" si="117"/>
        <v>75600</v>
      </c>
      <c r="H215" s="368">
        <f t="shared" si="118"/>
        <v>-0.39517195767195767</v>
      </c>
      <c r="I215" s="366"/>
    </row>
    <row r="216" spans="2:12" x14ac:dyDescent="0.25">
      <c r="B216" s="624">
        <v>42318</v>
      </c>
      <c r="C216" s="365">
        <v>0</v>
      </c>
      <c r="D216" s="625" t="s">
        <v>128</v>
      </c>
      <c r="E216" s="366">
        <v>18.78</v>
      </c>
      <c r="F216" s="366">
        <v>-28604.09</v>
      </c>
      <c r="G216" s="366">
        <f t="shared" si="117"/>
        <v>0</v>
      </c>
      <c r="H216" s="368" t="str">
        <f t="shared" si="118"/>
        <v>N/A</v>
      </c>
      <c r="I216" s="366"/>
    </row>
    <row r="217" spans="2:12" x14ac:dyDescent="0.25">
      <c r="B217" s="624">
        <v>42328</v>
      </c>
      <c r="C217" s="365">
        <v>3078</v>
      </c>
      <c r="D217" s="625">
        <v>26.76</v>
      </c>
      <c r="E217" s="366">
        <v>17.440000000000001</v>
      </c>
      <c r="F217" s="366">
        <v>-28696.448999999906</v>
      </c>
      <c r="G217" s="366">
        <f t="shared" si="117"/>
        <v>82367.28</v>
      </c>
      <c r="H217" s="368">
        <f t="shared" si="118"/>
        <v>-0.34828101644245141</v>
      </c>
      <c r="I217" s="366"/>
    </row>
    <row r="218" spans="2:12" ht="15" customHeight="1" x14ac:dyDescent="0.25">
      <c r="B218" s="624">
        <v>42331</v>
      </c>
      <c r="C218" s="365">
        <v>0</v>
      </c>
      <c r="D218" s="625" t="s">
        <v>128</v>
      </c>
      <c r="E218" s="366">
        <v>17.53</v>
      </c>
      <c r="F218" s="366">
        <v>-28051.068999999901</v>
      </c>
      <c r="G218" s="366">
        <f t="shared" si="117"/>
        <v>0</v>
      </c>
      <c r="H218" s="368" t="str">
        <f t="shared" si="118"/>
        <v>N/A</v>
      </c>
      <c r="I218" s="366"/>
    </row>
    <row r="219" spans="2:12" x14ac:dyDescent="0.25">
      <c r="B219" s="624">
        <v>42335</v>
      </c>
      <c r="C219" s="365">
        <v>3078</v>
      </c>
      <c r="D219" s="625">
        <v>26.85</v>
      </c>
      <c r="E219" s="366">
        <v>17.73</v>
      </c>
      <c r="F219" s="366">
        <f>C219*(E219-D219)</f>
        <v>-28071.360000000004</v>
      </c>
      <c r="G219" s="366">
        <f>D219*C219</f>
        <v>82644.3</v>
      </c>
      <c r="H219" s="367">
        <f>(E219-D219)/D219</f>
        <v>-0.33966480446927377</v>
      </c>
      <c r="I219" s="366"/>
    </row>
    <row r="220" spans="2:12" x14ac:dyDescent="0.25">
      <c r="B220" s="624">
        <v>42335</v>
      </c>
      <c r="C220" s="365">
        <v>3578</v>
      </c>
      <c r="D220" s="625">
        <v>25.55</v>
      </c>
      <c r="E220" s="366">
        <v>17.440000000000001</v>
      </c>
      <c r="F220" s="366">
        <f t="shared" ref="F220:F251" si="119">C220*(E220-D220)</f>
        <v>-29017.579999999998</v>
      </c>
      <c r="G220" s="366">
        <f t="shared" ref="G220:G249" si="120">D220*C220</f>
        <v>91417.900000000009</v>
      </c>
      <c r="H220" s="367">
        <f t="shared" ref="H220:H249" si="121">(E220-D220)/D220</f>
        <v>-0.31741682974559682</v>
      </c>
      <c r="I220" s="366"/>
    </row>
    <row r="221" spans="2:12" x14ac:dyDescent="0.25">
      <c r="B221" s="624">
        <v>42340</v>
      </c>
      <c r="C221" s="365">
        <v>4178</v>
      </c>
      <c r="D221" s="625">
        <v>24.29</v>
      </c>
      <c r="E221" s="366">
        <v>16.670000000000002</v>
      </c>
      <c r="F221" s="366">
        <f t="shared" si="119"/>
        <v>-31836.35999999999</v>
      </c>
      <c r="G221" s="366">
        <f t="shared" si="120"/>
        <v>101483.62</v>
      </c>
      <c r="H221" s="367">
        <f t="shared" si="121"/>
        <v>-0.31370934540963352</v>
      </c>
      <c r="I221" s="366"/>
    </row>
    <row r="222" spans="2:12" x14ac:dyDescent="0.25">
      <c r="B222" s="624">
        <v>42342</v>
      </c>
      <c r="C222" s="365">
        <v>4678</v>
      </c>
      <c r="D222" s="625">
        <v>23.39</v>
      </c>
      <c r="E222" s="366">
        <v>16.12</v>
      </c>
      <c r="F222" s="366">
        <f t="shared" si="119"/>
        <v>-34009.06</v>
      </c>
      <c r="G222" s="366">
        <f t="shared" si="120"/>
        <v>109418.42</v>
      </c>
      <c r="H222" s="367">
        <f t="shared" si="121"/>
        <v>-0.31081658828559211</v>
      </c>
      <c r="I222" s="366"/>
    </row>
    <row r="223" spans="2:12" x14ac:dyDescent="0.25">
      <c r="B223" s="624">
        <v>42342</v>
      </c>
      <c r="C223" s="365">
        <v>4178</v>
      </c>
      <c r="D223" s="625">
        <v>24.26</v>
      </c>
      <c r="E223" s="366">
        <v>16.12</v>
      </c>
      <c r="F223" s="366">
        <f t="shared" si="119"/>
        <v>-34008.920000000006</v>
      </c>
      <c r="G223" s="366">
        <f t="shared" si="120"/>
        <v>101358.28000000001</v>
      </c>
      <c r="H223" s="367">
        <f t="shared" si="121"/>
        <v>-0.33553173948887055</v>
      </c>
      <c r="I223" s="366"/>
    </row>
    <row r="224" spans="2:12" x14ac:dyDescent="0.25">
      <c r="B224" s="624">
        <v>42345</v>
      </c>
      <c r="C224" s="365">
        <v>4678</v>
      </c>
      <c r="D224" s="625">
        <v>23.24</v>
      </c>
      <c r="E224" s="366">
        <v>14.78</v>
      </c>
      <c r="F224" s="366">
        <f t="shared" si="119"/>
        <v>-39575.879999999997</v>
      </c>
      <c r="G224" s="366">
        <f t="shared" si="120"/>
        <v>108716.71999999999</v>
      </c>
      <c r="H224" s="367">
        <f t="shared" si="121"/>
        <v>-0.36402753872633387</v>
      </c>
      <c r="I224" s="366"/>
    </row>
    <row r="225" spans="2:16" x14ac:dyDescent="0.25">
      <c r="B225" s="624">
        <v>42347</v>
      </c>
      <c r="C225" s="365">
        <v>4778</v>
      </c>
      <c r="D225" s="625">
        <v>23.06</v>
      </c>
      <c r="E225" s="366">
        <v>14.92</v>
      </c>
      <c r="F225" s="366">
        <f t="shared" si="119"/>
        <v>-38892.919999999991</v>
      </c>
      <c r="G225" s="366">
        <f t="shared" si="120"/>
        <v>110180.68</v>
      </c>
      <c r="H225" s="367">
        <f t="shared" si="121"/>
        <v>-0.3529921942758022</v>
      </c>
      <c r="I225" s="366"/>
    </row>
    <row r="226" spans="2:16" x14ac:dyDescent="0.25">
      <c r="B226" s="624">
        <v>42348</v>
      </c>
      <c r="C226" s="365">
        <v>4178</v>
      </c>
      <c r="D226" s="625">
        <v>24.23</v>
      </c>
      <c r="E226" s="366">
        <v>14.74</v>
      </c>
      <c r="F226" s="366">
        <f t="shared" si="119"/>
        <v>-39649.22</v>
      </c>
      <c r="G226" s="366">
        <f t="shared" si="120"/>
        <v>101232.94</v>
      </c>
      <c r="H226" s="367">
        <f t="shared" si="121"/>
        <v>-0.39166322740404458</v>
      </c>
      <c r="I226" s="366"/>
    </row>
    <row r="227" spans="2:16" ht="15" customHeight="1" x14ac:dyDescent="0.25">
      <c r="B227" s="624">
        <v>42349</v>
      </c>
      <c r="C227" s="365">
        <v>3678</v>
      </c>
      <c r="D227" s="625">
        <v>25.57</v>
      </c>
      <c r="E227" s="366">
        <v>14.34</v>
      </c>
      <c r="F227" s="366">
        <f t="shared" si="119"/>
        <v>-41303.94</v>
      </c>
      <c r="G227" s="366">
        <f t="shared" si="120"/>
        <v>94046.46</v>
      </c>
      <c r="H227" s="367">
        <f t="shared" si="121"/>
        <v>-0.43918654673445445</v>
      </c>
      <c r="I227" s="366"/>
    </row>
    <row r="228" spans="2:16" ht="15" customHeight="1" x14ac:dyDescent="0.25">
      <c r="B228" s="624">
        <v>42352</v>
      </c>
      <c r="C228" s="365">
        <v>4178</v>
      </c>
      <c r="D228" s="625">
        <v>24.18</v>
      </c>
      <c r="E228" s="366">
        <v>13.96</v>
      </c>
      <c r="F228" s="366">
        <f t="shared" si="119"/>
        <v>-42699.159999999996</v>
      </c>
      <c r="G228" s="366">
        <f t="shared" si="120"/>
        <v>101024.04</v>
      </c>
      <c r="H228" s="367">
        <f t="shared" si="121"/>
        <v>-0.42266335814722905</v>
      </c>
      <c r="I228" s="366"/>
    </row>
    <row r="229" spans="2:16" x14ac:dyDescent="0.25">
      <c r="B229" s="624">
        <v>42355</v>
      </c>
      <c r="C229" s="365">
        <v>4678</v>
      </c>
      <c r="D229" s="625">
        <v>22.98</v>
      </c>
      <c r="E229" s="366">
        <v>12.78</v>
      </c>
      <c r="F229" s="366">
        <f t="shared" si="119"/>
        <v>-47715.600000000006</v>
      </c>
      <c r="G229" s="366">
        <f t="shared" si="120"/>
        <v>107500.44</v>
      </c>
      <c r="H229" s="367">
        <f t="shared" si="121"/>
        <v>-0.44386422976501311</v>
      </c>
      <c r="I229" s="366"/>
    </row>
    <row r="230" spans="2:16" x14ac:dyDescent="0.25">
      <c r="B230" s="624">
        <v>42356</v>
      </c>
      <c r="C230" s="365">
        <v>5178</v>
      </c>
      <c r="D230" s="625">
        <v>21.99</v>
      </c>
      <c r="E230" s="366">
        <v>12.95</v>
      </c>
      <c r="F230" s="366">
        <f t="shared" si="119"/>
        <v>-46809.119999999995</v>
      </c>
      <c r="G230" s="366">
        <f t="shared" si="120"/>
        <v>113864.21999999999</v>
      </c>
      <c r="H230" s="367">
        <f t="shared" si="121"/>
        <v>-0.41109595270577537</v>
      </c>
      <c r="I230" s="366"/>
    </row>
    <row r="231" spans="2:16" x14ac:dyDescent="0.25">
      <c r="B231" s="624">
        <v>42356</v>
      </c>
      <c r="C231" s="365">
        <v>6178</v>
      </c>
      <c r="D231" s="625">
        <v>20.48</v>
      </c>
      <c r="E231" s="366">
        <v>12.76</v>
      </c>
      <c r="F231" s="366">
        <f t="shared" si="119"/>
        <v>-47694.16</v>
      </c>
      <c r="G231" s="366">
        <f t="shared" si="120"/>
        <v>126525.44</v>
      </c>
      <c r="H231" s="367">
        <f t="shared" si="121"/>
        <v>-0.376953125</v>
      </c>
      <c r="I231" s="366"/>
    </row>
    <row r="232" spans="2:16" x14ac:dyDescent="0.25">
      <c r="B232" s="624">
        <v>42356</v>
      </c>
      <c r="C232" s="365">
        <v>6400</v>
      </c>
      <c r="D232" s="625">
        <v>20.2</v>
      </c>
      <c r="E232" s="366">
        <v>12.68</v>
      </c>
      <c r="F232" s="366">
        <f t="shared" si="119"/>
        <v>-48128</v>
      </c>
      <c r="G232" s="366">
        <f t="shared" si="120"/>
        <v>129280</v>
      </c>
      <c r="H232" s="367">
        <f t="shared" si="121"/>
        <v>-0.37227722772277227</v>
      </c>
      <c r="I232" s="366"/>
    </row>
    <row r="233" spans="2:16" x14ac:dyDescent="0.25">
      <c r="B233" s="624">
        <v>42359</v>
      </c>
      <c r="C233" s="365">
        <v>5178</v>
      </c>
      <c r="D233" s="625">
        <v>21.96</v>
      </c>
      <c r="E233" s="366">
        <v>12.66</v>
      </c>
      <c r="F233" s="366">
        <f t="shared" si="119"/>
        <v>-48155.4</v>
      </c>
      <c r="G233" s="366">
        <f t="shared" si="120"/>
        <v>113708.88</v>
      </c>
      <c r="H233" s="367">
        <f t="shared" si="121"/>
        <v>-0.42349726775956287</v>
      </c>
      <c r="I233" s="366"/>
    </row>
    <row r="234" spans="2:16" x14ac:dyDescent="0.25">
      <c r="B234" s="624">
        <v>42361</v>
      </c>
      <c r="C234" s="365">
        <v>4178</v>
      </c>
      <c r="D234" s="625">
        <v>24.07</v>
      </c>
      <c r="E234" s="366">
        <v>13.96</v>
      </c>
      <c r="F234" s="366">
        <f t="shared" si="119"/>
        <v>-42239.579999999994</v>
      </c>
      <c r="G234" s="366">
        <f t="shared" si="120"/>
        <v>100564.46</v>
      </c>
      <c r="H234" s="367">
        <f t="shared" si="121"/>
        <v>-0.42002492729538843</v>
      </c>
      <c r="I234" s="366"/>
    </row>
    <row r="235" spans="2:16" x14ac:dyDescent="0.25">
      <c r="B235" s="624">
        <v>42361</v>
      </c>
      <c r="C235" s="365">
        <v>4178</v>
      </c>
      <c r="D235" s="625">
        <v>24.03</v>
      </c>
      <c r="E235" s="366">
        <v>13.96</v>
      </c>
      <c r="F235" s="366">
        <f t="shared" si="119"/>
        <v>-42072.46</v>
      </c>
      <c r="G235" s="366">
        <f t="shared" si="120"/>
        <v>100397.34000000001</v>
      </c>
      <c r="H235" s="367">
        <f t="shared" si="121"/>
        <v>-0.41905950894714938</v>
      </c>
      <c r="I235" s="366"/>
      <c r="P235" s="70"/>
    </row>
    <row r="236" spans="2:16" x14ac:dyDescent="0.25">
      <c r="B236" s="624">
        <v>42366</v>
      </c>
      <c r="C236" s="386">
        <v>6678</v>
      </c>
      <c r="D236" s="626">
        <v>19.91</v>
      </c>
      <c r="E236" s="366">
        <v>13.09</v>
      </c>
      <c r="F236" s="366">
        <f t="shared" si="119"/>
        <v>-45543.96</v>
      </c>
      <c r="G236" s="366">
        <f t="shared" si="120"/>
        <v>132958.98000000001</v>
      </c>
      <c r="H236" s="367">
        <f t="shared" si="121"/>
        <v>-0.34254143646408841</v>
      </c>
      <c r="I236" s="366"/>
      <c r="P236" s="70"/>
    </row>
    <row r="237" spans="2:16" x14ac:dyDescent="0.25">
      <c r="B237" s="624">
        <v>42367</v>
      </c>
      <c r="C237" s="386">
        <v>8678</v>
      </c>
      <c r="D237" s="626">
        <v>18.32</v>
      </c>
      <c r="E237" s="366">
        <v>13.03</v>
      </c>
      <c r="F237" s="366">
        <f t="shared" si="119"/>
        <v>-45906.62000000001</v>
      </c>
      <c r="G237" s="366">
        <f t="shared" si="120"/>
        <v>158980.96</v>
      </c>
      <c r="H237" s="367">
        <f t="shared" si="121"/>
        <v>-0.28875545851528389</v>
      </c>
      <c r="I237" s="366"/>
    </row>
    <row r="238" spans="2:16" x14ac:dyDescent="0.25">
      <c r="B238" s="624">
        <v>42368</v>
      </c>
      <c r="C238" s="365">
        <v>9678</v>
      </c>
      <c r="D238" s="625">
        <v>17.73</v>
      </c>
      <c r="E238" s="366">
        <v>12.38</v>
      </c>
      <c r="F238" s="366">
        <f t="shared" si="119"/>
        <v>-51777.299999999996</v>
      </c>
      <c r="G238" s="366">
        <f t="shared" si="120"/>
        <v>171590.94</v>
      </c>
      <c r="H238" s="368">
        <f t="shared" si="121"/>
        <v>-0.30174844895657077</v>
      </c>
      <c r="I238" s="366"/>
    </row>
    <row r="239" spans="2:16" x14ac:dyDescent="0.25">
      <c r="B239" s="624">
        <v>42369</v>
      </c>
      <c r="C239" s="365">
        <v>8678</v>
      </c>
      <c r="D239" s="625">
        <v>18.312999999999999</v>
      </c>
      <c r="E239" s="366">
        <v>12.59</v>
      </c>
      <c r="F239" s="366">
        <f t="shared" si="119"/>
        <v>-49664.193999999989</v>
      </c>
      <c r="G239" s="366">
        <f t="shared" si="120"/>
        <v>158920.21399999998</v>
      </c>
      <c r="H239" s="368">
        <f t="shared" si="121"/>
        <v>-0.3125102386282968</v>
      </c>
      <c r="I239" s="366"/>
    </row>
    <row r="240" spans="2:16" x14ac:dyDescent="0.25">
      <c r="B240" s="624">
        <v>42374</v>
      </c>
      <c r="C240" s="365">
        <v>7678</v>
      </c>
      <c r="D240" s="625">
        <v>19.010000000000002</v>
      </c>
      <c r="E240" s="366">
        <v>12.76</v>
      </c>
      <c r="F240" s="366">
        <f t="shared" si="119"/>
        <v>-47987.500000000015</v>
      </c>
      <c r="G240" s="366">
        <f t="shared" si="120"/>
        <v>145958.78</v>
      </c>
      <c r="H240" s="368">
        <f t="shared" si="121"/>
        <v>-0.32877432930036832</v>
      </c>
      <c r="I240" s="366"/>
    </row>
    <row r="241" spans="2:17" x14ac:dyDescent="0.25">
      <c r="B241" s="624">
        <v>42375</v>
      </c>
      <c r="C241" s="365">
        <v>8678</v>
      </c>
      <c r="D241" s="625">
        <v>18.257000000000001</v>
      </c>
      <c r="E241" s="366">
        <v>12.76</v>
      </c>
      <c r="F241" s="366">
        <f t="shared" si="119"/>
        <v>-47702.966000000015</v>
      </c>
      <c r="G241" s="366">
        <f t="shared" si="120"/>
        <v>158434.24600000001</v>
      </c>
      <c r="H241" s="368">
        <f t="shared" si="121"/>
        <v>-0.30108999287944355</v>
      </c>
      <c r="I241" s="366"/>
    </row>
    <row r="242" spans="2:17" ht="15" customHeight="1" x14ac:dyDescent="0.25">
      <c r="B242" s="624">
        <v>42375</v>
      </c>
      <c r="C242" s="365">
        <v>9678</v>
      </c>
      <c r="D242" s="625">
        <v>17.579999999999998</v>
      </c>
      <c r="E242" s="366">
        <v>11.28</v>
      </c>
      <c r="F242" s="366">
        <f t="shared" si="119"/>
        <v>-60971.399999999987</v>
      </c>
      <c r="G242" s="366">
        <f t="shared" si="120"/>
        <v>170139.24</v>
      </c>
      <c r="H242" s="368">
        <f t="shared" si="121"/>
        <v>-0.35836177474402725</v>
      </c>
      <c r="I242" s="366"/>
    </row>
    <row r="243" spans="2:17" ht="18.75" customHeight="1" x14ac:dyDescent="0.25">
      <c r="B243" s="624">
        <v>42398</v>
      </c>
      <c r="C243" s="365">
        <v>9278</v>
      </c>
      <c r="D243" s="625">
        <v>17.93</v>
      </c>
      <c r="E243" s="366">
        <v>9.56</v>
      </c>
      <c r="F243" s="366">
        <f t="shared" si="119"/>
        <v>-77656.859999999986</v>
      </c>
      <c r="G243" s="366">
        <f t="shared" si="120"/>
        <v>166354.54</v>
      </c>
      <c r="H243" s="368">
        <f t="shared" si="121"/>
        <v>-0.46681539319576126</v>
      </c>
      <c r="I243" s="366"/>
    </row>
    <row r="244" spans="2:17" x14ac:dyDescent="0.25">
      <c r="B244" s="624">
        <v>42402</v>
      </c>
      <c r="C244" s="365">
        <v>9678</v>
      </c>
      <c r="D244" s="625">
        <v>17.559999999999999</v>
      </c>
      <c r="E244" s="366">
        <v>8.74</v>
      </c>
      <c r="F244" s="366">
        <f t="shared" si="119"/>
        <v>-85359.959999999992</v>
      </c>
      <c r="G244" s="366">
        <f t="shared" si="120"/>
        <v>169945.68</v>
      </c>
      <c r="H244" s="368">
        <f t="shared" si="121"/>
        <v>-0.50227790432801822</v>
      </c>
      <c r="I244" s="366"/>
    </row>
    <row r="245" spans="2:17" x14ac:dyDescent="0.25">
      <c r="B245" s="624">
        <v>42411</v>
      </c>
      <c r="C245" s="365">
        <v>9678</v>
      </c>
      <c r="D245" s="625">
        <v>17.553999999999998</v>
      </c>
      <c r="E245" s="366">
        <v>7.13</v>
      </c>
      <c r="F245" s="366">
        <f t="shared" si="119"/>
        <v>-100883.47199999999</v>
      </c>
      <c r="G245" s="366">
        <f t="shared" si="120"/>
        <v>169887.61199999999</v>
      </c>
      <c r="H245" s="367">
        <f t="shared" si="121"/>
        <v>-0.59382476928335426</v>
      </c>
      <c r="I245" s="366"/>
    </row>
    <row r="246" spans="2:17" x14ac:dyDescent="0.25">
      <c r="B246" s="624">
        <v>42412</v>
      </c>
      <c r="C246" s="365">
        <v>9678</v>
      </c>
      <c r="D246" s="625">
        <v>17.55</v>
      </c>
      <c r="E246" s="366">
        <v>7.46</v>
      </c>
      <c r="F246" s="366">
        <f t="shared" si="119"/>
        <v>-97651.02</v>
      </c>
      <c r="G246" s="366">
        <f t="shared" si="120"/>
        <v>169848.9</v>
      </c>
      <c r="H246" s="367">
        <f t="shared" si="121"/>
        <v>-0.57492877492877492</v>
      </c>
      <c r="I246" s="366"/>
    </row>
    <row r="247" spans="2:17" x14ac:dyDescent="0.25">
      <c r="B247" s="624">
        <v>42416</v>
      </c>
      <c r="C247" s="365">
        <v>9178</v>
      </c>
      <c r="D247" s="625">
        <v>18.084</v>
      </c>
      <c r="E247" s="366">
        <v>7.49</v>
      </c>
      <c r="F247" s="366">
        <f t="shared" si="119"/>
        <v>-97231.731999999989</v>
      </c>
      <c r="G247" s="366">
        <f t="shared" si="120"/>
        <v>165974.95199999999</v>
      </c>
      <c r="H247" s="367">
        <f t="shared" si="121"/>
        <v>-0.58582172085821715</v>
      </c>
      <c r="I247" s="366"/>
      <c r="P247" s="1"/>
    </row>
    <row r="248" spans="2:17" x14ac:dyDescent="0.25">
      <c r="B248" s="624">
        <v>42416</v>
      </c>
      <c r="C248" s="365">
        <v>9678</v>
      </c>
      <c r="D248" s="625">
        <v>17.536999999999999</v>
      </c>
      <c r="E248" s="366">
        <v>7.49</v>
      </c>
      <c r="F248" s="366">
        <f t="shared" si="119"/>
        <v>-97234.865999999995</v>
      </c>
      <c r="G248" s="366">
        <f t="shared" si="120"/>
        <v>169723.08599999998</v>
      </c>
      <c r="H248" s="367">
        <f t="shared" si="121"/>
        <v>-0.57290300507498426</v>
      </c>
      <c r="I248" s="366"/>
      <c r="Q248" s="70"/>
    </row>
    <row r="249" spans="2:17" x14ac:dyDescent="0.25">
      <c r="B249" s="624">
        <v>42418</v>
      </c>
      <c r="C249" s="365">
        <v>13478</v>
      </c>
      <c r="D249" s="625">
        <v>14.673999999999999</v>
      </c>
      <c r="E249" s="366">
        <v>6.93</v>
      </c>
      <c r="F249" s="366">
        <f t="shared" si="119"/>
        <v>-104373.632</v>
      </c>
      <c r="G249" s="366">
        <f t="shared" si="120"/>
        <v>197776.17199999999</v>
      </c>
      <c r="H249" s="367">
        <f t="shared" si="121"/>
        <v>-0.52773613193403301</v>
      </c>
      <c r="I249" s="366"/>
      <c r="P249" s="1"/>
    </row>
    <row r="250" spans="2:17" x14ac:dyDescent="0.25">
      <c r="B250" s="624">
        <v>42422</v>
      </c>
      <c r="C250" s="365">
        <v>10978</v>
      </c>
      <c r="D250" s="625">
        <v>16.314</v>
      </c>
      <c r="E250" s="366">
        <v>7.49</v>
      </c>
      <c r="F250" s="366">
        <f t="shared" si="119"/>
        <v>-96869.872000000003</v>
      </c>
      <c r="G250" s="366">
        <f>IF(C250=0, 0,D250*C250)</f>
        <v>179095.092</v>
      </c>
      <c r="H250" s="367">
        <f>IF(C250=0, D250, (E250-D250)/D250)</f>
        <v>-0.54088512933676591</v>
      </c>
      <c r="I250" s="366"/>
      <c r="P250" s="1"/>
      <c r="Q250" s="70"/>
    </row>
    <row r="251" spans="2:17" x14ac:dyDescent="0.25">
      <c r="B251" s="624">
        <v>42422</v>
      </c>
      <c r="C251" s="365">
        <v>9978</v>
      </c>
      <c r="D251" s="625">
        <v>17.199000000000002</v>
      </c>
      <c r="E251" s="366">
        <v>7.49</v>
      </c>
      <c r="F251" s="366">
        <f t="shared" si="119"/>
        <v>-96876.402000000016</v>
      </c>
      <c r="G251" s="366">
        <f>IF(C251=0, 0,D251*C251)</f>
        <v>171611.622</v>
      </c>
      <c r="H251" s="367">
        <f>IF(C251=0, D251, (E251-D251)/D251)</f>
        <v>-0.56450956450956458</v>
      </c>
      <c r="I251" s="366"/>
      <c r="P251" s="1"/>
    </row>
    <row r="252" spans="2:17" x14ac:dyDescent="0.25">
      <c r="B252" s="624">
        <v>42426</v>
      </c>
      <c r="C252" s="365">
        <v>9678</v>
      </c>
      <c r="D252" s="625">
        <v>17.489000000000001</v>
      </c>
      <c r="E252" s="366">
        <v>7.49</v>
      </c>
      <c r="F252" s="366">
        <f t="shared" ref="F252:F260" si="122">C252*(E252-D252)</f>
        <v>-96770.322</v>
      </c>
      <c r="G252" s="366">
        <f>IF(C252=0, 0,D252*C252)</f>
        <v>169258.54200000002</v>
      </c>
      <c r="H252" s="367">
        <f>IF(C252=0, D252, (E252-D252)/D252)</f>
        <v>-0.57173080221853734</v>
      </c>
      <c r="I252" s="366"/>
      <c r="P252" s="1"/>
      <c r="Q252" s="70"/>
    </row>
    <row r="253" spans="2:17" x14ac:dyDescent="0.25">
      <c r="B253" s="624">
        <v>42426</v>
      </c>
      <c r="C253" s="365">
        <v>9178</v>
      </c>
      <c r="D253" s="625">
        <v>18.02</v>
      </c>
      <c r="E253" s="366">
        <v>7.76</v>
      </c>
      <c r="F253" s="366">
        <f t="shared" si="122"/>
        <v>-94166.28</v>
      </c>
      <c r="G253" s="366">
        <f t="shared" ref="G253:G260" si="123">IF(C253=0, 0,D253*C253)</f>
        <v>165387.56</v>
      </c>
      <c r="H253" s="367">
        <f t="shared" ref="H253:H260" si="124">IF(C253=0, D253, (E253-D253)/D253)</f>
        <v>-0.5693673695893452</v>
      </c>
      <c r="I253" s="366"/>
      <c r="N253" s="70"/>
      <c r="Q253" s="70"/>
    </row>
    <row r="254" spans="2:17" x14ac:dyDescent="0.25">
      <c r="B254" s="624">
        <v>42426</v>
      </c>
      <c r="C254" s="365">
        <v>8178</v>
      </c>
      <c r="D254" s="625">
        <v>19.245999999999999</v>
      </c>
      <c r="E254" s="366">
        <v>8</v>
      </c>
      <c r="F254" s="366">
        <f t="shared" si="122"/>
        <v>-91969.787999999986</v>
      </c>
      <c r="G254" s="366">
        <f t="shared" si="123"/>
        <v>157393.788</v>
      </c>
      <c r="H254" s="367">
        <f t="shared" si="124"/>
        <v>-0.58432921126467829</v>
      </c>
      <c r="I254" s="366"/>
      <c r="P254" s="1"/>
    </row>
    <row r="255" spans="2:17" x14ac:dyDescent="0.25">
      <c r="B255" s="624">
        <v>42426</v>
      </c>
      <c r="C255" s="365">
        <v>6678</v>
      </c>
      <c r="D255" s="625">
        <v>21.75</v>
      </c>
      <c r="E255" s="366">
        <v>8.1</v>
      </c>
      <c r="F255" s="366">
        <f t="shared" si="122"/>
        <v>-91154.7</v>
      </c>
      <c r="G255" s="366">
        <f t="shared" si="123"/>
        <v>145246.5</v>
      </c>
      <c r="H255" s="367">
        <f t="shared" si="124"/>
        <v>-0.62758620689655176</v>
      </c>
      <c r="I255" s="366"/>
    </row>
    <row r="256" spans="2:17" x14ac:dyDescent="0.25">
      <c r="B256" s="624">
        <v>42426</v>
      </c>
      <c r="C256" s="365">
        <v>8678</v>
      </c>
      <c r="D256" s="625">
        <v>18.568999999999999</v>
      </c>
      <c r="E256" s="366">
        <v>7.94</v>
      </c>
      <c r="F256" s="366">
        <f t="shared" si="122"/>
        <v>-92238.461999999985</v>
      </c>
      <c r="G256" s="366">
        <f t="shared" si="123"/>
        <v>161141.78199999998</v>
      </c>
      <c r="H256" s="367">
        <f t="shared" si="124"/>
        <v>-0.57240562227368186</v>
      </c>
      <c r="I256" s="366"/>
    </row>
    <row r="257" spans="2:9" x14ac:dyDescent="0.25">
      <c r="B257" s="624">
        <v>42429</v>
      </c>
      <c r="C257" s="365">
        <v>7678</v>
      </c>
      <c r="D257" s="625">
        <v>19.876000000000001</v>
      </c>
      <c r="E257" s="366">
        <v>8.2100000000000009</v>
      </c>
      <c r="F257" s="366">
        <f t="shared" si="122"/>
        <v>-89571.54800000001</v>
      </c>
      <c r="G257" s="366">
        <f t="shared" si="123"/>
        <v>152607.92800000001</v>
      </c>
      <c r="H257" s="367">
        <f t="shared" si="124"/>
        <v>-0.58693902193600322</v>
      </c>
      <c r="I257" s="366"/>
    </row>
    <row r="258" spans="2:9" x14ac:dyDescent="0.25">
      <c r="B258" s="624">
        <v>42429</v>
      </c>
      <c r="C258" s="365">
        <v>9678</v>
      </c>
      <c r="D258" s="625">
        <v>17.463000000000001</v>
      </c>
      <c r="E258" s="366">
        <v>8.2100000000000009</v>
      </c>
      <c r="F258" s="366">
        <f t="shared" si="122"/>
        <v>-89550.534</v>
      </c>
      <c r="G258" s="366">
        <f t="shared" si="123"/>
        <v>169006.91400000002</v>
      </c>
      <c r="H258" s="367">
        <f t="shared" si="124"/>
        <v>-0.5298631392086125</v>
      </c>
      <c r="I258" s="366"/>
    </row>
    <row r="259" spans="2:9" x14ac:dyDescent="0.25">
      <c r="B259" s="624">
        <v>42429</v>
      </c>
      <c r="C259" s="365">
        <v>9178</v>
      </c>
      <c r="D259" s="625">
        <v>17.981000000000002</v>
      </c>
      <c r="E259" s="366">
        <v>8.2100000000000009</v>
      </c>
      <c r="F259" s="366">
        <f t="shared" si="122"/>
        <v>-89678.238000000012</v>
      </c>
      <c r="G259" s="366">
        <f t="shared" si="123"/>
        <v>165029.61800000002</v>
      </c>
      <c r="H259" s="367">
        <f t="shared" si="124"/>
        <v>-0.5434069295367332</v>
      </c>
      <c r="I259" s="366"/>
    </row>
    <row r="260" spans="2:9" x14ac:dyDescent="0.25">
      <c r="B260" s="624">
        <v>42429</v>
      </c>
      <c r="C260" s="365">
        <v>9678</v>
      </c>
      <c r="D260" s="625">
        <v>17.459</v>
      </c>
      <c r="E260" s="366">
        <v>8.2100000000000009</v>
      </c>
      <c r="F260" s="366">
        <f t="shared" si="122"/>
        <v>-89511.821999999986</v>
      </c>
      <c r="G260" s="366">
        <f t="shared" si="123"/>
        <v>168968.20199999999</v>
      </c>
      <c r="H260" s="367">
        <f t="shared" si="124"/>
        <v>-0.5297554270004009</v>
      </c>
      <c r="I260" s="366"/>
    </row>
    <row r="261" spans="2:9" x14ac:dyDescent="0.25">
      <c r="B261" s="624">
        <v>42429</v>
      </c>
      <c r="C261" s="365">
        <v>9178</v>
      </c>
      <c r="D261" s="625">
        <v>17.975999999999999</v>
      </c>
      <c r="E261" s="366">
        <v>8.2100000000000009</v>
      </c>
      <c r="F261" s="366">
        <f t="shared" ref="F261:F272" si="125">C261*(E261-D261)</f>
        <v>-89632.347999999984</v>
      </c>
      <c r="G261" s="366">
        <f t="shared" ref="G261:G272" si="126">IF(C261=0, 0,D261*C261)</f>
        <v>164983.728</v>
      </c>
      <c r="H261" s="367">
        <f t="shared" ref="H261:H312" si="127">IF(C261=0, D261, (E261-D261)/D261)</f>
        <v>-0.54327992879394738</v>
      </c>
      <c r="I261" s="366" t="s">
        <v>186</v>
      </c>
    </row>
    <row r="262" spans="2:9" x14ac:dyDescent="0.25">
      <c r="B262" s="624">
        <v>42430</v>
      </c>
      <c r="C262" s="386">
        <v>10178</v>
      </c>
      <c r="D262" s="626">
        <v>16.974</v>
      </c>
      <c r="E262" s="366">
        <v>7.8</v>
      </c>
      <c r="F262" s="366">
        <f t="shared" si="125"/>
        <v>-93372.971999999994</v>
      </c>
      <c r="G262" s="366">
        <f t="shared" si="126"/>
        <v>172761.372</v>
      </c>
      <c r="H262" s="367">
        <f t="shared" si="127"/>
        <v>-0.54047366560622123</v>
      </c>
      <c r="I262" s="366"/>
    </row>
    <row r="263" spans="2:9" x14ac:dyDescent="0.25">
      <c r="B263" s="624">
        <v>42430</v>
      </c>
      <c r="C263" s="386">
        <v>9678</v>
      </c>
      <c r="D263" s="626">
        <v>17.440000000000001</v>
      </c>
      <c r="E263" s="366">
        <v>7.96</v>
      </c>
      <c r="F263" s="366">
        <f t="shared" si="125"/>
        <v>-91747.44</v>
      </c>
      <c r="G263" s="366">
        <f t="shared" si="126"/>
        <v>168784.32</v>
      </c>
      <c r="H263" s="367">
        <f t="shared" si="127"/>
        <v>-0.54357798165137616</v>
      </c>
      <c r="I263" s="366"/>
    </row>
    <row r="264" spans="2:9" x14ac:dyDescent="0.25">
      <c r="B264" s="624">
        <v>42431</v>
      </c>
      <c r="C264" s="365">
        <v>8678</v>
      </c>
      <c r="D264" s="625">
        <v>18.405999999999999</v>
      </c>
      <c r="E264" s="366">
        <v>9.1</v>
      </c>
      <c r="F264" s="366">
        <f t="shared" si="125"/>
        <v>-80757.467999999993</v>
      </c>
      <c r="G264" s="366">
        <f t="shared" si="126"/>
        <v>159727.26799999998</v>
      </c>
      <c r="H264" s="368">
        <f t="shared" si="127"/>
        <v>-0.50559600130392257</v>
      </c>
      <c r="I264" s="366"/>
    </row>
    <row r="265" spans="2:9" x14ac:dyDescent="0.25">
      <c r="B265" s="624">
        <v>42432</v>
      </c>
      <c r="C265" s="365">
        <v>9278</v>
      </c>
      <c r="D265" s="625">
        <v>17.771999999999998</v>
      </c>
      <c r="E265" s="366">
        <v>9.9700000000000006</v>
      </c>
      <c r="F265" s="366">
        <f t="shared" si="125"/>
        <v>-72386.955999999976</v>
      </c>
      <c r="G265" s="366">
        <f t="shared" si="126"/>
        <v>164888.61599999998</v>
      </c>
      <c r="H265" s="368">
        <f t="shared" si="127"/>
        <v>-0.43900517668242173</v>
      </c>
      <c r="I265" s="366"/>
    </row>
    <row r="266" spans="2:9" x14ac:dyDescent="0.25">
      <c r="B266" s="624">
        <v>42433</v>
      </c>
      <c r="C266" s="365">
        <v>9278</v>
      </c>
      <c r="D266" s="625">
        <v>17.771999999999998</v>
      </c>
      <c r="E266" s="366">
        <v>11</v>
      </c>
      <c r="F266" s="366">
        <f t="shared" si="125"/>
        <v>-62830.615999999987</v>
      </c>
      <c r="G266" s="366">
        <f t="shared" si="126"/>
        <v>164888.61599999998</v>
      </c>
      <c r="H266" s="368">
        <f t="shared" si="127"/>
        <v>-0.38104884087328378</v>
      </c>
      <c r="I266" s="366"/>
    </row>
    <row r="267" spans="2:9" x14ac:dyDescent="0.25">
      <c r="B267" s="624">
        <v>42439</v>
      </c>
      <c r="C267" s="365">
        <v>9278</v>
      </c>
      <c r="D267" s="625">
        <v>17.718</v>
      </c>
      <c r="E267" s="366">
        <v>10.59</v>
      </c>
      <c r="F267" s="366">
        <f t="shared" si="125"/>
        <v>-66133.584000000003</v>
      </c>
      <c r="G267" s="366">
        <f t="shared" si="126"/>
        <v>164387.60399999999</v>
      </c>
      <c r="H267" s="368">
        <f t="shared" si="127"/>
        <v>-0.40230274297324753</v>
      </c>
      <c r="I267" s="366" t="s">
        <v>185</v>
      </c>
    </row>
    <row r="268" spans="2:9" x14ac:dyDescent="0.25">
      <c r="B268" s="624">
        <v>42440</v>
      </c>
      <c r="C268" s="365">
        <v>9278</v>
      </c>
      <c r="D268" s="625">
        <v>17.712</v>
      </c>
      <c r="E268" s="366">
        <v>11.12</v>
      </c>
      <c r="F268" s="366">
        <f t="shared" si="125"/>
        <v>-61160.576000000008</v>
      </c>
      <c r="G268" s="366">
        <f t="shared" si="126"/>
        <v>164331.93599999999</v>
      </c>
      <c r="H268" s="368">
        <f t="shared" si="127"/>
        <v>-0.37217705510388438</v>
      </c>
      <c r="I268" s="366"/>
    </row>
    <row r="269" spans="2:9" x14ac:dyDescent="0.25">
      <c r="B269" s="624">
        <v>42446</v>
      </c>
      <c r="C269" s="365">
        <v>9278</v>
      </c>
      <c r="D269" s="625">
        <v>17.704999999999998</v>
      </c>
      <c r="E269" s="366">
        <v>11.45</v>
      </c>
      <c r="F269" s="366">
        <f t="shared" si="125"/>
        <v>-58033.889999999992</v>
      </c>
      <c r="G269" s="366">
        <f t="shared" si="126"/>
        <v>164266.99</v>
      </c>
      <c r="H269" s="368">
        <f t="shared" si="127"/>
        <v>-0.353290031064671</v>
      </c>
      <c r="I269" s="366"/>
    </row>
    <row r="270" spans="2:9" x14ac:dyDescent="0.25">
      <c r="B270" s="624">
        <v>42447</v>
      </c>
      <c r="C270" s="365">
        <v>7928</v>
      </c>
      <c r="D270" s="625">
        <v>18.734999999999999</v>
      </c>
      <c r="E270" s="366">
        <v>11.63</v>
      </c>
      <c r="F270" s="366">
        <f t="shared" si="125"/>
        <v>-56328.439999999988</v>
      </c>
      <c r="G270" s="366">
        <f t="shared" si="126"/>
        <v>148531.07999999999</v>
      </c>
      <c r="H270" s="368">
        <f t="shared" si="127"/>
        <v>-0.37923672271150249</v>
      </c>
      <c r="I270" s="366"/>
    </row>
    <row r="271" spans="2:9" x14ac:dyDescent="0.25">
      <c r="B271" s="624">
        <v>42450</v>
      </c>
      <c r="C271" s="365">
        <v>9278</v>
      </c>
      <c r="D271" s="625">
        <v>17.670000000000002</v>
      </c>
      <c r="E271" s="366">
        <v>11.43</v>
      </c>
      <c r="F271" s="366">
        <f t="shared" si="125"/>
        <v>-57894.720000000016</v>
      </c>
      <c r="G271" s="366">
        <f t="shared" si="126"/>
        <v>163942.26</v>
      </c>
      <c r="H271" s="367">
        <f t="shared" si="127"/>
        <v>-0.35314091680814946</v>
      </c>
      <c r="I271" s="366"/>
    </row>
    <row r="272" spans="2:9" x14ac:dyDescent="0.25">
      <c r="B272" s="624">
        <v>42451</v>
      </c>
      <c r="C272" s="365">
        <v>9628</v>
      </c>
      <c r="D272" s="625">
        <v>17.428000000000001</v>
      </c>
      <c r="E272" s="366">
        <v>11.31</v>
      </c>
      <c r="F272" s="366">
        <f t="shared" si="125"/>
        <v>-58904.104000000007</v>
      </c>
      <c r="G272" s="366">
        <f t="shared" si="126"/>
        <v>167796.78400000001</v>
      </c>
      <c r="H272" s="367">
        <f t="shared" si="127"/>
        <v>-0.35104429653431263</v>
      </c>
      <c r="I272" s="366"/>
    </row>
    <row r="273" spans="2:14" x14ac:dyDescent="0.25">
      <c r="B273" s="624">
        <v>42453</v>
      </c>
      <c r="C273" s="365">
        <v>13278</v>
      </c>
      <c r="D273" s="625">
        <v>15.5565</v>
      </c>
      <c r="E273" s="366">
        <v>10.29</v>
      </c>
      <c r="F273" s="366">
        <f t="shared" ref="F273:F312" si="128">C273*(E273-D273)</f>
        <v>-69928.587000000014</v>
      </c>
      <c r="G273" s="366">
        <f t="shared" ref="G273:G312" si="129">IF(C273=0, 0,D273*C273)</f>
        <v>206559.20699999999</v>
      </c>
      <c r="H273" s="367">
        <f t="shared" si="127"/>
        <v>-0.33854016006171056</v>
      </c>
      <c r="I273" s="366"/>
    </row>
    <row r="274" spans="2:14" x14ac:dyDescent="0.25">
      <c r="B274" s="624">
        <v>42459</v>
      </c>
      <c r="C274" s="365">
        <v>11278</v>
      </c>
      <c r="D274" s="625">
        <v>16.408899999999999</v>
      </c>
      <c r="E274" s="366">
        <v>10.53</v>
      </c>
      <c r="F274" s="366">
        <f t="shared" si="128"/>
        <v>-66302.234199999992</v>
      </c>
      <c r="G274" s="366">
        <f t="shared" si="129"/>
        <v>185059.5742</v>
      </c>
      <c r="H274" s="367">
        <f t="shared" si="127"/>
        <v>-0.35827508242478168</v>
      </c>
      <c r="I274" s="366"/>
    </row>
    <row r="275" spans="2:14" x14ac:dyDescent="0.25">
      <c r="B275" s="624">
        <v>42460</v>
      </c>
      <c r="C275" s="365">
        <v>9678</v>
      </c>
      <c r="D275" s="625">
        <v>17.311699999999998</v>
      </c>
      <c r="E275" s="366">
        <v>11.14</v>
      </c>
      <c r="F275" s="366">
        <f t="shared" si="128"/>
        <v>-59729.712599999977</v>
      </c>
      <c r="G275" s="366">
        <f t="shared" si="129"/>
        <v>167542.63259999998</v>
      </c>
      <c r="H275" s="367">
        <f t="shared" si="127"/>
        <v>-0.35650456049954643</v>
      </c>
      <c r="I275" s="366"/>
    </row>
    <row r="276" spans="2:14" x14ac:dyDescent="0.25">
      <c r="B276" s="624">
        <v>42461</v>
      </c>
      <c r="C276" s="365">
        <v>11678</v>
      </c>
      <c r="D276" s="625">
        <v>16.116</v>
      </c>
      <c r="E276" s="366">
        <v>10.53</v>
      </c>
      <c r="F276" s="366">
        <f t="shared" si="128"/>
        <v>-65233.308000000005</v>
      </c>
      <c r="G276" s="366">
        <f t="shared" si="129"/>
        <v>188202.64799999999</v>
      </c>
      <c r="H276" s="367">
        <f t="shared" si="127"/>
        <v>-0.34661206254653765</v>
      </c>
      <c r="I276" s="366"/>
    </row>
    <row r="277" spans="2:14" x14ac:dyDescent="0.25">
      <c r="B277" s="624">
        <v>42461</v>
      </c>
      <c r="C277" s="365">
        <v>9678</v>
      </c>
      <c r="D277" s="625">
        <v>17.266200000000001</v>
      </c>
      <c r="E277" s="366">
        <v>10.56</v>
      </c>
      <c r="F277" s="366">
        <f t="shared" si="128"/>
        <v>-64902.603600000009</v>
      </c>
      <c r="G277" s="366">
        <f t="shared" si="129"/>
        <v>167102.28360000002</v>
      </c>
      <c r="H277" s="367">
        <f t="shared" si="127"/>
        <v>-0.388400458699656</v>
      </c>
      <c r="I277" s="366"/>
    </row>
    <row r="278" spans="2:14" x14ac:dyDescent="0.25">
      <c r="B278" s="624">
        <v>42464</v>
      </c>
      <c r="C278" s="365">
        <v>9778</v>
      </c>
      <c r="D278" s="625">
        <v>17.196100000000001</v>
      </c>
      <c r="E278" s="366">
        <v>10.4</v>
      </c>
      <c r="F278" s="366">
        <f t="shared" si="128"/>
        <v>-66452.265800000008</v>
      </c>
      <c r="G278" s="366">
        <f t="shared" si="129"/>
        <v>168143.46580000001</v>
      </c>
      <c r="H278" s="367">
        <f t="shared" si="127"/>
        <v>-0.3952117049796175</v>
      </c>
      <c r="I278" s="366"/>
    </row>
    <row r="279" spans="2:14" x14ac:dyDescent="0.25">
      <c r="B279" s="624">
        <v>42465</v>
      </c>
      <c r="C279" s="365">
        <v>9678</v>
      </c>
      <c r="D279" s="625">
        <v>17.262699999999999</v>
      </c>
      <c r="E279" s="366">
        <v>10.63</v>
      </c>
      <c r="F279" s="366">
        <f t="shared" si="128"/>
        <v>-64191.270599999982</v>
      </c>
      <c r="G279" s="366">
        <f t="shared" si="129"/>
        <v>167068.4106</v>
      </c>
      <c r="H279" s="367">
        <f t="shared" si="127"/>
        <v>-0.38422147172806098</v>
      </c>
      <c r="I279" s="366"/>
    </row>
    <row r="280" spans="2:14" x14ac:dyDescent="0.25">
      <c r="B280" s="624">
        <v>42469</v>
      </c>
      <c r="C280" s="365">
        <v>8678</v>
      </c>
      <c r="D280" s="625">
        <v>17.895700000000001</v>
      </c>
      <c r="E280" s="366">
        <v>11.78</v>
      </c>
      <c r="F280" s="366">
        <f t="shared" si="128"/>
        <v>-53072.044600000016</v>
      </c>
      <c r="G280" s="366">
        <f t="shared" si="129"/>
        <v>155298.88460000002</v>
      </c>
      <c r="H280" s="367">
        <f t="shared" si="127"/>
        <v>-0.34174131215878684</v>
      </c>
      <c r="I280" s="366"/>
      <c r="N280" s="70"/>
    </row>
    <row r="281" spans="2:14" x14ac:dyDescent="0.25">
      <c r="B281" s="624">
        <v>42471</v>
      </c>
      <c r="C281" s="365">
        <v>9678</v>
      </c>
      <c r="D281" s="625">
        <v>17.2514</v>
      </c>
      <c r="E281" s="366">
        <v>11.67</v>
      </c>
      <c r="F281" s="366">
        <f t="shared" si="128"/>
        <v>-54016.789200000007</v>
      </c>
      <c r="G281" s="366">
        <f t="shared" si="129"/>
        <v>166959.04920000001</v>
      </c>
      <c r="H281" s="367">
        <f t="shared" si="127"/>
        <v>-0.32353316252593994</v>
      </c>
      <c r="I281" s="366"/>
    </row>
    <row r="282" spans="2:14" x14ac:dyDescent="0.25">
      <c r="B282" s="624">
        <v>42472</v>
      </c>
      <c r="C282" s="365">
        <v>8288</v>
      </c>
      <c r="D282" s="625">
        <v>17.96</v>
      </c>
      <c r="E282" s="366">
        <v>13.05</v>
      </c>
      <c r="F282" s="366">
        <f t="shared" si="128"/>
        <v>-40694.080000000002</v>
      </c>
      <c r="G282" s="366">
        <f t="shared" si="129"/>
        <v>148852.48000000001</v>
      </c>
      <c r="H282" s="367">
        <f t="shared" si="127"/>
        <v>-0.27338530066815142</v>
      </c>
      <c r="I282" s="366"/>
    </row>
    <row r="283" spans="2:14" x14ac:dyDescent="0.25">
      <c r="B283" s="624">
        <v>42473</v>
      </c>
      <c r="C283" s="365">
        <v>9258</v>
      </c>
      <c r="D283" s="625">
        <v>17.415800000000001</v>
      </c>
      <c r="E283" s="366">
        <v>12.92</v>
      </c>
      <c r="F283" s="366">
        <f t="shared" si="128"/>
        <v>-41622.116400000006</v>
      </c>
      <c r="G283" s="366">
        <f t="shared" si="129"/>
        <v>161235.47640000001</v>
      </c>
      <c r="H283" s="367">
        <f t="shared" si="127"/>
        <v>-0.2581449029042594</v>
      </c>
      <c r="I283" s="366"/>
    </row>
    <row r="284" spans="2:14" x14ac:dyDescent="0.25">
      <c r="B284" s="624">
        <v>42474</v>
      </c>
      <c r="C284" s="365">
        <v>9678</v>
      </c>
      <c r="D284" s="625">
        <v>17.2135</v>
      </c>
      <c r="E284" s="366">
        <v>13.11</v>
      </c>
      <c r="F284" s="366">
        <f t="shared" si="128"/>
        <v>-39713.673000000003</v>
      </c>
      <c r="G284" s="366">
        <f t="shared" si="129"/>
        <v>166592.253</v>
      </c>
      <c r="H284" s="367">
        <f t="shared" si="127"/>
        <v>-0.23838847416272113</v>
      </c>
      <c r="I284" s="366"/>
    </row>
    <row r="285" spans="2:14" x14ac:dyDescent="0.25">
      <c r="B285" s="624">
        <v>42474</v>
      </c>
      <c r="C285" s="365">
        <v>9178</v>
      </c>
      <c r="D285" s="625">
        <v>17.433299999999999</v>
      </c>
      <c r="E285" s="366">
        <v>13.11</v>
      </c>
      <c r="F285" s="366">
        <f t="shared" si="128"/>
        <v>-39679.2474</v>
      </c>
      <c r="G285" s="366">
        <f t="shared" si="129"/>
        <v>160002.82739999998</v>
      </c>
      <c r="H285" s="367">
        <f t="shared" si="127"/>
        <v>-0.24799091394056202</v>
      </c>
      <c r="I285" s="366"/>
    </row>
    <row r="286" spans="2:14" x14ac:dyDescent="0.25">
      <c r="B286" s="624">
        <v>42475</v>
      </c>
      <c r="C286" s="365">
        <v>9678</v>
      </c>
      <c r="D286" s="625">
        <v>17.205100000000002</v>
      </c>
      <c r="E286" s="366">
        <v>13.01</v>
      </c>
      <c r="F286" s="366">
        <f t="shared" si="128"/>
        <v>-40600.177800000019</v>
      </c>
      <c r="G286" s="366">
        <f t="shared" si="129"/>
        <v>166510.9578</v>
      </c>
      <c r="H286" s="367">
        <f t="shared" si="127"/>
        <v>-0.24382886469709572</v>
      </c>
      <c r="I286" s="366"/>
    </row>
    <row r="287" spans="2:14" x14ac:dyDescent="0.25">
      <c r="B287" s="624">
        <v>42478</v>
      </c>
      <c r="C287" s="365">
        <v>9178</v>
      </c>
      <c r="D287" s="625">
        <v>17.412400000000002</v>
      </c>
      <c r="E287" s="366">
        <v>13.36</v>
      </c>
      <c r="F287" s="366">
        <f t="shared" si="128"/>
        <v>-37192.92720000002</v>
      </c>
      <c r="G287" s="366">
        <f t="shared" si="129"/>
        <v>159811.00720000002</v>
      </c>
      <c r="H287" s="367">
        <f t="shared" si="127"/>
        <v>-0.232730697663734</v>
      </c>
      <c r="I287" s="366"/>
    </row>
    <row r="288" spans="2:14" x14ac:dyDescent="0.25">
      <c r="B288" s="624">
        <v>42484</v>
      </c>
      <c r="C288" s="386">
        <v>9178</v>
      </c>
      <c r="D288" s="626">
        <v>17.412400000000002</v>
      </c>
      <c r="E288" s="366">
        <v>14.34</v>
      </c>
      <c r="F288" s="366">
        <f t="shared" si="128"/>
        <v>-28198.487200000018</v>
      </c>
      <c r="G288" s="366">
        <f t="shared" si="129"/>
        <v>159811.00720000002</v>
      </c>
      <c r="H288" s="367">
        <f t="shared" si="127"/>
        <v>-0.17644896740254082</v>
      </c>
      <c r="I288" s="366"/>
    </row>
    <row r="289" spans="2:14" x14ac:dyDescent="0.25">
      <c r="B289" s="624">
        <v>42485</v>
      </c>
      <c r="C289" s="386">
        <v>9678</v>
      </c>
      <c r="D289" s="626">
        <v>17.233499999999999</v>
      </c>
      <c r="E289" s="366">
        <v>13.83</v>
      </c>
      <c r="F289" s="366">
        <f t="shared" si="128"/>
        <v>-32939.072999999997</v>
      </c>
      <c r="G289" s="366">
        <f t="shared" si="129"/>
        <v>166785.81299999999</v>
      </c>
      <c r="H289" s="367">
        <f t="shared" si="127"/>
        <v>-0.19749325441726867</v>
      </c>
      <c r="I289" s="366"/>
    </row>
    <row r="290" spans="2:14" x14ac:dyDescent="0.25">
      <c r="B290" s="624">
        <v>42486</v>
      </c>
      <c r="C290" s="365">
        <v>9178</v>
      </c>
      <c r="D290" s="625">
        <v>17.390599999999999</v>
      </c>
      <c r="E290" s="366">
        <v>14.44</v>
      </c>
      <c r="F290" s="366">
        <f t="shared" si="128"/>
        <v>-27080.606799999998</v>
      </c>
      <c r="G290" s="366">
        <f t="shared" si="129"/>
        <v>159610.92679999999</v>
      </c>
      <c r="H290" s="368">
        <f t="shared" si="127"/>
        <v>-0.16966637148804525</v>
      </c>
      <c r="I290" s="366"/>
    </row>
    <row r="291" spans="2:14" x14ac:dyDescent="0.25">
      <c r="B291" s="624">
        <v>42487</v>
      </c>
      <c r="C291" s="365">
        <v>9178</v>
      </c>
      <c r="D291" s="625">
        <v>17.376300000000001</v>
      </c>
      <c r="E291" s="366">
        <v>14.84</v>
      </c>
      <c r="F291" s="366">
        <f t="shared" si="128"/>
        <v>-23278.161400000005</v>
      </c>
      <c r="G291" s="366">
        <f t="shared" si="129"/>
        <v>159479.6814</v>
      </c>
      <c r="H291" s="368">
        <f t="shared" si="127"/>
        <v>-0.14596317973331496</v>
      </c>
      <c r="I291" s="366"/>
    </row>
    <row r="292" spans="2:14" x14ac:dyDescent="0.25">
      <c r="B292" s="624">
        <v>42488</v>
      </c>
      <c r="C292" s="365">
        <v>9678</v>
      </c>
      <c r="D292" s="625">
        <v>17.2287</v>
      </c>
      <c r="E292" s="366">
        <v>14.35</v>
      </c>
      <c r="F292" s="366">
        <f t="shared" si="128"/>
        <v>-27860.058600000004</v>
      </c>
      <c r="G292" s="366">
        <f t="shared" si="129"/>
        <v>166739.35860000001</v>
      </c>
      <c r="H292" s="368">
        <f t="shared" si="127"/>
        <v>-0.16708747612994598</v>
      </c>
      <c r="I292" s="366"/>
    </row>
    <row r="293" spans="2:14" x14ac:dyDescent="0.25">
      <c r="B293" s="624">
        <v>42489</v>
      </c>
      <c r="C293" s="365">
        <v>9678</v>
      </c>
      <c r="D293" s="625">
        <v>17.179200000000002</v>
      </c>
      <c r="E293" s="366">
        <v>14.09</v>
      </c>
      <c r="F293" s="366">
        <f t="shared" si="128"/>
        <v>-29897.277600000016</v>
      </c>
      <c r="G293" s="366">
        <f t="shared" si="129"/>
        <v>166260.29760000002</v>
      </c>
      <c r="H293" s="368">
        <f t="shared" si="127"/>
        <v>-0.17982211045916</v>
      </c>
      <c r="I293" s="366"/>
    </row>
    <row r="294" spans="2:14" x14ac:dyDescent="0.25">
      <c r="B294" s="624">
        <v>42492</v>
      </c>
      <c r="C294" s="365">
        <v>9678</v>
      </c>
      <c r="D294" s="625">
        <v>17.136399999999998</v>
      </c>
      <c r="E294" s="366">
        <v>13.55</v>
      </c>
      <c r="F294" s="366">
        <f t="shared" si="128"/>
        <v>-34709.179199999977</v>
      </c>
      <c r="G294" s="366">
        <f t="shared" si="129"/>
        <v>165846.07919999998</v>
      </c>
      <c r="H294" s="368">
        <f t="shared" si="127"/>
        <v>-0.20928549753740563</v>
      </c>
      <c r="I294" s="366"/>
    </row>
    <row r="295" spans="2:14" x14ac:dyDescent="0.25">
      <c r="B295" s="624">
        <v>42493</v>
      </c>
      <c r="C295" s="365">
        <v>9678</v>
      </c>
      <c r="D295" s="625">
        <v>17.1221</v>
      </c>
      <c r="E295" s="366">
        <v>12.79</v>
      </c>
      <c r="F295" s="366">
        <f t="shared" si="128"/>
        <v>-41926.063800000004</v>
      </c>
      <c r="G295" s="366">
        <f t="shared" si="129"/>
        <v>165707.6838</v>
      </c>
      <c r="H295" s="368">
        <f t="shared" si="127"/>
        <v>-0.25301218892542388</v>
      </c>
      <c r="I295" s="366"/>
    </row>
    <row r="296" spans="2:14" x14ac:dyDescent="0.25">
      <c r="B296" s="624">
        <v>42494</v>
      </c>
      <c r="C296" s="365">
        <v>11678</v>
      </c>
      <c r="D296" s="625">
        <v>16.316800000000001</v>
      </c>
      <c r="E296" s="366">
        <v>12.17</v>
      </c>
      <c r="F296" s="366">
        <f t="shared" si="128"/>
        <v>-48426.330400000006</v>
      </c>
      <c r="G296" s="366">
        <f t="shared" si="129"/>
        <v>190547.59040000002</v>
      </c>
      <c r="H296" s="368">
        <f t="shared" si="127"/>
        <v>-0.25414296920964896</v>
      </c>
      <c r="I296" s="366"/>
    </row>
    <row r="297" spans="2:14" x14ac:dyDescent="0.25">
      <c r="B297" s="624">
        <v>42495</v>
      </c>
      <c r="C297" s="365">
        <v>9678</v>
      </c>
      <c r="D297" s="625">
        <v>17.0684</v>
      </c>
      <c r="E297" s="366">
        <v>12.07</v>
      </c>
      <c r="F297" s="366">
        <f t="shared" si="128"/>
        <v>-48374.515200000002</v>
      </c>
      <c r="G297" s="366">
        <f t="shared" si="129"/>
        <v>165187.97520000002</v>
      </c>
      <c r="H297" s="367">
        <f t="shared" si="127"/>
        <v>-0.29284525790349419</v>
      </c>
      <c r="I297" s="366"/>
    </row>
    <row r="298" spans="2:14" x14ac:dyDescent="0.25">
      <c r="B298" s="624">
        <v>42499</v>
      </c>
      <c r="C298" s="365">
        <v>10678</v>
      </c>
      <c r="D298" s="625">
        <v>16.537600000000001</v>
      </c>
      <c r="E298" s="366">
        <v>11.44</v>
      </c>
      <c r="F298" s="366">
        <f t="shared" si="128"/>
        <v>-54432.172800000015</v>
      </c>
      <c r="G298" s="366">
        <f t="shared" si="129"/>
        <v>176588.49280000001</v>
      </c>
      <c r="H298" s="367">
        <f t="shared" si="127"/>
        <v>-0.30824303405572762</v>
      </c>
      <c r="I298" s="366"/>
      <c r="N298" s="70"/>
    </row>
    <row r="299" spans="2:14" x14ac:dyDescent="0.25">
      <c r="B299" s="624">
        <v>42500</v>
      </c>
      <c r="C299" s="365">
        <v>9678</v>
      </c>
      <c r="D299" s="625">
        <v>17.042100000000001</v>
      </c>
      <c r="E299" s="366">
        <v>11.94</v>
      </c>
      <c r="F299" s="366">
        <f t="shared" si="128"/>
        <v>-49378.123800000016</v>
      </c>
      <c r="G299" s="366">
        <f t="shared" si="129"/>
        <v>164933.44380000001</v>
      </c>
      <c r="H299" s="367">
        <f t="shared" si="127"/>
        <v>-0.2993821184009014</v>
      </c>
      <c r="I299" s="366"/>
    </row>
    <row r="300" spans="2:14" x14ac:dyDescent="0.25">
      <c r="B300" s="624">
        <v>42502</v>
      </c>
      <c r="C300" s="365">
        <v>10678</v>
      </c>
      <c r="D300" s="625">
        <v>16.601800000000001</v>
      </c>
      <c r="E300" s="366">
        <v>12.33</v>
      </c>
      <c r="F300" s="366">
        <f t="shared" si="128"/>
        <v>-45614.280400000011</v>
      </c>
      <c r="G300" s="366">
        <f t="shared" si="129"/>
        <v>177274.02040000001</v>
      </c>
      <c r="H300" s="367">
        <f t="shared" si="127"/>
        <v>-0.25730944837306802</v>
      </c>
      <c r="I300" s="366"/>
    </row>
    <row r="301" spans="2:14" x14ac:dyDescent="0.25">
      <c r="B301" s="624">
        <v>42502</v>
      </c>
      <c r="C301" s="365">
        <v>9678</v>
      </c>
      <c r="D301" s="625">
        <v>17.0334</v>
      </c>
      <c r="E301" s="366">
        <v>12.33</v>
      </c>
      <c r="F301" s="366">
        <f t="shared" si="128"/>
        <v>-45519.5052</v>
      </c>
      <c r="G301" s="366">
        <f t="shared" si="129"/>
        <v>164849.2452</v>
      </c>
      <c r="H301" s="367">
        <f t="shared" si="127"/>
        <v>-0.27612807777660364</v>
      </c>
      <c r="I301" s="366"/>
    </row>
    <row r="302" spans="2:14" x14ac:dyDescent="0.25">
      <c r="B302" s="624">
        <v>42503</v>
      </c>
      <c r="C302" s="365">
        <v>9678</v>
      </c>
      <c r="D302" s="625">
        <v>17.029299999999999</v>
      </c>
      <c r="E302" s="366">
        <v>12.3</v>
      </c>
      <c r="F302" s="366">
        <f t="shared" si="128"/>
        <v>-45770.165399999983</v>
      </c>
      <c r="G302" s="366">
        <f t="shared" si="129"/>
        <v>164809.56539999999</v>
      </c>
      <c r="H302" s="367">
        <f t="shared" si="127"/>
        <v>-0.27771546687180321</v>
      </c>
      <c r="I302" s="366"/>
    </row>
    <row r="303" spans="2:14" x14ac:dyDescent="0.25">
      <c r="B303" s="624">
        <v>42506</v>
      </c>
      <c r="C303" s="365">
        <v>9678</v>
      </c>
      <c r="D303" s="625">
        <v>17.027699999999999</v>
      </c>
      <c r="E303" s="366">
        <v>12.78</v>
      </c>
      <c r="F303" s="366">
        <f t="shared" si="128"/>
        <v>-41109.240599999997</v>
      </c>
      <c r="G303" s="366">
        <f t="shared" si="129"/>
        <v>164794.08059999999</v>
      </c>
      <c r="H303" s="367">
        <f t="shared" si="127"/>
        <v>-0.24945823569830336</v>
      </c>
      <c r="I303" s="366"/>
    </row>
    <row r="304" spans="2:14" x14ac:dyDescent="0.25">
      <c r="B304" s="624">
        <v>42513</v>
      </c>
      <c r="C304" s="365">
        <v>9178</v>
      </c>
      <c r="D304" s="625">
        <v>17.244399999999999</v>
      </c>
      <c r="E304" s="366">
        <v>13.19</v>
      </c>
      <c r="F304" s="366">
        <f t="shared" si="128"/>
        <v>-37211.283199999991</v>
      </c>
      <c r="G304" s="366">
        <f t="shared" si="129"/>
        <v>158269.10319999998</v>
      </c>
      <c r="H304" s="367">
        <f t="shared" si="127"/>
        <v>-0.23511400802579385</v>
      </c>
      <c r="I304" s="366"/>
    </row>
    <row r="305" spans="2:9" x14ac:dyDescent="0.25">
      <c r="B305" s="624">
        <v>42514</v>
      </c>
      <c r="C305" s="365">
        <v>9678</v>
      </c>
      <c r="D305" s="625">
        <v>17.026</v>
      </c>
      <c r="E305" s="366">
        <v>13.02</v>
      </c>
      <c r="F305" s="366">
        <f t="shared" si="128"/>
        <v>-38770.067999999999</v>
      </c>
      <c r="G305" s="366">
        <f t="shared" si="129"/>
        <v>164777.628</v>
      </c>
      <c r="H305" s="367">
        <f t="shared" si="127"/>
        <v>-0.23528720779983556</v>
      </c>
      <c r="I305" s="366"/>
    </row>
    <row r="306" spans="2:9" x14ac:dyDescent="0.25">
      <c r="B306" s="624">
        <v>42515</v>
      </c>
      <c r="C306" s="365">
        <v>9178</v>
      </c>
      <c r="D306" s="625">
        <v>17.206800000000001</v>
      </c>
      <c r="E306" s="366">
        <v>13.54</v>
      </c>
      <c r="F306" s="366">
        <f t="shared" si="128"/>
        <v>-33653.890400000018</v>
      </c>
      <c r="G306" s="366">
        <f t="shared" si="129"/>
        <v>157924.0104</v>
      </c>
      <c r="H306" s="367">
        <f t="shared" si="127"/>
        <v>-0.21310179696399109</v>
      </c>
      <c r="I306" s="366"/>
    </row>
    <row r="307" spans="2:9" x14ac:dyDescent="0.25">
      <c r="B307" s="624">
        <v>42516</v>
      </c>
      <c r="C307" s="365">
        <v>9678</v>
      </c>
      <c r="D307" s="625">
        <v>17.003799999999998</v>
      </c>
      <c r="E307" s="366">
        <v>13.17</v>
      </c>
      <c r="F307" s="366">
        <f t="shared" si="128"/>
        <v>-37103.516399999986</v>
      </c>
      <c r="G307" s="366">
        <f t="shared" si="129"/>
        <v>164562.77639999997</v>
      </c>
      <c r="H307" s="367">
        <f t="shared" si="127"/>
        <v>-0.22546724849739463</v>
      </c>
      <c r="I307" s="366"/>
    </row>
    <row r="308" spans="2:9" x14ac:dyDescent="0.25">
      <c r="B308" s="624">
        <v>42517</v>
      </c>
      <c r="C308" s="365">
        <v>9678</v>
      </c>
      <c r="D308" s="625">
        <v>16.999700000000001</v>
      </c>
      <c r="E308" s="366">
        <v>12.9</v>
      </c>
      <c r="F308" s="366">
        <f t="shared" si="128"/>
        <v>-39676.8966</v>
      </c>
      <c r="G308" s="366">
        <f t="shared" si="129"/>
        <v>164523.09660000002</v>
      </c>
      <c r="H308" s="367">
        <f t="shared" si="127"/>
        <v>-0.2411630793484591</v>
      </c>
      <c r="I308" s="366"/>
    </row>
    <row r="309" spans="2:9" x14ac:dyDescent="0.25">
      <c r="B309" s="624">
        <v>42525</v>
      </c>
      <c r="C309" s="365">
        <v>9678</v>
      </c>
      <c r="D309" s="625">
        <v>16.9956</v>
      </c>
      <c r="E309" s="366">
        <v>13.32</v>
      </c>
      <c r="F309" s="366">
        <f t="shared" si="128"/>
        <v>-35572.456799999993</v>
      </c>
      <c r="G309" s="366">
        <f t="shared" si="129"/>
        <v>164483.41680000001</v>
      </c>
      <c r="H309" s="367">
        <f t="shared" si="127"/>
        <v>-0.21626773988561743</v>
      </c>
      <c r="I309" s="366"/>
    </row>
    <row r="310" spans="2:9" x14ac:dyDescent="0.25">
      <c r="B310" s="624">
        <v>42527</v>
      </c>
      <c r="C310" s="365">
        <v>8178</v>
      </c>
      <c r="D310" s="625">
        <v>17.568999999999999</v>
      </c>
      <c r="E310" s="366">
        <v>13.96</v>
      </c>
      <c r="F310" s="366">
        <f t="shared" si="128"/>
        <v>-29514.401999999984</v>
      </c>
      <c r="G310" s="366">
        <f t="shared" si="129"/>
        <v>143679.28200000001</v>
      </c>
      <c r="H310" s="367">
        <f t="shared" si="127"/>
        <v>-0.20541863509590746</v>
      </c>
      <c r="I310" s="366"/>
    </row>
    <row r="311" spans="2:9" x14ac:dyDescent="0.25">
      <c r="B311" s="624">
        <v>42528</v>
      </c>
      <c r="C311" s="365">
        <v>7678</v>
      </c>
      <c r="D311" s="625">
        <v>17.759599999999999</v>
      </c>
      <c r="E311" s="366">
        <v>14.62</v>
      </c>
      <c r="F311" s="366">
        <f t="shared" si="128"/>
        <v>-24105.848799999996</v>
      </c>
      <c r="G311" s="366">
        <f t="shared" si="129"/>
        <v>136358.20879999999</v>
      </c>
      <c r="H311" s="367">
        <f t="shared" si="127"/>
        <v>-0.17678326088425414</v>
      </c>
      <c r="I311" s="366"/>
    </row>
    <row r="312" spans="2:9" x14ac:dyDescent="0.25">
      <c r="B312" s="624">
        <v>42529</v>
      </c>
      <c r="C312" s="365">
        <v>8178</v>
      </c>
      <c r="D312" s="625">
        <v>17.5654</v>
      </c>
      <c r="E312" s="366">
        <v>14.53</v>
      </c>
      <c r="F312" s="366">
        <f t="shared" si="128"/>
        <v>-24823.50120000001</v>
      </c>
      <c r="G312" s="366">
        <f t="shared" si="129"/>
        <v>143649.8412</v>
      </c>
      <c r="H312" s="367">
        <f t="shared" si="127"/>
        <v>-0.17280562924840887</v>
      </c>
      <c r="I312" s="366"/>
    </row>
    <row r="313" spans="2:9" x14ac:dyDescent="0.25">
      <c r="B313" s="624">
        <v>42531</v>
      </c>
      <c r="C313" s="365">
        <v>8978</v>
      </c>
      <c r="D313" s="625">
        <v>17.1751</v>
      </c>
      <c r="E313" s="366">
        <v>13.42</v>
      </c>
      <c r="F313" s="366">
        <f t="shared" ref="F313:F321" si="130">C313*(E313-D313)</f>
        <v>-33713.287800000006</v>
      </c>
      <c r="G313" s="366">
        <f t="shared" ref="G313:G321" si="131">IF(C313=0, 0,D313*C313)</f>
        <v>154198.0478</v>
      </c>
      <c r="H313" s="367">
        <f t="shared" ref="H313:H321" si="132">IF(C313=0, D313, (E313-D313)/D313)</f>
        <v>-0.21863628159370255</v>
      </c>
      <c r="I313" s="366"/>
    </row>
    <row r="314" spans="2:9" x14ac:dyDescent="0.25">
      <c r="B314" s="624">
        <v>42531</v>
      </c>
      <c r="C314" s="386">
        <v>9278</v>
      </c>
      <c r="D314" s="626">
        <v>17.1052</v>
      </c>
      <c r="E314" s="366">
        <v>13.42</v>
      </c>
      <c r="F314" s="366">
        <f t="shared" si="130"/>
        <v>-34191.285600000003</v>
      </c>
      <c r="G314" s="366">
        <f t="shared" si="131"/>
        <v>158702.04560000001</v>
      </c>
      <c r="H314" s="367">
        <f t="shared" si="132"/>
        <v>-0.21544325702125669</v>
      </c>
      <c r="I314" s="366"/>
    </row>
    <row r="315" spans="2:9" x14ac:dyDescent="0.25">
      <c r="B315" s="624">
        <v>42532</v>
      </c>
      <c r="C315" s="365">
        <v>9278</v>
      </c>
      <c r="D315" s="625">
        <v>17.053000000000001</v>
      </c>
      <c r="E315" s="366">
        <v>13.42</v>
      </c>
      <c r="F315" s="366">
        <f t="shared" si="130"/>
        <v>-33706.974000000009</v>
      </c>
      <c r="G315" s="366">
        <f t="shared" si="131"/>
        <v>158217.734</v>
      </c>
      <c r="H315" s="367">
        <f t="shared" si="132"/>
        <v>-0.21304169354365804</v>
      </c>
      <c r="I315" s="366" t="s">
        <v>182</v>
      </c>
    </row>
    <row r="316" spans="2:9" x14ac:dyDescent="0.25">
      <c r="B316" s="624">
        <v>42535</v>
      </c>
      <c r="C316" s="365">
        <v>9678</v>
      </c>
      <c r="D316" s="625">
        <v>16.879300000000001</v>
      </c>
      <c r="E316" s="366">
        <v>13.23</v>
      </c>
      <c r="F316" s="366">
        <f t="shared" si="130"/>
        <v>-35317.9254</v>
      </c>
      <c r="G316" s="366">
        <f t="shared" si="131"/>
        <v>163357.86540000001</v>
      </c>
      <c r="H316" s="367">
        <f t="shared" si="132"/>
        <v>-0.21619972392220058</v>
      </c>
      <c r="I316" s="366" t="s">
        <v>219</v>
      </c>
    </row>
    <row r="317" spans="2:9" x14ac:dyDescent="0.25">
      <c r="B317" s="624">
        <v>42536</v>
      </c>
      <c r="C317" s="365">
        <v>9278</v>
      </c>
      <c r="D317" s="625">
        <v>17.027999999999999</v>
      </c>
      <c r="E317" s="366">
        <v>13.06</v>
      </c>
      <c r="F317" s="366">
        <f t="shared" si="130"/>
        <v>-36815.103999999985</v>
      </c>
      <c r="G317" s="366">
        <f t="shared" si="131"/>
        <v>157985.78399999999</v>
      </c>
      <c r="H317" s="367">
        <f t="shared" si="132"/>
        <v>-0.23302795395818643</v>
      </c>
      <c r="I317" s="366"/>
    </row>
    <row r="318" spans="2:9" x14ac:dyDescent="0.25">
      <c r="B318" s="624">
        <v>42537</v>
      </c>
      <c r="C318" s="386">
        <v>9278</v>
      </c>
      <c r="D318" s="626">
        <v>17.0168</v>
      </c>
      <c r="E318" s="366">
        <v>12.67</v>
      </c>
      <c r="F318" s="366">
        <f t="shared" si="130"/>
        <v>-40329.610399999998</v>
      </c>
      <c r="G318" s="366">
        <f t="shared" si="131"/>
        <v>157881.87039999999</v>
      </c>
      <c r="H318" s="367">
        <f t="shared" si="132"/>
        <v>-0.25544168116214566</v>
      </c>
      <c r="I318" s="366"/>
    </row>
    <row r="319" spans="2:9" x14ac:dyDescent="0.25">
      <c r="B319" s="624">
        <v>42538</v>
      </c>
      <c r="C319" s="386">
        <v>9278</v>
      </c>
      <c r="D319" s="626">
        <v>17.0061</v>
      </c>
      <c r="E319" s="366">
        <v>13.16</v>
      </c>
      <c r="F319" s="366">
        <f t="shared" si="130"/>
        <v>-35684.1158</v>
      </c>
      <c r="G319" s="366">
        <f t="shared" si="131"/>
        <v>157782.59580000001</v>
      </c>
      <c r="H319" s="367">
        <f t="shared" si="132"/>
        <v>-0.2261600249322302</v>
      </c>
      <c r="I319" s="366"/>
    </row>
    <row r="320" spans="2:9" x14ac:dyDescent="0.25">
      <c r="B320" s="624">
        <v>42541</v>
      </c>
      <c r="C320" s="365">
        <v>7678</v>
      </c>
      <c r="D320" s="625">
        <v>17.568000000000001</v>
      </c>
      <c r="E320" s="366">
        <v>14.48</v>
      </c>
      <c r="F320" s="366">
        <f t="shared" si="130"/>
        <v>-23709.664000000008</v>
      </c>
      <c r="G320" s="366">
        <f t="shared" si="131"/>
        <v>134887.10400000002</v>
      </c>
      <c r="H320" s="368">
        <f t="shared" si="132"/>
        <v>-0.17577413479052828</v>
      </c>
      <c r="I320" s="366"/>
    </row>
    <row r="321" spans="2:14" ht="15" customHeight="1" x14ac:dyDescent="0.25">
      <c r="B321" s="624">
        <v>42542</v>
      </c>
      <c r="C321" s="365">
        <v>6800</v>
      </c>
      <c r="D321" s="625">
        <v>17.892099999999999</v>
      </c>
      <c r="E321" s="366">
        <v>15.09</v>
      </c>
      <c r="F321" s="366">
        <f t="shared" si="130"/>
        <v>-19054.279999999995</v>
      </c>
      <c r="G321" s="366">
        <f t="shared" si="131"/>
        <v>121666.28</v>
      </c>
      <c r="H321" s="368">
        <f t="shared" si="132"/>
        <v>-0.15661101827063337</v>
      </c>
      <c r="I321" s="366"/>
    </row>
    <row r="322" spans="2:14" x14ac:dyDescent="0.25">
      <c r="B322" s="624">
        <v>42543</v>
      </c>
      <c r="C322" s="365">
        <v>7300</v>
      </c>
      <c r="D322" s="625">
        <v>17.6769</v>
      </c>
      <c r="E322" s="366">
        <v>14.75</v>
      </c>
      <c r="F322" s="366">
        <f t="shared" ref="F322:F330" si="133">C322*(E322-D322)</f>
        <v>-21366.37</v>
      </c>
      <c r="G322" s="366">
        <f t="shared" ref="G322:G330" si="134">IF(C322=0, 0,D322*C322)</f>
        <v>129041.37</v>
      </c>
      <c r="H322" s="368">
        <f t="shared" ref="H322:H330" si="135">IF(C322=0, D322, (E322-D322)/D322)</f>
        <v>-0.16557767481854849</v>
      </c>
      <c r="I322" s="366"/>
    </row>
    <row r="323" spans="2:14" x14ac:dyDescent="0.25">
      <c r="B323" s="624">
        <v>42544</v>
      </c>
      <c r="C323" s="365">
        <v>6800</v>
      </c>
      <c r="D323" s="625">
        <v>17.856100000000001</v>
      </c>
      <c r="E323" s="366">
        <v>15.27</v>
      </c>
      <c r="F323" s="366">
        <f t="shared" si="133"/>
        <v>-17585.480000000014</v>
      </c>
      <c r="G323" s="366">
        <f t="shared" si="134"/>
        <v>121421.48000000001</v>
      </c>
      <c r="H323" s="368">
        <f t="shared" si="135"/>
        <v>-0.1448300580753917</v>
      </c>
      <c r="I323" s="366"/>
    </row>
    <row r="324" spans="2:14" x14ac:dyDescent="0.25">
      <c r="B324" s="624">
        <v>42545</v>
      </c>
      <c r="C324" s="365">
        <v>7678</v>
      </c>
      <c r="D324" s="625">
        <v>17.462</v>
      </c>
      <c r="E324" s="366">
        <v>14.41</v>
      </c>
      <c r="F324" s="366">
        <f t="shared" si="133"/>
        <v>-23433.255999999998</v>
      </c>
      <c r="G324" s="366">
        <f t="shared" si="134"/>
        <v>134073.236</v>
      </c>
      <c r="H324" s="368">
        <f t="shared" si="135"/>
        <v>-0.17477952124613444</v>
      </c>
      <c r="I324" s="366"/>
    </row>
    <row r="325" spans="2:14" x14ac:dyDescent="0.25">
      <c r="B325" s="624">
        <v>42545</v>
      </c>
      <c r="C325" s="365">
        <v>8013</v>
      </c>
      <c r="D325" s="625">
        <v>17.32</v>
      </c>
      <c r="E325" s="366">
        <v>14.68</v>
      </c>
      <c r="F325" s="366">
        <f t="shared" si="133"/>
        <v>-21154.320000000003</v>
      </c>
      <c r="G325" s="366">
        <f t="shared" si="134"/>
        <v>138785.16</v>
      </c>
      <c r="H325" s="368">
        <f t="shared" si="135"/>
        <v>-0.15242494226327949</v>
      </c>
      <c r="I325" s="366"/>
    </row>
    <row r="326" spans="2:14" x14ac:dyDescent="0.25">
      <c r="B326" s="624">
        <v>42548</v>
      </c>
      <c r="C326" s="365">
        <v>8978</v>
      </c>
      <c r="D326" s="625">
        <v>16.943300000000001</v>
      </c>
      <c r="E326" s="366">
        <v>13.66</v>
      </c>
      <c r="F326" s="366">
        <f t="shared" si="133"/>
        <v>-29477.467400000005</v>
      </c>
      <c r="G326" s="366">
        <f t="shared" si="134"/>
        <v>152116.9474</v>
      </c>
      <c r="H326" s="368">
        <f t="shared" si="135"/>
        <v>-0.19378161279089673</v>
      </c>
      <c r="I326" s="366"/>
    </row>
    <row r="327" spans="2:14" x14ac:dyDescent="0.25">
      <c r="B327" s="624">
        <v>42548</v>
      </c>
      <c r="C327" s="365">
        <v>9278</v>
      </c>
      <c r="D327" s="625">
        <v>16.834599999999998</v>
      </c>
      <c r="E327" s="366">
        <v>13.66</v>
      </c>
      <c r="F327" s="366">
        <f t="shared" si="133"/>
        <v>-29453.938799999982</v>
      </c>
      <c r="G327" s="366">
        <f t="shared" si="134"/>
        <v>156191.41879999998</v>
      </c>
      <c r="H327" s="367">
        <f t="shared" si="135"/>
        <v>-0.18857590913951019</v>
      </c>
      <c r="I327" s="366"/>
    </row>
    <row r="328" spans="2:14" x14ac:dyDescent="0.25">
      <c r="B328" s="624">
        <v>42549</v>
      </c>
      <c r="C328" s="365">
        <v>8178</v>
      </c>
      <c r="D328" s="625">
        <v>17.124400000000001</v>
      </c>
      <c r="E328" s="366">
        <v>14.78</v>
      </c>
      <c r="F328" s="366">
        <f t="shared" si="133"/>
        <v>-19172.503200000017</v>
      </c>
      <c r="G328" s="366">
        <f t="shared" si="134"/>
        <v>140043.3432</v>
      </c>
      <c r="H328" s="367">
        <f t="shared" si="135"/>
        <v>-0.13690406671182651</v>
      </c>
      <c r="I328" s="366">
        <v>17</v>
      </c>
    </row>
    <row r="329" spans="2:14" x14ac:dyDescent="0.25">
      <c r="B329" s="624">
        <v>42552</v>
      </c>
      <c r="C329" s="365">
        <v>7678</v>
      </c>
      <c r="D329" s="625">
        <v>17.2315</v>
      </c>
      <c r="E329" s="366">
        <v>15.48</v>
      </c>
      <c r="F329" s="366">
        <f t="shared" si="133"/>
        <v>-13448.017</v>
      </c>
      <c r="G329" s="366">
        <f t="shared" si="134"/>
        <v>132303.45699999999</v>
      </c>
      <c r="H329" s="367">
        <f t="shared" si="135"/>
        <v>-0.1016452427240809</v>
      </c>
      <c r="I329" s="366">
        <v>17</v>
      </c>
      <c r="N329" s="29"/>
    </row>
    <row r="330" spans="2:14" x14ac:dyDescent="0.25">
      <c r="B330" s="624">
        <v>42552</v>
      </c>
      <c r="C330" s="365">
        <v>7300</v>
      </c>
      <c r="D330" s="625">
        <v>17.313400000000001</v>
      </c>
      <c r="E330" s="366">
        <v>15.65</v>
      </c>
      <c r="F330" s="366">
        <f t="shared" si="133"/>
        <v>-12142.820000000009</v>
      </c>
      <c r="G330" s="366">
        <f t="shared" si="134"/>
        <v>126387.82</v>
      </c>
      <c r="H330" s="367">
        <f t="shared" si="135"/>
        <v>-9.6075871868032903E-2</v>
      </c>
      <c r="I330" s="366"/>
    </row>
    <row r="331" spans="2:14" x14ac:dyDescent="0.25">
      <c r="B331" s="624">
        <v>42552</v>
      </c>
      <c r="C331" s="365">
        <v>6800</v>
      </c>
      <c r="D331" s="625">
        <v>17.446100000000001</v>
      </c>
      <c r="E331" s="366">
        <v>15.7</v>
      </c>
      <c r="F331" s="366">
        <f t="shared" ref="F331:F352" si="136">C331*(E331-D331)</f>
        <v>-11873.480000000014</v>
      </c>
      <c r="G331" s="366">
        <f t="shared" ref="G331:G352" si="137">IF(C331=0, 0,D331*C331)</f>
        <v>118633.48000000001</v>
      </c>
      <c r="H331" s="367">
        <f t="shared" ref="H331:H352" si="138">IF(C331=0, D331, (E331-D331)/D331)</f>
        <v>-0.10008540590733757</v>
      </c>
      <c r="I331" s="366"/>
    </row>
    <row r="332" spans="2:14" x14ac:dyDescent="0.25">
      <c r="B332" s="624">
        <v>42552</v>
      </c>
      <c r="C332" s="365">
        <v>6000</v>
      </c>
      <c r="D332" s="625">
        <v>17.668199999999999</v>
      </c>
      <c r="E332" s="366">
        <v>15.68</v>
      </c>
      <c r="F332" s="366">
        <f t="shared" si="136"/>
        <v>-11929.199999999995</v>
      </c>
      <c r="G332" s="366">
        <f t="shared" si="137"/>
        <v>106009.2</v>
      </c>
      <c r="H332" s="367">
        <f t="shared" si="138"/>
        <v>-0.11252985589929926</v>
      </c>
      <c r="I332" s="366"/>
    </row>
    <row r="333" spans="2:14" x14ac:dyDescent="0.25">
      <c r="B333" s="624">
        <v>42556</v>
      </c>
      <c r="C333" s="365">
        <v>8178</v>
      </c>
      <c r="D333" s="625">
        <v>16.978899999999999</v>
      </c>
      <c r="E333" s="366">
        <v>14.72</v>
      </c>
      <c r="F333" s="366">
        <f t="shared" si="136"/>
        <v>-18473.284199999991</v>
      </c>
      <c r="G333" s="366">
        <f t="shared" si="137"/>
        <v>138853.4442</v>
      </c>
      <c r="H333" s="367">
        <f t="shared" si="138"/>
        <v>-0.13304159869013887</v>
      </c>
      <c r="I333" s="366">
        <v>16.75</v>
      </c>
    </row>
    <row r="334" spans="2:14" x14ac:dyDescent="0.25">
      <c r="B334" s="624">
        <v>42556</v>
      </c>
      <c r="C334" s="365">
        <v>8678</v>
      </c>
      <c r="D334" s="625">
        <v>16.843</v>
      </c>
      <c r="E334" s="366">
        <v>14.72</v>
      </c>
      <c r="F334" s="366">
        <f t="shared" si="136"/>
        <v>-18423.393999999993</v>
      </c>
      <c r="G334" s="366">
        <f t="shared" si="137"/>
        <v>146163.554</v>
      </c>
      <c r="H334" s="367">
        <f t="shared" si="138"/>
        <v>-0.12604642878347083</v>
      </c>
      <c r="I334" s="366"/>
    </row>
    <row r="335" spans="2:14" x14ac:dyDescent="0.25">
      <c r="B335" s="624">
        <v>42557</v>
      </c>
      <c r="C335" s="365">
        <v>8178</v>
      </c>
      <c r="D335" s="625">
        <v>16.960599999999999</v>
      </c>
      <c r="E335" s="366">
        <v>14.84</v>
      </c>
      <c r="F335" s="366">
        <f t="shared" si="136"/>
        <v>-17342.266799999998</v>
      </c>
      <c r="G335" s="366">
        <f t="shared" si="137"/>
        <v>138703.7868</v>
      </c>
      <c r="H335" s="367">
        <f t="shared" si="138"/>
        <v>-0.12503095409360515</v>
      </c>
      <c r="I335" s="366">
        <v>16.75</v>
      </c>
    </row>
    <row r="336" spans="2:14" x14ac:dyDescent="0.25">
      <c r="B336" s="624">
        <v>42557</v>
      </c>
      <c r="C336" s="365">
        <v>8678</v>
      </c>
      <c r="D336" s="625">
        <v>16.835000000000001</v>
      </c>
      <c r="E336" s="366">
        <v>14.84</v>
      </c>
      <c r="F336" s="366">
        <f t="shared" si="136"/>
        <v>-17312.610000000008</v>
      </c>
      <c r="G336" s="366">
        <f t="shared" si="137"/>
        <v>146094.13</v>
      </c>
      <c r="H336" s="367">
        <f t="shared" si="138"/>
        <v>-0.11850311850311855</v>
      </c>
      <c r="I336" s="366"/>
    </row>
    <row r="337" spans="2:9" x14ac:dyDescent="0.25">
      <c r="B337" s="624">
        <v>42559</v>
      </c>
      <c r="C337" s="365">
        <v>8678</v>
      </c>
      <c r="D337" s="625">
        <v>16.835000000000001</v>
      </c>
      <c r="E337" s="366">
        <v>14.92</v>
      </c>
      <c r="F337" s="366">
        <f t="shared" si="136"/>
        <v>-16618.370000000006</v>
      </c>
      <c r="G337" s="366">
        <f t="shared" si="137"/>
        <v>146094.13</v>
      </c>
      <c r="H337" s="367">
        <f t="shared" si="138"/>
        <v>-0.1137511137511138</v>
      </c>
      <c r="I337" s="366"/>
    </row>
    <row r="338" spans="2:9" x14ac:dyDescent="0.25">
      <c r="B338" s="624">
        <v>42562</v>
      </c>
      <c r="C338" s="365">
        <v>8678</v>
      </c>
      <c r="D338" s="625">
        <v>16.835000000000001</v>
      </c>
      <c r="E338" s="366">
        <v>14.69</v>
      </c>
      <c r="F338" s="366">
        <f t="shared" si="136"/>
        <v>-18614.310000000012</v>
      </c>
      <c r="G338" s="366">
        <f t="shared" si="137"/>
        <v>146094.13</v>
      </c>
      <c r="H338" s="367">
        <f t="shared" si="138"/>
        <v>-0.12741312741312749</v>
      </c>
      <c r="I338" s="366"/>
    </row>
    <row r="339" spans="2:9" x14ac:dyDescent="0.25">
      <c r="B339" s="624">
        <v>42563</v>
      </c>
      <c r="C339" s="365">
        <v>8678</v>
      </c>
      <c r="D339" s="625">
        <v>16.835000000000001</v>
      </c>
      <c r="E339" s="366">
        <v>15.6</v>
      </c>
      <c r="F339" s="366">
        <f t="shared" si="136"/>
        <v>-10717.330000000011</v>
      </c>
      <c r="G339" s="366">
        <f t="shared" si="137"/>
        <v>146094.13</v>
      </c>
      <c r="H339" s="367">
        <f t="shared" si="138"/>
        <v>-7.3359073359073421E-2</v>
      </c>
      <c r="I339" s="366"/>
    </row>
    <row r="340" spans="2:9" x14ac:dyDescent="0.25">
      <c r="B340" s="624">
        <v>42564</v>
      </c>
      <c r="C340" s="365">
        <v>8738</v>
      </c>
      <c r="D340" s="625">
        <v>16.816099999999999</v>
      </c>
      <c r="E340" s="366">
        <v>15.29</v>
      </c>
      <c r="F340" s="366">
        <f t="shared" si="136"/>
        <v>-13335.061799999996</v>
      </c>
      <c r="G340" s="366">
        <f t="shared" si="137"/>
        <v>146939.08179999999</v>
      </c>
      <c r="H340" s="367">
        <f t="shared" si="138"/>
        <v>-9.0752314745987453E-2</v>
      </c>
      <c r="I340" s="366"/>
    </row>
    <row r="341" spans="2:9" x14ac:dyDescent="0.25">
      <c r="B341" s="624">
        <v>42566</v>
      </c>
      <c r="C341" s="365">
        <v>8738</v>
      </c>
      <c r="D341" s="625">
        <v>16.816099999999999</v>
      </c>
      <c r="E341" s="366">
        <v>15.21</v>
      </c>
      <c r="F341" s="366">
        <f t="shared" si="136"/>
        <v>-14034.101799999982</v>
      </c>
      <c r="G341" s="366">
        <f t="shared" si="137"/>
        <v>146939.08179999999</v>
      </c>
      <c r="H341" s="367">
        <f t="shared" si="138"/>
        <v>-9.5509660384988079E-2</v>
      </c>
      <c r="I341" s="366"/>
    </row>
    <row r="342" spans="2:9" x14ac:dyDescent="0.25">
      <c r="B342" s="624">
        <v>42570</v>
      </c>
      <c r="C342" s="365">
        <v>9138</v>
      </c>
      <c r="D342" s="625">
        <v>16.733499999999999</v>
      </c>
      <c r="E342" s="366">
        <v>14.75</v>
      </c>
      <c r="F342" s="366">
        <f t="shared" si="136"/>
        <v>-18125.222999999994</v>
      </c>
      <c r="G342" s="366">
        <f t="shared" si="137"/>
        <v>152910.723</v>
      </c>
      <c r="H342" s="367">
        <f t="shared" si="138"/>
        <v>-0.1185346759494427</v>
      </c>
      <c r="I342" s="366"/>
    </row>
    <row r="343" spans="2:9" x14ac:dyDescent="0.25">
      <c r="B343" s="624">
        <v>42571</v>
      </c>
      <c r="C343" s="386">
        <v>9138</v>
      </c>
      <c r="D343" s="626">
        <v>16.7227</v>
      </c>
      <c r="E343" s="366">
        <v>14.84</v>
      </c>
      <c r="F343" s="366">
        <f t="shared" si="136"/>
        <v>-17204.112599999997</v>
      </c>
      <c r="G343" s="366">
        <f t="shared" si="137"/>
        <v>152812.03260000001</v>
      </c>
      <c r="H343" s="367">
        <f t="shared" si="138"/>
        <v>-0.11258349429218965</v>
      </c>
      <c r="I343" s="366"/>
    </row>
    <row r="344" spans="2:9" x14ac:dyDescent="0.25">
      <c r="B344" s="624">
        <v>42572</v>
      </c>
      <c r="C344" s="365">
        <v>9138</v>
      </c>
      <c r="D344" s="625">
        <v>16.718900000000001</v>
      </c>
      <c r="E344" s="366">
        <v>14.42</v>
      </c>
      <c r="F344" s="366">
        <f t="shared" si="136"/>
        <v>-21007.348200000015</v>
      </c>
      <c r="G344" s="366">
        <f t="shared" si="137"/>
        <v>152777.3082</v>
      </c>
      <c r="H344" s="367">
        <f t="shared" si="138"/>
        <v>-0.13750306539305823</v>
      </c>
      <c r="I344" s="366"/>
    </row>
    <row r="345" spans="2:9" x14ac:dyDescent="0.25">
      <c r="B345" s="624">
        <v>42573</v>
      </c>
      <c r="C345" s="365">
        <v>9278</v>
      </c>
      <c r="D345" s="625">
        <v>16.679099999999998</v>
      </c>
      <c r="E345" s="366">
        <v>14.11</v>
      </c>
      <c r="F345" s="366">
        <f t="shared" si="136"/>
        <v>-23836.109799999987</v>
      </c>
      <c r="G345" s="366">
        <f t="shared" si="137"/>
        <v>154748.68979999999</v>
      </c>
      <c r="H345" s="367">
        <f t="shared" si="138"/>
        <v>-0.15403109280476759</v>
      </c>
      <c r="I345" s="366"/>
    </row>
    <row r="346" spans="2:9" x14ac:dyDescent="0.25">
      <c r="B346" s="624">
        <v>42576</v>
      </c>
      <c r="C346" s="365">
        <v>9478</v>
      </c>
      <c r="D346" s="625">
        <v>16.613099999999999</v>
      </c>
      <c r="E346" s="366">
        <v>13.58</v>
      </c>
      <c r="F346" s="366">
        <f t="shared" si="136"/>
        <v>-28747.721799999992</v>
      </c>
      <c r="G346" s="366">
        <f t="shared" si="137"/>
        <v>157458.96179999999</v>
      </c>
      <c r="H346" s="367">
        <f t="shared" si="138"/>
        <v>-0.18257278894366491</v>
      </c>
      <c r="I346" s="366"/>
    </row>
    <row r="347" spans="2:9" x14ac:dyDescent="0.25">
      <c r="B347" s="624">
        <v>42577</v>
      </c>
      <c r="C347" s="386">
        <v>9278</v>
      </c>
      <c r="D347" s="626">
        <v>16.674199999999999</v>
      </c>
      <c r="E347" s="366">
        <v>13.78</v>
      </c>
      <c r="F347" s="366">
        <f t="shared" si="136"/>
        <v>-26852.387599999998</v>
      </c>
      <c r="G347" s="366">
        <f t="shared" si="137"/>
        <v>154703.22759999998</v>
      </c>
      <c r="H347" s="367">
        <f t="shared" si="138"/>
        <v>-0.17357354475776948</v>
      </c>
      <c r="I347" s="366">
        <v>16.53</v>
      </c>
    </row>
    <row r="348" spans="2:9" x14ac:dyDescent="0.25">
      <c r="B348" s="624">
        <v>42578</v>
      </c>
      <c r="C348" s="386">
        <v>9478</v>
      </c>
      <c r="D348" s="626">
        <v>16.6004</v>
      </c>
      <c r="E348" s="366">
        <v>13.13</v>
      </c>
      <c r="F348" s="366">
        <f t="shared" si="136"/>
        <v>-32892.451199999996</v>
      </c>
      <c r="G348" s="366">
        <f t="shared" si="137"/>
        <v>157338.5912</v>
      </c>
      <c r="H348" s="367">
        <f t="shared" si="138"/>
        <v>-0.20905520348907253</v>
      </c>
      <c r="I348" s="366"/>
    </row>
    <row r="349" spans="2:9" x14ac:dyDescent="0.25">
      <c r="B349" s="624">
        <v>42580</v>
      </c>
      <c r="C349" s="365">
        <v>9478</v>
      </c>
      <c r="D349" s="625">
        <v>16.599</v>
      </c>
      <c r="E349" s="366">
        <v>13.64</v>
      </c>
      <c r="F349" s="366">
        <f t="shared" si="136"/>
        <v>-28045.401999999998</v>
      </c>
      <c r="G349" s="366">
        <f t="shared" si="137"/>
        <v>157325.32200000001</v>
      </c>
      <c r="H349" s="368">
        <f t="shared" si="138"/>
        <v>-0.17826375082836313</v>
      </c>
      <c r="I349" s="366"/>
    </row>
    <row r="350" spans="2:9" x14ac:dyDescent="0.25">
      <c r="B350" s="624">
        <v>42580</v>
      </c>
      <c r="C350" s="365">
        <v>9278</v>
      </c>
      <c r="D350" s="625">
        <v>16.664000000000001</v>
      </c>
      <c r="E350" s="366">
        <v>13.64</v>
      </c>
      <c r="F350" s="366">
        <f t="shared" si="136"/>
        <v>-28056.67200000001</v>
      </c>
      <c r="G350" s="366">
        <f t="shared" si="137"/>
        <v>154608.592</v>
      </c>
      <c r="H350" s="368">
        <f t="shared" si="138"/>
        <v>-0.18146903504560732</v>
      </c>
      <c r="I350" s="366">
        <v>16.53</v>
      </c>
    </row>
    <row r="351" spans="2:9" x14ac:dyDescent="0.25">
      <c r="B351" s="624">
        <v>42583</v>
      </c>
      <c r="C351" s="365">
        <v>9478</v>
      </c>
      <c r="D351" s="625">
        <v>16.5871</v>
      </c>
      <c r="E351" s="366">
        <v>12.92</v>
      </c>
      <c r="F351" s="366">
        <f t="shared" si="136"/>
        <v>-34756.773799999995</v>
      </c>
      <c r="G351" s="366">
        <f t="shared" si="137"/>
        <v>157212.5338</v>
      </c>
      <c r="H351" s="368">
        <f t="shared" si="138"/>
        <v>-0.22108144280796521</v>
      </c>
      <c r="I351" s="366"/>
    </row>
    <row r="352" spans="2:9" x14ac:dyDescent="0.25">
      <c r="B352" s="624">
        <v>42584</v>
      </c>
      <c r="C352" s="365">
        <v>9678</v>
      </c>
      <c r="D352" s="625">
        <v>16.5063</v>
      </c>
      <c r="E352" s="366">
        <v>12.9</v>
      </c>
      <c r="F352" s="366">
        <f t="shared" si="136"/>
        <v>-34901.771399999991</v>
      </c>
      <c r="G352" s="366">
        <f t="shared" si="137"/>
        <v>159747.97140000001</v>
      </c>
      <c r="H352" s="368">
        <f t="shared" si="138"/>
        <v>-0.21848021664455386</v>
      </c>
      <c r="I352" s="366"/>
    </row>
    <row r="353" spans="2:9" ht="15" customHeight="1" x14ac:dyDescent="0.25">
      <c r="B353" s="624">
        <v>42585</v>
      </c>
      <c r="C353" s="365">
        <v>10078</v>
      </c>
      <c r="D353" s="625">
        <v>16.5063</v>
      </c>
      <c r="E353" s="366">
        <v>12.9</v>
      </c>
      <c r="F353" s="366">
        <f t="shared" ref="F353:F368" si="139">C353*(E353-D353)</f>
        <v>-36344.291399999995</v>
      </c>
      <c r="G353" s="366">
        <f t="shared" ref="G353:G368" si="140">IF(C353=0, 0,D353*C353)</f>
        <v>166350.4914</v>
      </c>
      <c r="H353" s="368">
        <f t="shared" ref="H353:H368" si="141">IF(C353=0, D353, (E353-D353)/D353)</f>
        <v>-0.21848021664455386</v>
      </c>
      <c r="I353" s="366"/>
    </row>
    <row r="354" spans="2:9" x14ac:dyDescent="0.25">
      <c r="B354" s="624">
        <v>42586</v>
      </c>
      <c r="C354" s="365">
        <v>9678</v>
      </c>
      <c r="D354" s="625">
        <v>16.489799999999999</v>
      </c>
      <c r="E354" s="366">
        <v>13.41</v>
      </c>
      <c r="F354" s="366">
        <f t="shared" si="139"/>
        <v>-29806.304399999986</v>
      </c>
      <c r="G354" s="366">
        <f t="shared" si="140"/>
        <v>159588.28439999997</v>
      </c>
      <c r="H354" s="368">
        <f t="shared" si="141"/>
        <v>-0.1867700032747516</v>
      </c>
      <c r="I354" s="366"/>
    </row>
    <row r="355" spans="2:9" x14ac:dyDescent="0.25">
      <c r="B355" s="624">
        <v>42586</v>
      </c>
      <c r="C355" s="365">
        <v>9278</v>
      </c>
      <c r="D355" s="625">
        <v>16.609200000000001</v>
      </c>
      <c r="E355" s="366">
        <v>13.66</v>
      </c>
      <c r="F355" s="366">
        <f t="shared" si="139"/>
        <v>-27362.67760000001</v>
      </c>
      <c r="G355" s="366">
        <f t="shared" si="140"/>
        <v>154100.15760000001</v>
      </c>
      <c r="H355" s="368">
        <f t="shared" si="141"/>
        <v>-0.17756424150470829</v>
      </c>
      <c r="I355" s="366">
        <v>16.53</v>
      </c>
    </row>
    <row r="356" spans="2:9" x14ac:dyDescent="0.25">
      <c r="B356" s="624">
        <v>42586</v>
      </c>
      <c r="C356" s="365">
        <v>9138</v>
      </c>
      <c r="D356" s="625">
        <v>16.6511</v>
      </c>
      <c r="E356" s="366">
        <v>13.87</v>
      </c>
      <c r="F356" s="366">
        <f t="shared" si="139"/>
        <v>-25413.691800000004</v>
      </c>
      <c r="G356" s="366">
        <f t="shared" si="140"/>
        <v>152157.7518</v>
      </c>
      <c r="H356" s="367">
        <f t="shared" si="141"/>
        <v>-0.1670219985466426</v>
      </c>
      <c r="I356" s="366"/>
    </row>
    <row r="357" spans="2:9" x14ac:dyDescent="0.25">
      <c r="B357" s="624">
        <v>42593</v>
      </c>
      <c r="C357" s="365">
        <v>8678</v>
      </c>
      <c r="D357" s="625">
        <v>16.760300000000001</v>
      </c>
      <c r="E357" s="366">
        <v>14.61</v>
      </c>
      <c r="F357" s="366">
        <f t="shared" si="139"/>
        <v>-18660.303400000012</v>
      </c>
      <c r="G357" s="366">
        <f t="shared" si="140"/>
        <v>145445.88340000002</v>
      </c>
      <c r="H357" s="367">
        <f t="shared" si="141"/>
        <v>-0.12829722618330228</v>
      </c>
      <c r="I357" s="366"/>
    </row>
    <row r="358" spans="2:9" x14ac:dyDescent="0.25">
      <c r="B358" s="624">
        <v>42597</v>
      </c>
      <c r="C358" s="365">
        <v>8678</v>
      </c>
      <c r="D358" s="625">
        <v>16.7471</v>
      </c>
      <c r="E358" s="366">
        <v>14.9</v>
      </c>
      <c r="F358" s="366">
        <f t="shared" si="139"/>
        <v>-16029.133799999994</v>
      </c>
      <c r="G358" s="366">
        <f t="shared" si="140"/>
        <v>145331.33379999999</v>
      </c>
      <c r="H358" s="367">
        <f t="shared" si="141"/>
        <v>-0.11029372249523794</v>
      </c>
      <c r="I358" s="366"/>
    </row>
    <row r="359" spans="2:9" x14ac:dyDescent="0.25">
      <c r="B359" s="624">
        <v>42598</v>
      </c>
      <c r="C359" s="365">
        <v>8178</v>
      </c>
      <c r="D359" s="625">
        <v>16.8429</v>
      </c>
      <c r="E359" s="366">
        <v>15.17</v>
      </c>
      <c r="F359" s="366">
        <f t="shared" si="139"/>
        <v>-13680.976200000003</v>
      </c>
      <c r="G359" s="366">
        <f t="shared" si="140"/>
        <v>137741.23620000001</v>
      </c>
      <c r="H359" s="367">
        <f t="shared" si="141"/>
        <v>-9.9323750660515728E-2</v>
      </c>
      <c r="I359" s="366">
        <v>16.75</v>
      </c>
    </row>
    <row r="360" spans="2:9" x14ac:dyDescent="0.25">
      <c r="B360" s="624">
        <v>42599</v>
      </c>
      <c r="C360" s="365">
        <v>7178</v>
      </c>
      <c r="D360" s="625">
        <v>17.009899999999998</v>
      </c>
      <c r="E360" s="366">
        <v>15.7</v>
      </c>
      <c r="F360" s="366">
        <f t="shared" si="139"/>
        <v>-9402.4621999999927</v>
      </c>
      <c r="G360" s="366">
        <f t="shared" si="140"/>
        <v>122097.06219999999</v>
      </c>
      <c r="H360" s="367">
        <f t="shared" si="141"/>
        <v>-7.7008095285686515E-2</v>
      </c>
      <c r="I360" s="366"/>
    </row>
    <row r="361" spans="2:9" x14ac:dyDescent="0.25">
      <c r="B361" s="624">
        <v>42600</v>
      </c>
      <c r="C361" s="365">
        <v>5500</v>
      </c>
      <c r="D361" s="625">
        <v>17.185600000000001</v>
      </c>
      <c r="E361" s="366">
        <v>16.68</v>
      </c>
      <c r="F361" s="366">
        <f t="shared" si="139"/>
        <v>-2780.8000000000065</v>
      </c>
      <c r="G361" s="366">
        <f t="shared" si="140"/>
        <v>94520.8</v>
      </c>
      <c r="H361" s="367">
        <f t="shared" si="141"/>
        <v>-2.9419979517735846E-2</v>
      </c>
      <c r="I361" s="366"/>
    </row>
    <row r="362" spans="2:9" x14ac:dyDescent="0.25">
      <c r="B362" s="624">
        <v>42601</v>
      </c>
      <c r="C362" s="365">
        <v>5000</v>
      </c>
      <c r="D362" s="625">
        <v>17.222200000000001</v>
      </c>
      <c r="E362" s="366">
        <v>16.8</v>
      </c>
      <c r="F362" s="366">
        <f t="shared" si="139"/>
        <v>-2111.0000000000005</v>
      </c>
      <c r="G362" s="366">
        <f t="shared" si="140"/>
        <v>86111</v>
      </c>
      <c r="H362" s="367">
        <f t="shared" si="141"/>
        <v>-2.4514870341768188E-2</v>
      </c>
      <c r="I362" s="366"/>
    </row>
    <row r="363" spans="2:9" x14ac:dyDescent="0.25">
      <c r="B363" s="624">
        <v>42604</v>
      </c>
      <c r="C363" s="365">
        <v>6000</v>
      </c>
      <c r="D363" s="625">
        <v>16.9651</v>
      </c>
      <c r="E363" s="366">
        <v>15.64</v>
      </c>
      <c r="F363" s="366">
        <f t="shared" si="139"/>
        <v>-7950.599999999994</v>
      </c>
      <c r="G363" s="366">
        <f t="shared" si="140"/>
        <v>101790.59999999999</v>
      </c>
      <c r="H363" s="367">
        <f t="shared" si="141"/>
        <v>-7.8107408739117312E-2</v>
      </c>
      <c r="I363" s="366"/>
    </row>
    <row r="364" spans="2:9" ht="15" customHeight="1" x14ac:dyDescent="0.25">
      <c r="B364" s="624">
        <v>42604</v>
      </c>
      <c r="C364" s="365">
        <v>6500</v>
      </c>
      <c r="D364" s="625">
        <v>16.850899999999999</v>
      </c>
      <c r="E364" s="366">
        <v>15.64</v>
      </c>
      <c r="F364" s="366">
        <f t="shared" si="139"/>
        <v>-7870.8499999999922</v>
      </c>
      <c r="G364" s="366">
        <f t="shared" si="140"/>
        <v>109530.84999999999</v>
      </c>
      <c r="H364" s="367">
        <f t="shared" si="141"/>
        <v>-7.1859663282079822E-2</v>
      </c>
      <c r="I364" s="366"/>
    </row>
    <row r="365" spans="2:9" x14ac:dyDescent="0.25">
      <c r="B365" s="624">
        <v>42605</v>
      </c>
      <c r="C365" s="365">
        <v>6000</v>
      </c>
      <c r="D365" s="625">
        <v>16.923500000000001</v>
      </c>
      <c r="E365" s="366">
        <v>16.43</v>
      </c>
      <c r="F365" s="366">
        <f t="shared" si="139"/>
        <v>-2961.0000000000055</v>
      </c>
      <c r="G365" s="366">
        <f t="shared" si="140"/>
        <v>101541</v>
      </c>
      <c r="H365" s="367">
        <f t="shared" si="141"/>
        <v>-2.9160634620498178E-2</v>
      </c>
      <c r="I365" s="366"/>
    </row>
    <row r="366" spans="2:9" x14ac:dyDescent="0.25">
      <c r="B366" s="624">
        <v>42605</v>
      </c>
      <c r="C366" s="365">
        <v>5500</v>
      </c>
      <c r="D366" s="625">
        <v>16.9848</v>
      </c>
      <c r="E366" s="366">
        <v>16.43</v>
      </c>
      <c r="F366" s="366">
        <f t="shared" si="139"/>
        <v>-3051.400000000001</v>
      </c>
      <c r="G366" s="366">
        <f t="shared" si="140"/>
        <v>93416.4</v>
      </c>
      <c r="H366" s="367">
        <f t="shared" si="141"/>
        <v>-3.266450002355048E-2</v>
      </c>
      <c r="I366" s="366"/>
    </row>
    <row r="367" spans="2:9" x14ac:dyDescent="0.25">
      <c r="B367" s="624">
        <v>42605</v>
      </c>
      <c r="C367" s="365">
        <v>5000</v>
      </c>
      <c r="D367" s="625">
        <v>17.035299999999999</v>
      </c>
      <c r="E367" s="366">
        <v>16.43</v>
      </c>
      <c r="F367" s="366">
        <f t="shared" si="139"/>
        <v>-3026.4999999999986</v>
      </c>
      <c r="G367" s="366">
        <f t="shared" si="140"/>
        <v>85176.5</v>
      </c>
      <c r="H367" s="367">
        <f t="shared" si="141"/>
        <v>-3.5532100990296606E-2</v>
      </c>
      <c r="I367" s="366"/>
    </row>
    <row r="368" spans="2:9" x14ac:dyDescent="0.25">
      <c r="B368" s="624">
        <v>42606</v>
      </c>
      <c r="C368" s="365">
        <v>5178</v>
      </c>
      <c r="D368" s="625">
        <v>17.0017</v>
      </c>
      <c r="E368" s="366">
        <v>16.059999999999999</v>
      </c>
      <c r="F368" s="366">
        <f t="shared" si="139"/>
        <v>-4876.1226000000042</v>
      </c>
      <c r="G368" s="366">
        <f t="shared" si="140"/>
        <v>88034.802599999995</v>
      </c>
      <c r="H368" s="367">
        <f t="shared" si="141"/>
        <v>-5.5388578789179958E-2</v>
      </c>
      <c r="I368" s="366"/>
    </row>
    <row r="369" spans="2:9" x14ac:dyDescent="0.25">
      <c r="B369" s="624">
        <v>42607</v>
      </c>
      <c r="C369" s="365">
        <v>5178</v>
      </c>
      <c r="D369" s="625">
        <v>17.0017</v>
      </c>
      <c r="E369" s="366">
        <v>16.010000000000002</v>
      </c>
      <c r="F369" s="366">
        <f>C369*(E369-D369)</f>
        <v>-5135.0225999999902</v>
      </c>
      <c r="G369" s="366">
        <f>IF(C369=0, 0,D369*C369)</f>
        <v>88034.802599999995</v>
      </c>
      <c r="H369" s="367">
        <f>IF(C369=0, D369, (E369-D369)/D369)</f>
        <v>-5.8329461171529789E-2</v>
      </c>
      <c r="I369" s="366"/>
    </row>
    <row r="370" spans="2:9" x14ac:dyDescent="0.25">
      <c r="B370" s="624">
        <v>42608</v>
      </c>
      <c r="C370" s="365">
        <v>6178</v>
      </c>
      <c r="D370" s="625">
        <v>16.825800000000001</v>
      </c>
      <c r="E370" s="366">
        <v>15.95</v>
      </c>
      <c r="F370" s="366">
        <f>C370*(E370-D370)</f>
        <v>-5410.6924000000108</v>
      </c>
      <c r="G370" s="366">
        <f>IF(C370=0, 0,D370*C370)</f>
        <v>103949.79240000001</v>
      </c>
      <c r="H370" s="367">
        <f>IF(C370=0, D370, (E370-D370)/D370)</f>
        <v>-5.2051016890727435E-2</v>
      </c>
      <c r="I370" s="366"/>
    </row>
    <row r="371" spans="2:9" x14ac:dyDescent="0.25">
      <c r="B371" s="624">
        <v>42611</v>
      </c>
      <c r="C371" s="365">
        <v>6178</v>
      </c>
      <c r="D371" s="625">
        <v>16.825800000000001</v>
      </c>
      <c r="E371" s="366">
        <v>15.99</v>
      </c>
      <c r="F371" s="366">
        <f t="shared" ref="F371:F376" si="142">C371*(E371-D371)</f>
        <v>-5163.5724000000046</v>
      </c>
      <c r="G371" s="366">
        <f t="shared" ref="G371:G376" si="143">IF(C371=0, 0,D371*C371)</f>
        <v>103949.79240000001</v>
      </c>
      <c r="H371" s="367">
        <f t="shared" ref="H371:H376" si="144">IF(C371=0, D371, (E371-D371)/D371)</f>
        <v>-4.9673715365688452E-2</v>
      </c>
      <c r="I371" s="366"/>
    </row>
    <row r="372" spans="2:9" x14ac:dyDescent="0.25">
      <c r="B372" s="624">
        <v>42612</v>
      </c>
      <c r="C372" s="365">
        <v>6678</v>
      </c>
      <c r="D372" s="625">
        <v>16.739999999999998</v>
      </c>
      <c r="E372" s="366">
        <v>15.55</v>
      </c>
      <c r="F372" s="446">
        <f t="shared" si="142"/>
        <v>-7946.8199999999852</v>
      </c>
      <c r="G372" s="366">
        <f t="shared" si="143"/>
        <v>111789.71999999999</v>
      </c>
      <c r="H372" s="368">
        <f t="shared" si="144"/>
        <v>-7.1087216248506446E-2</v>
      </c>
      <c r="I372" s="385"/>
    </row>
    <row r="373" spans="2:9" x14ac:dyDescent="0.25">
      <c r="B373" s="624">
        <v>42612</v>
      </c>
      <c r="C373" s="365">
        <v>7178</v>
      </c>
      <c r="D373" s="625">
        <v>16.6571</v>
      </c>
      <c r="E373" s="366">
        <v>15.55</v>
      </c>
      <c r="F373" s="366">
        <f t="shared" si="142"/>
        <v>-7946.7637999999934</v>
      </c>
      <c r="G373" s="366">
        <f t="shared" si="143"/>
        <v>119564.66379999999</v>
      </c>
      <c r="H373" s="367">
        <f t="shared" si="144"/>
        <v>-6.6464150422342369E-2</v>
      </c>
      <c r="I373" s="366"/>
    </row>
    <row r="374" spans="2:9" x14ac:dyDescent="0.25">
      <c r="B374" s="624">
        <v>42613</v>
      </c>
      <c r="C374" s="365">
        <v>7678</v>
      </c>
      <c r="D374" s="625">
        <v>16.565200000000001</v>
      </c>
      <c r="E374" s="366">
        <v>15.02</v>
      </c>
      <c r="F374" s="366">
        <f t="shared" si="142"/>
        <v>-11864.04560000001</v>
      </c>
      <c r="G374" s="366">
        <f t="shared" si="143"/>
        <v>127187.60560000001</v>
      </c>
      <c r="H374" s="367">
        <f t="shared" si="144"/>
        <v>-9.3279887957887692E-2</v>
      </c>
      <c r="I374" s="366" t="s">
        <v>259</v>
      </c>
    </row>
    <row r="375" spans="2:9" x14ac:dyDescent="0.25">
      <c r="B375" s="624">
        <v>42613</v>
      </c>
      <c r="C375" s="365">
        <v>8178</v>
      </c>
      <c r="D375" s="625">
        <v>16.474399999999999</v>
      </c>
      <c r="E375" s="366">
        <v>15.02</v>
      </c>
      <c r="F375" s="366">
        <f t="shared" si="142"/>
        <v>-11894.083199999997</v>
      </c>
      <c r="G375" s="366">
        <f t="shared" si="143"/>
        <v>134727.64319999999</v>
      </c>
      <c r="H375" s="367">
        <f t="shared" si="144"/>
        <v>-8.8282426067110162E-2</v>
      </c>
      <c r="I375" s="366" t="s">
        <v>260</v>
      </c>
    </row>
    <row r="376" spans="2:9" x14ac:dyDescent="0.25">
      <c r="B376" s="624">
        <v>42615</v>
      </c>
      <c r="C376" s="365">
        <v>7678</v>
      </c>
      <c r="D376" s="625">
        <v>16.528099999999998</v>
      </c>
      <c r="E376" s="366">
        <v>15.49</v>
      </c>
      <c r="F376" s="366">
        <f t="shared" si="142"/>
        <v>-7970.5317999999861</v>
      </c>
      <c r="G376" s="366">
        <f t="shared" si="143"/>
        <v>126902.75179999998</v>
      </c>
      <c r="H376" s="367">
        <f t="shared" si="144"/>
        <v>-6.2808187268953986E-2</v>
      </c>
      <c r="I376" s="366">
        <v>16.350000000000001</v>
      </c>
    </row>
    <row r="377" spans="2:9" x14ac:dyDescent="0.25">
      <c r="B377" s="624">
        <v>42616</v>
      </c>
      <c r="C377" s="365">
        <v>7678</v>
      </c>
      <c r="D377" s="625">
        <v>16.528099999999998</v>
      </c>
      <c r="E377" s="366">
        <v>15.64</v>
      </c>
      <c r="F377" s="366">
        <f>C377*(E377-D377)</f>
        <v>-6818.8317999999836</v>
      </c>
      <c r="G377" s="366">
        <f>IF(C377=0, 0,D377*C377)</f>
        <v>126902.75179999998</v>
      </c>
      <c r="H377" s="367">
        <f>IF(C377=0, D377, (E377-D377)/D377)</f>
        <v>-5.3732733950060681E-2</v>
      </c>
      <c r="I377" s="366"/>
    </row>
    <row r="378" spans="2:9" x14ac:dyDescent="0.25">
      <c r="B378" s="624">
        <v>42621</v>
      </c>
      <c r="C378" s="365">
        <v>7178</v>
      </c>
      <c r="D378" s="625">
        <v>16.545400000000001</v>
      </c>
      <c r="E378" s="366">
        <v>16.739999999999998</v>
      </c>
      <c r="F378" s="366">
        <f>C378*(E378-D378)</f>
        <v>1396.8387999999832</v>
      </c>
      <c r="G378" s="366">
        <f>IF(C378=0, 0,D378*C378)</f>
        <v>118762.8812</v>
      </c>
      <c r="H378" s="367">
        <f>IF(C378=0, D378, (E378-D378)/D378)</f>
        <v>1.1761577235968768E-2</v>
      </c>
      <c r="I378" s="366"/>
    </row>
    <row r="379" spans="2:9" x14ac:dyDescent="0.25">
      <c r="B379" s="624">
        <v>42621</v>
      </c>
      <c r="C379" s="386">
        <v>6678</v>
      </c>
      <c r="D379" s="626">
        <v>16.532299999999999</v>
      </c>
      <c r="E379" s="366">
        <v>16.739999999999998</v>
      </c>
      <c r="F379" s="366">
        <f>C379*(E379-D379)</f>
        <v>1387.0205999999941</v>
      </c>
      <c r="G379" s="366">
        <f>IF(C379=0, 0,D379*C379)</f>
        <v>110402.6994</v>
      </c>
      <c r="H379" s="367">
        <f>IF(C379=0, D379, (E379-D379)/D379)</f>
        <v>1.256328520532528E-2</v>
      </c>
      <c r="I379" s="366"/>
    </row>
    <row r="380" spans="2:9" x14ac:dyDescent="0.25">
      <c r="B380" s="624">
        <v>42621</v>
      </c>
      <c r="C380" s="365">
        <v>6458</v>
      </c>
      <c r="D380" s="625">
        <v>16.524263999999999</v>
      </c>
      <c r="E380" s="366">
        <v>16.739999999999998</v>
      </c>
      <c r="F380" s="366">
        <f>C380*(E380-D380)</f>
        <v>1393.2230879999981</v>
      </c>
      <c r="G380" s="366">
        <f>IF(C380=0, 0,D380*C380)</f>
        <v>106713.69691199998</v>
      </c>
      <c r="H380" s="367">
        <f>IF(C380=0, D380, (E380-D380)/D380)</f>
        <v>1.3055710075801242E-2</v>
      </c>
      <c r="I380" s="366"/>
    </row>
    <row r="381" spans="2:9" x14ac:dyDescent="0.25">
      <c r="B381" s="624">
        <v>42622</v>
      </c>
      <c r="C381" s="365">
        <v>7178</v>
      </c>
      <c r="D381" s="625">
        <v>16.477945999999999</v>
      </c>
      <c r="E381" s="366">
        <v>15.67</v>
      </c>
      <c r="F381" s="366">
        <f>C381*(E381-D381)</f>
        <v>-5799.4363879999955</v>
      </c>
      <c r="G381" s="366">
        <f>IF(C381=0, 0,D381*C381)</f>
        <v>118278.696388</v>
      </c>
      <c r="H381" s="367">
        <f>IF(C381=0, D381, (E381-D381)/D381)</f>
        <v>-4.9031960658203359E-2</v>
      </c>
      <c r="I381" s="366"/>
    </row>
    <row r="382" spans="2:9" x14ac:dyDescent="0.25">
      <c r="B382" s="624">
        <v>42622</v>
      </c>
      <c r="C382" s="365">
        <v>7678</v>
      </c>
      <c r="D382" s="625">
        <v>16.430541999999999</v>
      </c>
      <c r="E382" s="366">
        <v>15.67</v>
      </c>
      <c r="F382" s="366">
        <f t="shared" ref="F382:F388" si="145">C382*(E382-D382)</f>
        <v>-5839.4414759999936</v>
      </c>
      <c r="G382" s="366">
        <f t="shared" ref="G382:G388" si="146">IF(C382=0, 0,D382*C382)</f>
        <v>126153.70147599999</v>
      </c>
      <c r="H382" s="367">
        <f t="shared" ref="H382:H388" si="147">IF(C382=0, D382, (E382-D382)/D382)</f>
        <v>-4.6288308687564853E-2</v>
      </c>
      <c r="I382" s="366">
        <v>16.350000000000001</v>
      </c>
    </row>
    <row r="383" spans="2:9" x14ac:dyDescent="0.25">
      <c r="B383" s="624">
        <v>42625</v>
      </c>
      <c r="C383" s="386">
        <v>7678</v>
      </c>
      <c r="D383" s="626">
        <v>16.412330000000001</v>
      </c>
      <c r="E383" s="366">
        <v>15.47</v>
      </c>
      <c r="F383" s="366">
        <f t="shared" si="145"/>
        <v>-7235.2097400000011</v>
      </c>
      <c r="G383" s="366">
        <f t="shared" si="146"/>
        <v>126013.86974000001</v>
      </c>
      <c r="H383" s="367">
        <f t="shared" si="147"/>
        <v>-5.7415979327737135E-2</v>
      </c>
      <c r="I383" s="366"/>
    </row>
    <row r="384" spans="2:9" x14ac:dyDescent="0.25">
      <c r="B384" s="624">
        <v>42625</v>
      </c>
      <c r="C384" s="386">
        <v>7678</v>
      </c>
      <c r="D384" s="626">
        <v>16.355817999999999</v>
      </c>
      <c r="E384" s="366">
        <v>15.47</v>
      </c>
      <c r="F384" s="366">
        <f t="shared" si="145"/>
        <v>-6801.3106039999893</v>
      </c>
      <c r="G384" s="366">
        <f t="shared" si="146"/>
        <v>125579.970604</v>
      </c>
      <c r="H384" s="367">
        <f t="shared" si="147"/>
        <v>-5.4159198885680847E-2</v>
      </c>
      <c r="I384" s="366" t="s">
        <v>274</v>
      </c>
    </row>
    <row r="385" spans="2:9" ht="15" customHeight="1" x14ac:dyDescent="0.25">
      <c r="B385" s="624">
        <v>42626</v>
      </c>
      <c r="C385" s="365">
        <v>8278</v>
      </c>
      <c r="D385" s="625">
        <v>16.25066</v>
      </c>
      <c r="E385" s="366">
        <v>14.34</v>
      </c>
      <c r="F385" s="366">
        <f t="shared" si="145"/>
        <v>-15816.44348</v>
      </c>
      <c r="G385" s="366">
        <f t="shared" si="146"/>
        <v>134522.96348000001</v>
      </c>
      <c r="H385" s="368">
        <f t="shared" si="147"/>
        <v>-0.11757430159759666</v>
      </c>
      <c r="I385" s="366"/>
    </row>
    <row r="386" spans="2:9" x14ac:dyDescent="0.25">
      <c r="B386" s="624">
        <v>42626</v>
      </c>
      <c r="C386" s="365">
        <v>8678</v>
      </c>
      <c r="D386" s="625">
        <v>16.18149</v>
      </c>
      <c r="E386" s="366">
        <v>14.34</v>
      </c>
      <c r="F386" s="366">
        <f t="shared" si="145"/>
        <v>-15980.450220000002</v>
      </c>
      <c r="G386" s="366">
        <f t="shared" si="146"/>
        <v>140422.97021999999</v>
      </c>
      <c r="H386" s="368">
        <f t="shared" si="147"/>
        <v>-0.11380225183218605</v>
      </c>
      <c r="I386" s="366"/>
    </row>
    <row r="387" spans="2:9" x14ac:dyDescent="0.25">
      <c r="B387" s="624">
        <v>42626</v>
      </c>
      <c r="C387" s="365">
        <v>8978</v>
      </c>
      <c r="D387" s="625">
        <v>16.124635000000001</v>
      </c>
      <c r="E387" s="366">
        <v>14.34</v>
      </c>
      <c r="F387" s="366">
        <f t="shared" si="145"/>
        <v>-16022.453030000013</v>
      </c>
      <c r="G387" s="366">
        <f t="shared" si="146"/>
        <v>144766.97303000002</v>
      </c>
      <c r="H387" s="368">
        <f t="shared" si="147"/>
        <v>-0.11067754401882594</v>
      </c>
      <c r="I387" s="366"/>
    </row>
    <row r="388" spans="2:9" x14ac:dyDescent="0.25">
      <c r="B388" s="624">
        <v>42626</v>
      </c>
      <c r="C388" s="365">
        <v>9278</v>
      </c>
      <c r="D388" s="625">
        <v>16.064019999999999</v>
      </c>
      <c r="E388" s="366">
        <v>14.34</v>
      </c>
      <c r="F388" s="366">
        <f t="shared" si="145"/>
        <v>-15995.457559999995</v>
      </c>
      <c r="G388" s="366">
        <f t="shared" si="146"/>
        <v>149041.97756</v>
      </c>
      <c r="H388" s="368">
        <f t="shared" si="147"/>
        <v>-0.10732182853357998</v>
      </c>
      <c r="I388" s="366" t="s">
        <v>275</v>
      </c>
    </row>
    <row r="389" spans="2:9" x14ac:dyDescent="0.25">
      <c r="B389" s="624">
        <v>42627</v>
      </c>
      <c r="C389" s="365">
        <v>9478</v>
      </c>
      <c r="D389" s="625">
        <v>16.020790999999999</v>
      </c>
      <c r="E389" s="366">
        <v>14.01</v>
      </c>
      <c r="F389" s="366">
        <f t="shared" ref="F389:F396" si="148">C389*(E389-D389)</f>
        <v>-19058.277097999995</v>
      </c>
      <c r="G389" s="366">
        <f t="shared" ref="G389:G396" si="149">IF(C389=0, 0,D389*C389)</f>
        <v>151845.05709799999</v>
      </c>
      <c r="H389" s="368">
        <f t="shared" ref="H389:H396" si="150">IF(C389=0, D389, (E389-D389)/D389)</f>
        <v>-0.1255113433537707</v>
      </c>
      <c r="I389" s="366"/>
    </row>
    <row r="390" spans="2:9" x14ac:dyDescent="0.25">
      <c r="B390" s="624">
        <v>42628</v>
      </c>
      <c r="C390" s="365">
        <v>9478</v>
      </c>
      <c r="D390" s="625">
        <v>16.015726999999998</v>
      </c>
      <c r="E390" s="366">
        <v>14.26</v>
      </c>
      <c r="F390" s="366">
        <f t="shared" si="148"/>
        <v>-16640.780505999985</v>
      </c>
      <c r="G390" s="366">
        <f t="shared" si="149"/>
        <v>151797.06050599998</v>
      </c>
      <c r="H390" s="368">
        <f t="shared" si="150"/>
        <v>-0.1096251827968845</v>
      </c>
      <c r="I390" s="366"/>
    </row>
    <row r="391" spans="2:9" x14ac:dyDescent="0.25">
      <c r="B391" s="624">
        <v>42629</v>
      </c>
      <c r="C391" s="365">
        <v>9478</v>
      </c>
      <c r="D391" s="625">
        <v>16.015726999999998</v>
      </c>
      <c r="E391" s="366">
        <v>14.24</v>
      </c>
      <c r="F391" s="366">
        <f t="shared" si="148"/>
        <v>-16830.340505999982</v>
      </c>
      <c r="G391" s="366">
        <f t="shared" si="149"/>
        <v>151797.06050599998</v>
      </c>
      <c r="H391" s="368">
        <f t="shared" si="150"/>
        <v>-0.1108739553315312</v>
      </c>
      <c r="I391" s="366"/>
    </row>
    <row r="392" spans="2:9" x14ac:dyDescent="0.25">
      <c r="B392" s="624">
        <v>42632</v>
      </c>
      <c r="C392" s="365">
        <v>9678</v>
      </c>
      <c r="D392" s="625">
        <v>15.975311</v>
      </c>
      <c r="E392" s="366">
        <v>14.09</v>
      </c>
      <c r="F392" s="366">
        <f t="shared" si="148"/>
        <v>-18246.039857999996</v>
      </c>
      <c r="G392" s="366">
        <f t="shared" si="149"/>
        <v>154609.05985799999</v>
      </c>
      <c r="H392" s="367">
        <f t="shared" si="150"/>
        <v>-0.11801404054043141</v>
      </c>
      <c r="I392" s="366"/>
    </row>
    <row r="393" spans="2:9" x14ac:dyDescent="0.25">
      <c r="B393" s="624">
        <v>42633</v>
      </c>
      <c r="C393" s="365">
        <v>9878</v>
      </c>
      <c r="D393" s="625">
        <v>15.937544000000001</v>
      </c>
      <c r="E393" s="366">
        <v>13.87</v>
      </c>
      <c r="F393" s="366">
        <f t="shared" si="148"/>
        <v>-20423.199632000014</v>
      </c>
      <c r="G393" s="366">
        <f t="shared" si="149"/>
        <v>157431.05963200002</v>
      </c>
      <c r="H393" s="367">
        <f t="shared" si="150"/>
        <v>-0.12972789282966068</v>
      </c>
      <c r="I393" s="366"/>
    </row>
    <row r="394" spans="2:9" x14ac:dyDescent="0.25">
      <c r="B394" s="624">
        <v>42633</v>
      </c>
      <c r="C394" s="365">
        <v>10000</v>
      </c>
      <c r="D394" s="625">
        <v>15.915126000000001</v>
      </c>
      <c r="E394" s="366">
        <v>13.87</v>
      </c>
      <c r="F394" s="366">
        <f t="shared" si="148"/>
        <v>-20451.260000000017</v>
      </c>
      <c r="G394" s="366">
        <f t="shared" si="149"/>
        <v>159151.26</v>
      </c>
      <c r="H394" s="367">
        <f t="shared" si="150"/>
        <v>-0.12850203008132022</v>
      </c>
      <c r="I394" s="366"/>
    </row>
    <row r="395" spans="2:9" x14ac:dyDescent="0.25">
      <c r="B395" s="624">
        <v>42634</v>
      </c>
      <c r="C395" s="365">
        <v>9678</v>
      </c>
      <c r="D395" s="625">
        <v>15.969538999999999</v>
      </c>
      <c r="E395" s="366">
        <v>14.65</v>
      </c>
      <c r="F395" s="366">
        <f t="shared" si="148"/>
        <v>-12770.498441999989</v>
      </c>
      <c r="G395" s="366">
        <f t="shared" si="149"/>
        <v>154553.19844199999</v>
      </c>
      <c r="H395" s="367">
        <f t="shared" si="150"/>
        <v>-8.2628496664806608E-2</v>
      </c>
      <c r="I395" s="366"/>
    </row>
    <row r="396" spans="2:9" x14ac:dyDescent="0.25">
      <c r="B396" s="624">
        <v>42634</v>
      </c>
      <c r="C396" s="365">
        <v>9278</v>
      </c>
      <c r="D396" s="625">
        <v>16.026872999999998</v>
      </c>
      <c r="E396" s="366">
        <v>14.65</v>
      </c>
      <c r="F396" s="366">
        <f t="shared" si="148"/>
        <v>-12774.627693999981</v>
      </c>
      <c r="G396" s="366">
        <f t="shared" si="149"/>
        <v>148697.32769399998</v>
      </c>
      <c r="H396" s="367">
        <f t="shared" si="150"/>
        <v>-8.5910270830747718E-2</v>
      </c>
      <c r="I396" s="366">
        <v>16</v>
      </c>
    </row>
    <row r="397" spans="2:9" x14ac:dyDescent="0.25">
      <c r="B397" s="624">
        <v>42635</v>
      </c>
      <c r="C397" s="365">
        <v>9278</v>
      </c>
      <c r="D397" s="625">
        <v>16.026872999999998</v>
      </c>
      <c r="E397" s="366">
        <v>14.87</v>
      </c>
      <c r="F397" s="366">
        <f t="shared" ref="F397:F408" si="151">C397*(E397-D397)</f>
        <v>-10733.467693999992</v>
      </c>
      <c r="G397" s="366">
        <f t="shared" ref="G397:G408" si="152">IF(C397=0, 0,D397*C397)</f>
        <v>148697.32769399998</v>
      </c>
      <c r="H397" s="367">
        <f t="shared" ref="H397:H408" si="153">IF(C397=0, D397, (E397-D397)/D397)</f>
        <v>-7.2183326092369937E-2</v>
      </c>
      <c r="I397" s="366"/>
    </row>
    <row r="398" spans="2:9" x14ac:dyDescent="0.25">
      <c r="B398" s="624">
        <v>42636</v>
      </c>
      <c r="C398" s="365">
        <v>9478</v>
      </c>
      <c r="D398" s="625">
        <v>15.992122</v>
      </c>
      <c r="E398" s="366">
        <v>14.49</v>
      </c>
      <c r="F398" s="366">
        <f t="shared" si="151"/>
        <v>-14237.112315999999</v>
      </c>
      <c r="G398" s="366">
        <f t="shared" si="152"/>
        <v>151573.33231600001</v>
      </c>
      <c r="H398" s="367">
        <f t="shared" si="153"/>
        <v>-9.39288732289561E-2</v>
      </c>
      <c r="I398" s="366"/>
    </row>
    <row r="399" spans="2:9" x14ac:dyDescent="0.25">
      <c r="B399" s="624">
        <v>42639</v>
      </c>
      <c r="C399" s="365">
        <v>9278</v>
      </c>
      <c r="D399" s="625">
        <v>16.019549999999999</v>
      </c>
      <c r="E399" s="366">
        <v>14.41</v>
      </c>
      <c r="F399" s="366">
        <f t="shared" si="151"/>
        <v>-14933.404899999989</v>
      </c>
      <c r="G399" s="366">
        <f t="shared" si="152"/>
        <v>148629.38489999998</v>
      </c>
      <c r="H399" s="367">
        <f t="shared" si="153"/>
        <v>-0.10047410819904422</v>
      </c>
      <c r="I399" s="366">
        <v>16</v>
      </c>
    </row>
    <row r="400" spans="2:9" x14ac:dyDescent="0.25">
      <c r="B400" s="624">
        <v>42639</v>
      </c>
      <c r="C400" s="365">
        <v>9478</v>
      </c>
      <c r="D400" s="625">
        <v>15.987468</v>
      </c>
      <c r="E400" s="366">
        <v>14.41</v>
      </c>
      <c r="F400" s="366">
        <f t="shared" si="151"/>
        <v>-14951.241703999996</v>
      </c>
      <c r="G400" s="366">
        <f t="shared" si="152"/>
        <v>151529.221704</v>
      </c>
      <c r="H400" s="367">
        <f t="shared" si="153"/>
        <v>-9.8669032519721048E-2</v>
      </c>
      <c r="I400" s="366"/>
    </row>
    <row r="401" spans="2:9" x14ac:dyDescent="0.25">
      <c r="B401" s="624">
        <v>42639</v>
      </c>
      <c r="C401" s="365">
        <v>9678</v>
      </c>
      <c r="D401" s="625">
        <v>15.954266000000001</v>
      </c>
      <c r="E401" s="366">
        <v>14.41</v>
      </c>
      <c r="F401" s="366">
        <f t="shared" si="151"/>
        <v>-14945.406348000004</v>
      </c>
      <c r="G401" s="366">
        <f t="shared" si="152"/>
        <v>154405.386348</v>
      </c>
      <c r="H401" s="367">
        <f t="shared" si="153"/>
        <v>-9.6793296538994669E-2</v>
      </c>
      <c r="I401" s="366"/>
    </row>
    <row r="402" spans="2:9" x14ac:dyDescent="0.25">
      <c r="B402" s="624">
        <v>42640</v>
      </c>
      <c r="C402" s="365">
        <v>10000</v>
      </c>
      <c r="D402" s="625">
        <v>15.890373</v>
      </c>
      <c r="E402" s="366">
        <v>14.06</v>
      </c>
      <c r="F402" s="366">
        <f t="shared" si="151"/>
        <v>-18303.73</v>
      </c>
      <c r="G402" s="366">
        <f t="shared" si="152"/>
        <v>158903.73000000001</v>
      </c>
      <c r="H402" s="367">
        <f t="shared" si="153"/>
        <v>-0.11518754153851517</v>
      </c>
      <c r="I402" s="366"/>
    </row>
    <row r="403" spans="2:9" x14ac:dyDescent="0.25">
      <c r="B403" s="624">
        <v>42641</v>
      </c>
      <c r="C403" s="365">
        <v>9278</v>
      </c>
      <c r="D403" s="625">
        <v>15.968</v>
      </c>
      <c r="E403" s="366">
        <v>15.18</v>
      </c>
      <c r="F403" s="366">
        <f t="shared" si="151"/>
        <v>-7311.0640000000021</v>
      </c>
      <c r="G403" s="366">
        <f t="shared" si="152"/>
        <v>148151.10399999999</v>
      </c>
      <c r="H403" s="367">
        <f t="shared" si="153"/>
        <v>-4.9348697394789594E-2</v>
      </c>
      <c r="I403" s="366" t="s">
        <v>287</v>
      </c>
    </row>
    <row r="404" spans="2:9" x14ac:dyDescent="0.25">
      <c r="B404" s="624">
        <v>42641</v>
      </c>
      <c r="C404" s="365">
        <v>8978</v>
      </c>
      <c r="D404" s="625">
        <v>15.991466000000001</v>
      </c>
      <c r="E404" s="366">
        <v>15.18</v>
      </c>
      <c r="F404" s="366">
        <f t="shared" si="151"/>
        <v>-7285.3417480000098</v>
      </c>
      <c r="G404" s="366">
        <f t="shared" si="152"/>
        <v>143571.38174800001</v>
      </c>
      <c r="H404" s="367">
        <f t="shared" si="153"/>
        <v>-5.0743690415875634E-2</v>
      </c>
      <c r="I404" s="366"/>
    </row>
    <row r="405" spans="2:9" x14ac:dyDescent="0.25">
      <c r="B405" s="624">
        <v>42642</v>
      </c>
      <c r="C405" s="365">
        <v>8678</v>
      </c>
      <c r="D405" s="625">
        <v>16.016100000000002</v>
      </c>
      <c r="E405" s="366">
        <v>15.9</v>
      </c>
      <c r="F405" s="366">
        <f t="shared" si="151"/>
        <v>-1007.5158000000105</v>
      </c>
      <c r="G405" s="366">
        <f t="shared" si="152"/>
        <v>138987.71580000001</v>
      </c>
      <c r="H405" s="367">
        <f t="shared" si="153"/>
        <v>-7.2489557382884214E-3</v>
      </c>
      <c r="I405" s="366"/>
    </row>
    <row r="406" spans="2:9" x14ac:dyDescent="0.25">
      <c r="B406" s="624">
        <v>42642</v>
      </c>
      <c r="C406" s="365">
        <v>7978</v>
      </c>
      <c r="D406" s="625">
        <v>16.036825</v>
      </c>
      <c r="E406" s="366">
        <v>15.9</v>
      </c>
      <c r="F406" s="366">
        <f t="shared" si="151"/>
        <v>-1091.5898499999998</v>
      </c>
      <c r="G406" s="366">
        <f t="shared" si="152"/>
        <v>127941.78985</v>
      </c>
      <c r="H406" s="367">
        <f t="shared" si="153"/>
        <v>-8.5319257396648009E-3</v>
      </c>
      <c r="I406" s="366"/>
    </row>
    <row r="407" spans="2:9" ht="15" customHeight="1" x14ac:dyDescent="0.25">
      <c r="B407" s="624">
        <v>42642</v>
      </c>
      <c r="C407" s="365">
        <v>7764</v>
      </c>
      <c r="D407" s="625">
        <v>16.038399999999999</v>
      </c>
      <c r="E407" s="366">
        <v>15.9</v>
      </c>
      <c r="F407" s="366">
        <f t="shared" si="151"/>
        <v>-1074.5375999999919</v>
      </c>
      <c r="G407" s="366">
        <f t="shared" si="152"/>
        <v>124522.1376</v>
      </c>
      <c r="H407" s="367">
        <f t="shared" si="153"/>
        <v>-8.6292897047086353E-3</v>
      </c>
      <c r="I407" s="366"/>
    </row>
    <row r="408" spans="2:9" x14ac:dyDescent="0.25">
      <c r="B408" s="624">
        <v>42642</v>
      </c>
      <c r="C408" s="365">
        <v>8178</v>
      </c>
      <c r="D408" s="625">
        <v>16.019235999999999</v>
      </c>
      <c r="E408" s="366">
        <v>15.9</v>
      </c>
      <c r="F408" s="366">
        <f t="shared" si="151"/>
        <v>-975.11200799999187</v>
      </c>
      <c r="G408" s="366">
        <f t="shared" si="152"/>
        <v>131005.31200799999</v>
      </c>
      <c r="H408" s="367">
        <f t="shared" si="153"/>
        <v>-7.4433012910228059E-3</v>
      </c>
      <c r="I408" s="366" t="s">
        <v>288</v>
      </c>
    </row>
    <row r="409" spans="2:9" x14ac:dyDescent="0.25">
      <c r="B409" s="624">
        <v>42643</v>
      </c>
      <c r="C409" s="365">
        <v>8178</v>
      </c>
      <c r="D409" s="625">
        <v>16.019235999999999</v>
      </c>
      <c r="E409" s="366">
        <v>15.81</v>
      </c>
      <c r="F409" s="366">
        <f>C409*(E409-D409)</f>
        <v>-1711.1320079999907</v>
      </c>
      <c r="G409" s="366">
        <f>IF(C409=0, 0,D409*C409)</f>
        <v>131005.31200799999</v>
      </c>
      <c r="H409" s="367">
        <f>IF(C409=0, D409, (E409-D409)/D409)</f>
        <v>-1.3061546755413234E-2</v>
      </c>
      <c r="I409" s="366"/>
    </row>
    <row r="410" spans="2:9" x14ac:dyDescent="0.25">
      <c r="B410" s="624">
        <v>42646</v>
      </c>
      <c r="C410" s="365">
        <v>8178</v>
      </c>
      <c r="D410" s="625">
        <v>16.019235999999999</v>
      </c>
      <c r="E410" s="366">
        <v>15.98</v>
      </c>
      <c r="F410" s="366">
        <f t="shared" ref="F410:F419" si="154">C410*(E410-D410)</f>
        <v>-320.8720079999913</v>
      </c>
      <c r="G410" s="366">
        <f t="shared" ref="G410:G419" si="155">IF(C410=0, 0,D410*C410)</f>
        <v>131005.31200799999</v>
      </c>
      <c r="H410" s="367">
        <f t="shared" ref="H410:H419" si="156">IF(C410=0, D410, (E410-D410)/D410)</f>
        <v>-2.4493053226757469E-3</v>
      </c>
      <c r="I410" s="366"/>
    </row>
    <row r="411" spans="2:9" x14ac:dyDescent="0.25">
      <c r="B411" s="624">
        <v>42647</v>
      </c>
      <c r="C411" s="365">
        <v>8678</v>
      </c>
      <c r="D411" s="625">
        <v>16.010061</v>
      </c>
      <c r="E411" s="366">
        <v>15.63</v>
      </c>
      <c r="F411" s="366">
        <f t="shared" si="154"/>
        <v>-3298.169357999996</v>
      </c>
      <c r="G411" s="366">
        <f t="shared" si="155"/>
        <v>138935.309358</v>
      </c>
      <c r="H411" s="367">
        <f t="shared" si="156"/>
        <v>-2.3738885192255015E-2</v>
      </c>
      <c r="I411" s="366"/>
    </row>
    <row r="412" spans="2:9" x14ac:dyDescent="0.25">
      <c r="B412" s="624">
        <v>42647</v>
      </c>
      <c r="C412" s="365">
        <v>9178</v>
      </c>
      <c r="D412" s="625">
        <v>15.988811</v>
      </c>
      <c r="E412" s="366">
        <v>15.63</v>
      </c>
      <c r="F412" s="366">
        <f t="shared" si="154"/>
        <v>-3293.1673579999938</v>
      </c>
      <c r="G412" s="366">
        <f t="shared" si="155"/>
        <v>146745.30735799999</v>
      </c>
      <c r="H412" s="367">
        <f t="shared" si="156"/>
        <v>-2.2441381038277287E-2</v>
      </c>
      <c r="I412" s="366"/>
    </row>
    <row r="413" spans="2:9" x14ac:dyDescent="0.25">
      <c r="B413" s="624">
        <v>42648</v>
      </c>
      <c r="C413" s="365">
        <v>8178</v>
      </c>
      <c r="D413" s="625">
        <v>15.977725</v>
      </c>
      <c r="E413" s="366">
        <v>16.12</v>
      </c>
      <c r="F413" s="366">
        <f t="shared" si="154"/>
        <v>1163.524950000012</v>
      </c>
      <c r="G413" s="366">
        <f t="shared" si="155"/>
        <v>130665.83504999999</v>
      </c>
      <c r="H413" s="367">
        <f t="shared" si="156"/>
        <v>8.904584351026288E-3</v>
      </c>
      <c r="I413" s="366">
        <v>15.75</v>
      </c>
    </row>
    <row r="414" spans="2:9" ht="15" customHeight="1" x14ac:dyDescent="0.25">
      <c r="B414" s="624">
        <v>42648</v>
      </c>
      <c r="C414" s="386">
        <v>7678</v>
      </c>
      <c r="D414" s="626">
        <v>15.951529000000001</v>
      </c>
      <c r="E414" s="366">
        <v>16.12</v>
      </c>
      <c r="F414" s="366">
        <f t="shared" si="154"/>
        <v>1293.5203380000021</v>
      </c>
      <c r="G414" s="366">
        <f t="shared" si="155"/>
        <v>122475.839662</v>
      </c>
      <c r="H414" s="367">
        <f t="shared" si="156"/>
        <v>1.0561432700275958E-2</v>
      </c>
      <c r="I414" s="366" t="s">
        <v>292</v>
      </c>
    </row>
    <row r="415" spans="2:9" x14ac:dyDescent="0.25">
      <c r="B415" s="624">
        <v>42649</v>
      </c>
      <c r="C415" s="365">
        <v>8678</v>
      </c>
      <c r="D415" s="625">
        <v>15.941579000000001</v>
      </c>
      <c r="E415" s="366">
        <v>16.079999999999998</v>
      </c>
      <c r="F415" s="366">
        <f t="shared" si="154"/>
        <v>1201.2174379999781</v>
      </c>
      <c r="G415" s="366">
        <f t="shared" si="155"/>
        <v>138341.022562</v>
      </c>
      <c r="H415" s="367">
        <f t="shared" si="156"/>
        <v>8.683016908174369E-3</v>
      </c>
      <c r="I415" s="366"/>
    </row>
    <row r="416" spans="2:9" x14ac:dyDescent="0.25">
      <c r="B416" s="624">
        <v>42650</v>
      </c>
      <c r="C416" s="365">
        <v>8978</v>
      </c>
      <c r="D416" s="625">
        <v>15.935176999999999</v>
      </c>
      <c r="E416" s="366">
        <v>15.56</v>
      </c>
      <c r="F416" s="366">
        <f t="shared" si="154"/>
        <v>-3368.3391059999908</v>
      </c>
      <c r="G416" s="366">
        <f t="shared" si="155"/>
        <v>143066.01910599999</v>
      </c>
      <c r="H416" s="367">
        <f t="shared" si="156"/>
        <v>-2.354394933925108E-2</v>
      </c>
      <c r="I416" s="366"/>
    </row>
    <row r="417" spans="2:9" x14ac:dyDescent="0.25">
      <c r="B417" s="624">
        <v>42650</v>
      </c>
      <c r="C417" s="365">
        <v>9278</v>
      </c>
      <c r="D417" s="625">
        <v>15.923692000000001</v>
      </c>
      <c r="E417" s="366">
        <v>15.56</v>
      </c>
      <c r="F417" s="366">
        <f t="shared" si="154"/>
        <v>-3374.3343760000034</v>
      </c>
      <c r="G417" s="366">
        <f t="shared" si="155"/>
        <v>147740.01437600001</v>
      </c>
      <c r="H417" s="367">
        <f t="shared" si="156"/>
        <v>-2.2839678134945106E-2</v>
      </c>
      <c r="I417" s="366">
        <v>15.8</v>
      </c>
    </row>
    <row r="418" spans="2:9" x14ac:dyDescent="0.25">
      <c r="B418" s="624">
        <v>42653</v>
      </c>
      <c r="C418" s="386">
        <v>9678</v>
      </c>
      <c r="D418" s="626">
        <v>15.9153</v>
      </c>
      <c r="E418" s="366">
        <v>15.72</v>
      </c>
      <c r="F418" s="366">
        <f t="shared" si="154"/>
        <v>-1890.1133999999961</v>
      </c>
      <c r="G418" s="366">
        <f t="shared" si="155"/>
        <v>154028.27340000001</v>
      </c>
      <c r="H418" s="367">
        <f t="shared" si="156"/>
        <v>-1.2271210721758281E-2</v>
      </c>
      <c r="I418" s="366"/>
    </row>
    <row r="419" spans="2:9" x14ac:dyDescent="0.25">
      <c r="B419" s="624">
        <v>42661</v>
      </c>
      <c r="C419" s="386">
        <v>10000</v>
      </c>
      <c r="D419" s="626">
        <v>15.901258</v>
      </c>
      <c r="E419" s="366">
        <v>14.2</v>
      </c>
      <c r="F419" s="366">
        <f t="shared" si="154"/>
        <v>-17012.580000000009</v>
      </c>
      <c r="G419" s="366">
        <f t="shared" si="155"/>
        <v>159012.58000000002</v>
      </c>
      <c r="H419" s="367">
        <f t="shared" si="156"/>
        <v>-0.10698889358313669</v>
      </c>
      <c r="I419" s="366"/>
    </row>
    <row r="420" spans="2:9" x14ac:dyDescent="0.25">
      <c r="B420" s="624">
        <v>42663</v>
      </c>
      <c r="C420" s="365">
        <v>10000</v>
      </c>
      <c r="D420" s="625">
        <v>15.901258</v>
      </c>
      <c r="E420" s="366">
        <v>14.7</v>
      </c>
      <c r="F420" s="366">
        <f>C420*(E420-D420)</f>
        <v>-12012.580000000011</v>
      </c>
      <c r="G420" s="366">
        <f>IF(C420=0, 0,D420*C420)</f>
        <v>159012.58000000002</v>
      </c>
      <c r="H420" s="368">
        <f>IF(C420=0, D420, (E420-D420)/D420)</f>
        <v>-7.5544840540289399E-2</v>
      </c>
      <c r="I420" s="366"/>
    </row>
    <row r="421" spans="2:9" x14ac:dyDescent="0.25">
      <c r="B421" s="624">
        <v>42668</v>
      </c>
      <c r="C421" s="365">
        <v>11000</v>
      </c>
      <c r="D421" s="625">
        <v>15.74728</v>
      </c>
      <c r="E421" s="366">
        <v>14.18</v>
      </c>
      <c r="F421" s="366">
        <f>C421*(E421-D421)</f>
        <v>-17240.080000000002</v>
      </c>
      <c r="G421" s="366">
        <f>IF(C421=0, 0,D421*C421)</f>
        <v>173220.08</v>
      </c>
      <c r="H421" s="368">
        <f>IF(C421=0, D421, (E421-D421)/D421)</f>
        <v>-9.9527029429844413E-2</v>
      </c>
      <c r="I421" s="366"/>
    </row>
    <row r="422" spans="2:9" x14ac:dyDescent="0.25">
      <c r="B422" s="624">
        <v>42670</v>
      </c>
      <c r="C422" s="365">
        <v>11500</v>
      </c>
      <c r="D422" s="625">
        <v>15.679137000000001</v>
      </c>
      <c r="E422" s="366">
        <v>13.95</v>
      </c>
      <c r="F422" s="366">
        <f>C422*(E422-D422)</f>
        <v>-19885.075500000017</v>
      </c>
      <c r="G422" s="366">
        <f>IF(C422=0, 0,D422*C422)</f>
        <v>180310.07550000001</v>
      </c>
      <c r="H422" s="368">
        <f>IF(C422=0, D422, (E422-D422)/D422)</f>
        <v>-0.11028266415428357</v>
      </c>
      <c r="I422" s="366"/>
    </row>
    <row r="423" spans="2:9" x14ac:dyDescent="0.25">
      <c r="B423" s="624">
        <v>42670</v>
      </c>
      <c r="C423" s="365">
        <v>12000</v>
      </c>
      <c r="D423" s="625">
        <v>15.6113</v>
      </c>
      <c r="E423" s="366">
        <v>13.95</v>
      </c>
      <c r="F423" s="366">
        <f t="shared" ref="F423:F430" si="157">C423*(E423-D423)</f>
        <v>-19935.600000000009</v>
      </c>
      <c r="G423" s="366">
        <f t="shared" ref="G423:G430" si="158">IF(C423=0, 0,D423*C423)</f>
        <v>187335.6</v>
      </c>
      <c r="H423" s="368">
        <f t="shared" ref="H423:H430" si="159">IF(C423=0, D423, (E423-D423)/D423)</f>
        <v>-0.10641650599245422</v>
      </c>
      <c r="I423" s="366"/>
    </row>
    <row r="424" spans="2:9" ht="15" customHeight="1" x14ac:dyDescent="0.25">
      <c r="B424" s="624">
        <v>42670</v>
      </c>
      <c r="C424" s="365">
        <v>12500</v>
      </c>
      <c r="D424" s="625">
        <v>15.542006000000001</v>
      </c>
      <c r="E424" s="366">
        <v>13.95</v>
      </c>
      <c r="F424" s="366">
        <f t="shared" si="157"/>
        <v>-19900.075000000015</v>
      </c>
      <c r="G424" s="366">
        <f t="shared" si="158"/>
        <v>194275.07500000001</v>
      </c>
      <c r="H424" s="368">
        <f t="shared" si="159"/>
        <v>-0.10243246592492637</v>
      </c>
      <c r="I424" s="366"/>
    </row>
    <row r="425" spans="2:9" x14ac:dyDescent="0.25">
      <c r="B425" s="624">
        <v>42671</v>
      </c>
      <c r="C425" s="365">
        <v>12500</v>
      </c>
      <c r="D425" s="625">
        <v>15.536431</v>
      </c>
      <c r="E425" s="366">
        <v>13.72</v>
      </c>
      <c r="F425" s="366">
        <f t="shared" si="157"/>
        <v>-22705.387499999997</v>
      </c>
      <c r="G425" s="366">
        <f t="shared" si="158"/>
        <v>194205.38750000001</v>
      </c>
      <c r="H425" s="368">
        <f t="shared" si="159"/>
        <v>-0.11691430290521676</v>
      </c>
      <c r="I425" s="366"/>
    </row>
    <row r="426" spans="2:9" x14ac:dyDescent="0.25">
      <c r="B426" s="624">
        <v>42674</v>
      </c>
      <c r="C426" s="365">
        <v>12500</v>
      </c>
      <c r="D426" s="625">
        <v>15.5313</v>
      </c>
      <c r="E426" s="366">
        <v>13.18</v>
      </c>
      <c r="F426" s="366">
        <f t="shared" si="157"/>
        <v>-29391.250000000004</v>
      </c>
      <c r="G426" s="366">
        <f t="shared" si="158"/>
        <v>194141.25</v>
      </c>
      <c r="H426" s="368">
        <f t="shared" si="159"/>
        <v>-0.15139106192012261</v>
      </c>
      <c r="I426" s="366"/>
    </row>
    <row r="427" spans="2:9" x14ac:dyDescent="0.25">
      <c r="B427" s="624">
        <v>42676</v>
      </c>
      <c r="C427" s="365">
        <v>12500</v>
      </c>
      <c r="D427" s="625">
        <v>15.528746</v>
      </c>
      <c r="E427" s="366">
        <v>12.78</v>
      </c>
      <c r="F427" s="366">
        <f t="shared" si="157"/>
        <v>-34359.325000000004</v>
      </c>
      <c r="G427" s="366">
        <f t="shared" si="158"/>
        <v>194109.32500000001</v>
      </c>
      <c r="H427" s="367">
        <f t="shared" si="159"/>
        <v>-0.17701017197396368</v>
      </c>
      <c r="I427" s="366"/>
    </row>
    <row r="428" spans="2:9" x14ac:dyDescent="0.25">
      <c r="B428" s="624">
        <v>42677</v>
      </c>
      <c r="C428" s="365">
        <v>10000</v>
      </c>
      <c r="D428" s="625">
        <v>15.813000000000001</v>
      </c>
      <c r="E428" s="366">
        <v>14.15</v>
      </c>
      <c r="F428" s="366">
        <f t="shared" si="157"/>
        <v>-16630.000000000004</v>
      </c>
      <c r="G428" s="366">
        <f t="shared" si="158"/>
        <v>158130</v>
      </c>
      <c r="H428" s="367">
        <f t="shared" si="159"/>
        <v>-0.10516663504711314</v>
      </c>
      <c r="I428" s="366"/>
    </row>
    <row r="429" spans="2:9" x14ac:dyDescent="0.25">
      <c r="B429" s="624">
        <v>42678</v>
      </c>
      <c r="C429" s="365">
        <v>11000</v>
      </c>
      <c r="D429" s="625">
        <v>15.62</v>
      </c>
      <c r="E429" s="366">
        <v>13.69</v>
      </c>
      <c r="F429" s="366">
        <f t="shared" si="157"/>
        <v>-21229.999999999996</v>
      </c>
      <c r="G429" s="366">
        <f t="shared" si="158"/>
        <v>171820</v>
      </c>
      <c r="H429" s="367">
        <f t="shared" si="159"/>
        <v>-0.12355953905249678</v>
      </c>
      <c r="I429" s="366"/>
    </row>
    <row r="430" spans="2:9" x14ac:dyDescent="0.25">
      <c r="B430" s="624">
        <v>42701</v>
      </c>
      <c r="C430" s="365">
        <v>7678</v>
      </c>
      <c r="D430" s="625">
        <v>15.484220000000001</v>
      </c>
      <c r="E430" s="366">
        <v>16.28</v>
      </c>
      <c r="F430" s="366">
        <f t="shared" si="157"/>
        <v>6109.9988400000047</v>
      </c>
      <c r="G430" s="366">
        <f t="shared" si="158"/>
        <v>118887.84116000001</v>
      </c>
      <c r="H430" s="367">
        <f t="shared" si="159"/>
        <v>5.1392966516879801E-2</v>
      </c>
      <c r="I430" s="366" t="s">
        <v>303</v>
      </c>
    </row>
    <row r="431" spans="2:9" ht="15" customHeight="1" x14ac:dyDescent="0.25">
      <c r="B431" s="624">
        <v>42702</v>
      </c>
      <c r="C431" s="365">
        <v>8178</v>
      </c>
      <c r="D431" s="625">
        <v>15.519399999999999</v>
      </c>
      <c r="E431" s="366">
        <v>15.62</v>
      </c>
      <c r="F431" s="366">
        <f t="shared" ref="F431:F448" si="160">C431*(E431-D431)</f>
        <v>822.70680000000016</v>
      </c>
      <c r="G431" s="366">
        <f t="shared" ref="G431:G448" si="161">IF(C431=0, 0,D431*C431)</f>
        <v>126917.6532</v>
      </c>
      <c r="H431" s="367">
        <f t="shared" ref="H431:H448" si="162">IF(C431=0, D431, (E431-D431)/D431)</f>
        <v>6.4822093637640649E-3</v>
      </c>
      <c r="I431" s="366" t="s">
        <v>308</v>
      </c>
    </row>
    <row r="432" spans="2:9" x14ac:dyDescent="0.25">
      <c r="B432" s="624">
        <v>42702</v>
      </c>
      <c r="C432" s="365">
        <v>8678</v>
      </c>
      <c r="D432" s="625">
        <v>15.5304</v>
      </c>
      <c r="E432" s="366">
        <v>15.54</v>
      </c>
      <c r="F432" s="366">
        <f t="shared" si="160"/>
        <v>83.308799999990825</v>
      </c>
      <c r="G432" s="366">
        <f t="shared" si="161"/>
        <v>134772.8112</v>
      </c>
      <c r="H432" s="367">
        <f t="shared" si="162"/>
        <v>6.1814248184199655E-4</v>
      </c>
      <c r="I432" s="366"/>
    </row>
    <row r="433" spans="1:10" x14ac:dyDescent="0.25">
      <c r="B433" s="624">
        <v>42703</v>
      </c>
      <c r="C433" s="365">
        <v>8978</v>
      </c>
      <c r="D433" s="625">
        <v>15.5053</v>
      </c>
      <c r="E433" s="366">
        <v>14.95</v>
      </c>
      <c r="F433" s="366">
        <f t="shared" si="160"/>
        <v>-4985.4834000000074</v>
      </c>
      <c r="G433" s="366">
        <f t="shared" si="161"/>
        <v>139206.5834</v>
      </c>
      <c r="H433" s="367">
        <f t="shared" si="162"/>
        <v>-3.5813560524465882E-2</v>
      </c>
      <c r="I433" s="366"/>
    </row>
    <row r="434" spans="1:10" x14ac:dyDescent="0.25">
      <c r="B434" s="624">
        <v>42704</v>
      </c>
      <c r="C434" s="365">
        <v>5178</v>
      </c>
      <c r="D434" s="625">
        <v>14.3947</v>
      </c>
      <c r="E434" s="366">
        <v>18.059999999999999</v>
      </c>
      <c r="F434" s="366">
        <f t="shared" si="160"/>
        <v>18978.923399999992</v>
      </c>
      <c r="G434" s="366">
        <f t="shared" si="161"/>
        <v>74535.756600000008</v>
      </c>
      <c r="H434" s="367">
        <f t="shared" si="162"/>
        <v>0.25462843963403187</v>
      </c>
      <c r="I434" s="366"/>
    </row>
    <row r="435" spans="1:10" x14ac:dyDescent="0.25">
      <c r="B435" s="624">
        <v>42705</v>
      </c>
      <c r="C435" s="365">
        <v>4678</v>
      </c>
      <c r="D435" s="625">
        <v>13.905799999999999</v>
      </c>
      <c r="E435" s="366">
        <v>17.89</v>
      </c>
      <c r="F435" s="366">
        <f t="shared" si="160"/>
        <v>18638.087600000006</v>
      </c>
      <c r="G435" s="366">
        <f t="shared" si="161"/>
        <v>65051.332399999999</v>
      </c>
      <c r="H435" s="367">
        <f t="shared" si="162"/>
        <v>0.28651354111234173</v>
      </c>
      <c r="I435" s="366"/>
    </row>
    <row r="436" spans="1:10" x14ac:dyDescent="0.25">
      <c r="B436" s="624">
        <v>42705</v>
      </c>
      <c r="C436" s="365">
        <v>5000</v>
      </c>
      <c r="D436" s="625">
        <v>14.1645</v>
      </c>
      <c r="E436" s="366">
        <v>17.89</v>
      </c>
      <c r="F436" s="366">
        <f t="shared" si="160"/>
        <v>18627.5</v>
      </c>
      <c r="G436" s="366">
        <f t="shared" si="161"/>
        <v>70822.5</v>
      </c>
      <c r="H436" s="367">
        <f t="shared" si="162"/>
        <v>0.2630166966712556</v>
      </c>
      <c r="I436" s="366"/>
    </row>
    <row r="437" spans="1:10" ht="15" customHeight="1" x14ac:dyDescent="0.25">
      <c r="B437" s="624">
        <v>42708</v>
      </c>
      <c r="C437" s="365">
        <v>5000</v>
      </c>
      <c r="D437" s="625">
        <v>14.1645</v>
      </c>
      <c r="E437" s="366">
        <v>18.2</v>
      </c>
      <c r="F437" s="366">
        <f t="shared" si="160"/>
        <v>20177.499999999996</v>
      </c>
      <c r="G437" s="366">
        <f t="shared" si="161"/>
        <v>70822.5</v>
      </c>
      <c r="H437" s="367">
        <f t="shared" si="162"/>
        <v>0.28490239683716323</v>
      </c>
      <c r="I437" s="366"/>
    </row>
    <row r="438" spans="1:10" x14ac:dyDescent="0.25">
      <c r="B438" s="624">
        <v>42711</v>
      </c>
      <c r="C438" s="365">
        <v>5000</v>
      </c>
      <c r="D438" s="625">
        <v>14.143514</v>
      </c>
      <c r="E438" s="366">
        <v>18.420000000000002</v>
      </c>
      <c r="F438" s="366">
        <f t="shared" si="160"/>
        <v>21382.430000000011</v>
      </c>
      <c r="G438" s="366">
        <f t="shared" si="161"/>
        <v>70717.569999999992</v>
      </c>
      <c r="H438" s="367">
        <f t="shared" si="162"/>
        <v>0.3023637548631834</v>
      </c>
      <c r="I438" s="366"/>
    </row>
    <row r="439" spans="1:10" x14ac:dyDescent="0.25">
      <c r="B439" s="624">
        <v>42713</v>
      </c>
      <c r="C439" s="365">
        <v>5000</v>
      </c>
      <c r="D439" s="625">
        <v>14.127554</v>
      </c>
      <c r="E439" s="366">
        <v>18.25</v>
      </c>
      <c r="F439" s="366">
        <f t="shared" si="160"/>
        <v>20612.23</v>
      </c>
      <c r="G439" s="366">
        <f t="shared" si="161"/>
        <v>70637.77</v>
      </c>
      <c r="H439" s="367">
        <f t="shared" si="162"/>
        <v>0.29180182216964096</v>
      </c>
      <c r="I439" s="366"/>
    </row>
    <row r="440" spans="1:10" x14ac:dyDescent="0.25">
      <c r="B440" s="624">
        <v>42716</v>
      </c>
      <c r="C440" s="365">
        <v>5000</v>
      </c>
      <c r="D440" s="625">
        <v>14.0276</v>
      </c>
      <c r="E440" s="366">
        <v>18.489999999999998</v>
      </c>
      <c r="F440" s="366">
        <f t="shared" si="160"/>
        <v>22311.999999999993</v>
      </c>
      <c r="G440" s="366">
        <f t="shared" si="161"/>
        <v>70138</v>
      </c>
      <c r="H440" s="367">
        <f t="shared" si="162"/>
        <v>0.3181157147338104</v>
      </c>
      <c r="I440" s="366" t="s">
        <v>185</v>
      </c>
    </row>
    <row r="441" spans="1:10" x14ac:dyDescent="0.25">
      <c r="B441" s="624">
        <v>42718</v>
      </c>
      <c r="C441" s="365">
        <v>5000</v>
      </c>
      <c r="D441" s="625">
        <v>14.025399999999999</v>
      </c>
      <c r="E441" s="366">
        <v>18.2</v>
      </c>
      <c r="F441" s="366">
        <f t="shared" si="160"/>
        <v>20873</v>
      </c>
      <c r="G441" s="366">
        <f t="shared" si="161"/>
        <v>70127</v>
      </c>
      <c r="H441" s="367">
        <f t="shared" si="162"/>
        <v>0.29764569994438661</v>
      </c>
      <c r="I441" s="366">
        <v>13.8</v>
      </c>
    </row>
    <row r="442" spans="1:10" x14ac:dyDescent="0.25">
      <c r="B442" s="624">
        <v>42726</v>
      </c>
      <c r="C442" s="365">
        <v>5000</v>
      </c>
      <c r="D442" s="625">
        <v>14.025399999999999</v>
      </c>
      <c r="E442" s="366">
        <v>18.04</v>
      </c>
      <c r="F442" s="366">
        <f t="shared" si="160"/>
        <v>20073</v>
      </c>
      <c r="G442" s="366">
        <f t="shared" si="161"/>
        <v>70127</v>
      </c>
      <c r="H442" s="367">
        <f t="shared" si="162"/>
        <v>0.28623782565916123</v>
      </c>
      <c r="I442" s="366"/>
    </row>
    <row r="443" spans="1:10" x14ac:dyDescent="0.25">
      <c r="B443" s="624">
        <v>42733</v>
      </c>
      <c r="C443" s="365">
        <v>6000</v>
      </c>
      <c r="D443" s="625">
        <v>14.627558000000001</v>
      </c>
      <c r="E443" s="366">
        <v>17.57</v>
      </c>
      <c r="F443" s="446">
        <f t="shared" si="160"/>
        <v>17654.651999999998</v>
      </c>
      <c r="G443" s="366">
        <f t="shared" si="161"/>
        <v>87765.347999999998</v>
      </c>
      <c r="H443" s="368">
        <f t="shared" si="162"/>
        <v>0.20115743174629694</v>
      </c>
      <c r="I443" s="366"/>
      <c r="J443" s="3"/>
    </row>
    <row r="444" spans="1:10" x14ac:dyDescent="0.25">
      <c r="B444" s="624">
        <v>42734</v>
      </c>
      <c r="C444" s="365">
        <v>6000</v>
      </c>
      <c r="D444" s="625">
        <v>14.562623</v>
      </c>
      <c r="E444" s="366">
        <v>17.309999999999999</v>
      </c>
      <c r="F444" s="446">
        <f t="shared" si="160"/>
        <v>16484.261999999992</v>
      </c>
      <c r="G444" s="366">
        <f t="shared" si="161"/>
        <v>87375.737999999998</v>
      </c>
      <c r="H444" s="368">
        <f t="shared" si="162"/>
        <v>0.18865948806063293</v>
      </c>
      <c r="I444" s="366"/>
    </row>
    <row r="445" spans="1:10" x14ac:dyDescent="0.25">
      <c r="B445" s="624">
        <v>42739</v>
      </c>
      <c r="C445" s="365">
        <v>5500</v>
      </c>
      <c r="D445" s="625">
        <v>14.242898</v>
      </c>
      <c r="E445" s="366">
        <v>18.05</v>
      </c>
      <c r="F445" s="446">
        <f t="shared" si="160"/>
        <v>20939.061000000002</v>
      </c>
      <c r="G445" s="366">
        <f t="shared" si="161"/>
        <v>78335.938999999998</v>
      </c>
      <c r="H445" s="368">
        <f t="shared" si="162"/>
        <v>0.26729827033796072</v>
      </c>
      <c r="I445" s="366"/>
    </row>
    <row r="446" spans="1:10" x14ac:dyDescent="0.25">
      <c r="B446" s="624">
        <v>42741</v>
      </c>
      <c r="C446" s="365">
        <v>6000</v>
      </c>
      <c r="D446" s="625">
        <v>14.54599</v>
      </c>
      <c r="E446" s="366">
        <v>17.98</v>
      </c>
      <c r="F446" s="446">
        <f t="shared" si="160"/>
        <v>20604.060000000005</v>
      </c>
      <c r="G446" s="366">
        <f t="shared" si="161"/>
        <v>87275.94</v>
      </c>
      <c r="H446" s="368">
        <f t="shared" si="162"/>
        <v>0.23607949682352322</v>
      </c>
      <c r="I446" s="366"/>
    </row>
    <row r="447" spans="1:10" x14ac:dyDescent="0.25">
      <c r="B447" s="624">
        <v>42748</v>
      </c>
      <c r="C447" s="365">
        <v>6000</v>
      </c>
      <c r="D447" s="625">
        <v>14.527687999999999</v>
      </c>
      <c r="E447" s="366">
        <v>17.46</v>
      </c>
      <c r="F447" s="446">
        <f t="shared" si="160"/>
        <v>17593.872000000007</v>
      </c>
      <c r="G447" s="366">
        <f t="shared" si="161"/>
        <v>87166.127999999997</v>
      </c>
      <c r="H447" s="368">
        <f t="shared" si="162"/>
        <v>0.20184299112150547</v>
      </c>
      <c r="I447" s="366"/>
    </row>
    <row r="448" spans="1:10" x14ac:dyDescent="0.25">
      <c r="A448" s="229" t="s">
        <v>333</v>
      </c>
      <c r="B448" s="624">
        <v>42754</v>
      </c>
      <c r="C448" s="365">
        <v>6000</v>
      </c>
      <c r="D448" s="625">
        <v>14.527687999999999</v>
      </c>
      <c r="E448" s="366">
        <v>17.27</v>
      </c>
      <c r="F448" s="446">
        <f t="shared" si="160"/>
        <v>16453.871999999999</v>
      </c>
      <c r="G448" s="366">
        <f t="shared" si="161"/>
        <v>87166.127999999997</v>
      </c>
      <c r="H448" s="368">
        <f t="shared" si="162"/>
        <v>0.1887645164185795</v>
      </c>
      <c r="I448" s="366"/>
    </row>
    <row r="449" spans="1:9" x14ac:dyDescent="0.25">
      <c r="A449" t="s">
        <v>333</v>
      </c>
      <c r="B449" s="624">
        <v>42760</v>
      </c>
      <c r="C449" s="365">
        <v>6000</v>
      </c>
      <c r="D449" s="625">
        <v>14.527687999999999</v>
      </c>
      <c r="E449" s="366">
        <v>17.75</v>
      </c>
      <c r="F449" s="446">
        <f t="shared" ref="F449:F463" si="163">C449*(E449-D449)</f>
        <v>19333.872000000003</v>
      </c>
      <c r="G449" s="366">
        <f t="shared" ref="G449:G463" si="164">IF(C449=0, 0,D449*C449)</f>
        <v>87166.127999999997</v>
      </c>
      <c r="H449" s="368">
        <f t="shared" ref="H449:H463" si="165">IF(C449=0, D449, (E449-D449)/D449)</f>
        <v>0.22180487356281334</v>
      </c>
      <c r="I449" s="366"/>
    </row>
    <row r="450" spans="1:9" x14ac:dyDescent="0.25">
      <c r="A450" t="s">
        <v>366</v>
      </c>
      <c r="B450" s="624">
        <v>42761</v>
      </c>
      <c r="C450" s="365">
        <v>6000</v>
      </c>
      <c r="D450" s="625">
        <v>14.50817</v>
      </c>
      <c r="E450" s="366">
        <v>17.75</v>
      </c>
      <c r="F450" s="446">
        <f t="shared" si="163"/>
        <v>19450.98</v>
      </c>
      <c r="G450" s="366">
        <f t="shared" si="164"/>
        <v>87049.02</v>
      </c>
      <c r="H450" s="368">
        <f t="shared" si="165"/>
        <v>0.22344858104088938</v>
      </c>
      <c r="I450" s="366"/>
    </row>
    <row r="451" spans="1:9" x14ac:dyDescent="0.25">
      <c r="A451" t="s">
        <v>369</v>
      </c>
      <c r="B451" s="624">
        <v>42762</v>
      </c>
      <c r="C451" s="365">
        <v>6100</v>
      </c>
      <c r="D451" s="625">
        <v>14.553610000000001</v>
      </c>
      <c r="E451" s="366">
        <v>17.41</v>
      </c>
      <c r="F451" s="446">
        <f t="shared" si="163"/>
        <v>17423.978999999996</v>
      </c>
      <c r="G451" s="366">
        <f t="shared" si="164"/>
        <v>88777.021000000008</v>
      </c>
      <c r="H451" s="368">
        <f t="shared" si="165"/>
        <v>0.19626676817641803</v>
      </c>
      <c r="I451" s="366"/>
    </row>
    <row r="452" spans="1:9" x14ac:dyDescent="0.25">
      <c r="A452" t="s">
        <v>380</v>
      </c>
      <c r="B452" s="624">
        <v>42765</v>
      </c>
      <c r="C452" s="365">
        <v>6900</v>
      </c>
      <c r="D452" s="625">
        <v>14.793915999999999</v>
      </c>
      <c r="E452" s="366">
        <v>16.53</v>
      </c>
      <c r="F452" s="446">
        <f t="shared" si="163"/>
        <v>11978.979600000011</v>
      </c>
      <c r="G452" s="366">
        <f t="shared" si="164"/>
        <v>102078.02039999999</v>
      </c>
      <c r="H452" s="368">
        <f t="shared" si="165"/>
        <v>0.11735121383682331</v>
      </c>
      <c r="I452" s="366"/>
    </row>
    <row r="453" spans="1:9" x14ac:dyDescent="0.25">
      <c r="A453" t="s">
        <v>381</v>
      </c>
      <c r="B453" s="624">
        <v>42766</v>
      </c>
      <c r="C453" s="365">
        <v>6900</v>
      </c>
      <c r="D453" s="625">
        <v>14.783497000000001</v>
      </c>
      <c r="E453" s="366">
        <v>16.75</v>
      </c>
      <c r="F453" s="446">
        <f t="shared" si="163"/>
        <v>13568.870699999996</v>
      </c>
      <c r="G453" s="366">
        <f t="shared" si="164"/>
        <v>102006.1293</v>
      </c>
      <c r="H453" s="368">
        <f t="shared" si="165"/>
        <v>0.13302015078029233</v>
      </c>
      <c r="I453" s="366"/>
    </row>
    <row r="454" spans="1:9" x14ac:dyDescent="0.25">
      <c r="B454" s="624">
        <v>42767</v>
      </c>
      <c r="C454" s="365">
        <v>6000</v>
      </c>
      <c r="D454" s="625">
        <v>14.442175000000001</v>
      </c>
      <c r="E454" s="366">
        <v>16.59</v>
      </c>
      <c r="F454" s="446">
        <f t="shared" si="163"/>
        <v>12886.949999999995</v>
      </c>
      <c r="G454" s="366">
        <f t="shared" si="164"/>
        <v>86653.05</v>
      </c>
      <c r="H454" s="368">
        <f t="shared" si="165"/>
        <v>0.14871894295699914</v>
      </c>
      <c r="I454" s="366"/>
    </row>
    <row r="455" spans="1:9" x14ac:dyDescent="0.25">
      <c r="B455" s="624">
        <v>42767</v>
      </c>
      <c r="C455" s="365">
        <v>7000</v>
      </c>
      <c r="D455" s="625">
        <v>14.725436</v>
      </c>
      <c r="E455" s="366">
        <v>16.59</v>
      </c>
      <c r="F455" s="446">
        <f t="shared" si="163"/>
        <v>13051.947999999999</v>
      </c>
      <c r="G455" s="366">
        <f t="shared" si="164"/>
        <v>103078.052</v>
      </c>
      <c r="H455" s="368">
        <f t="shared" si="165"/>
        <v>0.1266219893251378</v>
      </c>
      <c r="I455" s="366"/>
    </row>
    <row r="456" spans="1:9" x14ac:dyDescent="0.25">
      <c r="B456" s="624">
        <v>42767</v>
      </c>
      <c r="C456" s="365">
        <v>7200</v>
      </c>
      <c r="D456" s="625">
        <v>14.771951</v>
      </c>
      <c r="E456" s="366">
        <v>16.59</v>
      </c>
      <c r="F456" s="446">
        <f t="shared" si="163"/>
        <v>13089.952800000001</v>
      </c>
      <c r="G456" s="366">
        <f t="shared" si="164"/>
        <v>106358.0472</v>
      </c>
      <c r="H456" s="368">
        <f t="shared" si="165"/>
        <v>0.12307439958337259</v>
      </c>
      <c r="I456" s="366"/>
    </row>
    <row r="457" spans="1:9" x14ac:dyDescent="0.25">
      <c r="A457" t="s">
        <v>385</v>
      </c>
      <c r="B457" s="624">
        <v>42767</v>
      </c>
      <c r="C457" s="365">
        <v>6500</v>
      </c>
      <c r="D457" s="625">
        <v>14.578353999999999</v>
      </c>
      <c r="E457" s="366">
        <v>16.59</v>
      </c>
      <c r="F457" s="446">
        <f t="shared" si="163"/>
        <v>13075.699000000004</v>
      </c>
      <c r="G457" s="366">
        <f t="shared" si="164"/>
        <v>94759.300999999992</v>
      </c>
      <c r="H457" s="368">
        <f t="shared" si="165"/>
        <v>0.13798855481215511</v>
      </c>
      <c r="I457" s="366"/>
    </row>
    <row r="458" spans="1:9" ht="15" customHeight="1" x14ac:dyDescent="0.25">
      <c r="A458" t="s">
        <v>387</v>
      </c>
      <c r="B458" s="624">
        <v>42768</v>
      </c>
      <c r="C458" s="365">
        <v>6000</v>
      </c>
      <c r="D458" s="625">
        <v>14.368788</v>
      </c>
      <c r="E458" s="366">
        <v>16.68</v>
      </c>
      <c r="F458" s="446">
        <f t="shared" si="163"/>
        <v>13867.271999999995</v>
      </c>
      <c r="G458" s="366">
        <f>IF(C458=0, 0,D458*C458)</f>
        <v>86212.728000000003</v>
      </c>
      <c r="H458" s="368">
        <f t="shared" si="165"/>
        <v>0.16084947456946261</v>
      </c>
      <c r="I458" s="366"/>
    </row>
    <row r="459" spans="1:9" x14ac:dyDescent="0.25">
      <c r="A459" t="s">
        <v>395</v>
      </c>
      <c r="B459" s="624">
        <v>42769</v>
      </c>
      <c r="C459" s="365">
        <v>5300</v>
      </c>
      <c r="D459" s="625">
        <v>14.006677</v>
      </c>
      <c r="E459" s="366">
        <v>17.23</v>
      </c>
      <c r="F459" s="446">
        <f t="shared" si="163"/>
        <v>17083.611900000004</v>
      </c>
      <c r="G459" s="366">
        <f t="shared" si="164"/>
        <v>74235.388099999996</v>
      </c>
      <c r="H459" s="368">
        <f t="shared" si="165"/>
        <v>0.2301276027140485</v>
      </c>
      <c r="I459" s="366"/>
    </row>
    <row r="460" spans="1:9" x14ac:dyDescent="0.25">
      <c r="A460" t="s">
        <v>405</v>
      </c>
      <c r="B460" s="624">
        <v>42772</v>
      </c>
      <c r="C460" s="365">
        <v>6000</v>
      </c>
      <c r="D460" s="625">
        <v>14.311230999999999</v>
      </c>
      <c r="E460" s="366">
        <v>16.52</v>
      </c>
      <c r="F460" s="446">
        <f t="shared" si="163"/>
        <v>13252.614000000001</v>
      </c>
      <c r="G460" s="366">
        <f t="shared" si="164"/>
        <v>85867.385999999999</v>
      </c>
      <c r="H460" s="368">
        <f t="shared" si="165"/>
        <v>0.15433815581622576</v>
      </c>
      <c r="I460" s="366"/>
    </row>
    <row r="461" spans="1:9" x14ac:dyDescent="0.25">
      <c r="A461" t="s">
        <v>410</v>
      </c>
      <c r="B461" s="624">
        <v>42773</v>
      </c>
      <c r="C461" s="365">
        <v>6600</v>
      </c>
      <c r="D461" s="625">
        <v>14.461574000000001</v>
      </c>
      <c r="E461" s="366">
        <v>16.03</v>
      </c>
      <c r="F461" s="446">
        <f t="shared" si="163"/>
        <v>10351.611600000004</v>
      </c>
      <c r="G461" s="366">
        <f t="shared" si="164"/>
        <v>95446.388400000011</v>
      </c>
      <c r="H461" s="368">
        <f t="shared" si="165"/>
        <v>0.10845472283998965</v>
      </c>
      <c r="I461" s="366"/>
    </row>
    <row r="462" spans="1:9" x14ac:dyDescent="0.25">
      <c r="A462" t="s">
        <v>433</v>
      </c>
      <c r="B462" s="624">
        <v>42781</v>
      </c>
      <c r="C462" s="365">
        <v>5700</v>
      </c>
      <c r="D462" s="625">
        <v>14.140828000000001</v>
      </c>
      <c r="E462" s="366">
        <v>16.3</v>
      </c>
      <c r="F462" s="446">
        <f t="shared" si="163"/>
        <v>12307.2804</v>
      </c>
      <c r="G462" s="366">
        <f t="shared" si="164"/>
        <v>80602.719600000011</v>
      </c>
      <c r="H462" s="368">
        <f t="shared" si="165"/>
        <v>0.1526906345229572</v>
      </c>
      <c r="I462" s="366"/>
    </row>
    <row r="463" spans="1:9" x14ac:dyDescent="0.25">
      <c r="A463" t="s">
        <v>435</v>
      </c>
      <c r="B463" s="624">
        <v>42782</v>
      </c>
      <c r="C463" s="365">
        <v>5700</v>
      </c>
      <c r="D463" s="625">
        <v>14.103</v>
      </c>
      <c r="E463" s="366">
        <v>16.170000000000002</v>
      </c>
      <c r="F463" s="446">
        <f t="shared" si="163"/>
        <v>11781.900000000011</v>
      </c>
      <c r="G463" s="366">
        <f t="shared" si="164"/>
        <v>80387.100000000006</v>
      </c>
      <c r="H463" s="368">
        <f t="shared" si="165"/>
        <v>0.14656456073175933</v>
      </c>
      <c r="I463" s="366"/>
    </row>
    <row r="464" spans="1:9" x14ac:dyDescent="0.25">
      <c r="B464" s="624"/>
      <c r="C464" s="365"/>
      <c r="D464" s="625"/>
      <c r="E464" s="366"/>
      <c r="F464" s="446"/>
      <c r="G464" s="366"/>
      <c r="H464" s="368"/>
      <c r="I464" s="366"/>
    </row>
    <row r="465" spans="1:13" x14ac:dyDescent="0.25">
      <c r="B465" s="624"/>
      <c r="C465" s="365"/>
      <c r="D465" s="625"/>
      <c r="E465" s="366"/>
      <c r="F465" s="446"/>
      <c r="G465" s="366"/>
      <c r="H465" s="368"/>
      <c r="I465" s="366"/>
    </row>
    <row r="466" spans="1:13" x14ac:dyDescent="0.25">
      <c r="B466" s="624"/>
      <c r="C466" s="365"/>
      <c r="D466" s="625"/>
      <c r="E466" s="366"/>
      <c r="F466" s="446"/>
      <c r="G466" s="366"/>
      <c r="H466" s="368"/>
      <c r="I466" s="366"/>
    </row>
    <row r="467" spans="1:13" x14ac:dyDescent="0.25">
      <c r="B467" s="624"/>
      <c r="C467" s="365"/>
      <c r="D467" s="625"/>
      <c r="E467" s="366"/>
      <c r="F467" s="446"/>
      <c r="G467" s="366"/>
      <c r="H467" s="368"/>
      <c r="I467" s="366"/>
    </row>
    <row r="471" spans="1:13" x14ac:dyDescent="0.25">
      <c r="L471" t="s">
        <v>65</v>
      </c>
      <c r="M471" s="230">
        <f>K734+M734-F734</f>
        <v>14615.571000001626</v>
      </c>
    </row>
    <row r="472" spans="1:13" x14ac:dyDescent="0.25">
      <c r="A472" s="514" t="s">
        <v>1</v>
      </c>
      <c r="B472" s="591" t="s">
        <v>2</v>
      </c>
      <c r="C472" s="514" t="s">
        <v>4</v>
      </c>
      <c r="D472" s="592" t="s">
        <v>5</v>
      </c>
      <c r="E472" s="515" t="s">
        <v>90</v>
      </c>
      <c r="F472" s="515" t="s">
        <v>60</v>
      </c>
      <c r="G472" s="514" t="s">
        <v>3</v>
      </c>
      <c r="H472" s="593" t="s">
        <v>6</v>
      </c>
      <c r="I472" s="592" t="s">
        <v>7</v>
      </c>
      <c r="J472" s="515" t="s">
        <v>89</v>
      </c>
      <c r="K472" s="515" t="s">
        <v>61</v>
      </c>
      <c r="L472" s="514" t="s">
        <v>37</v>
      </c>
      <c r="M472" s="515" t="s">
        <v>38</v>
      </c>
    </row>
    <row r="473" spans="1:13" x14ac:dyDescent="0.25">
      <c r="A473" s="516" t="s">
        <v>50</v>
      </c>
      <c r="B473" s="549">
        <v>42187</v>
      </c>
      <c r="C473" s="500">
        <v>1000</v>
      </c>
      <c r="D473" s="501">
        <v>27.25</v>
      </c>
      <c r="E473" s="502">
        <v>0</v>
      </c>
      <c r="F473" s="502">
        <f>C473*D473+E473</f>
        <v>27250</v>
      </c>
      <c r="G473" s="499">
        <v>42187</v>
      </c>
      <c r="H473" s="517">
        <v>2000</v>
      </c>
      <c r="I473" s="501">
        <v>27.34</v>
      </c>
      <c r="J473" s="502">
        <v>-5.49</v>
      </c>
      <c r="K473" s="502">
        <f>H473*I473-J473</f>
        <v>54685.49</v>
      </c>
      <c r="L473" s="499">
        <v>42257</v>
      </c>
      <c r="M473" s="502">
        <v>850.5</v>
      </c>
    </row>
    <row r="474" spans="1:13" x14ac:dyDescent="0.25">
      <c r="A474" s="518" t="s">
        <v>71</v>
      </c>
      <c r="B474" s="549">
        <v>42187</v>
      </c>
      <c r="C474" s="500">
        <v>80</v>
      </c>
      <c r="D474" s="501">
        <v>27.152249999999999</v>
      </c>
      <c r="E474" s="502">
        <v>0</v>
      </c>
      <c r="F474" s="502">
        <f t="shared" ref="F474:F537" si="166">C474*D474+E474</f>
        <v>2172.1799999999998</v>
      </c>
      <c r="G474" s="499">
        <v>42199</v>
      </c>
      <c r="H474" s="517">
        <v>102</v>
      </c>
      <c r="I474" s="501">
        <v>25.28</v>
      </c>
      <c r="J474" s="502">
        <v>0.05</v>
      </c>
      <c r="K474" s="502">
        <f t="shared" ref="K474:K501" si="167">H474*I474-J474</f>
        <v>2578.5099999999998</v>
      </c>
      <c r="L474" s="499">
        <v>42439</v>
      </c>
      <c r="M474" s="502">
        <v>483.9</v>
      </c>
    </row>
    <row r="475" spans="1:13" x14ac:dyDescent="0.25">
      <c r="A475" s="500"/>
      <c r="B475" s="549">
        <v>42187</v>
      </c>
      <c r="C475" s="500">
        <v>1000</v>
      </c>
      <c r="D475" s="501">
        <v>27.1</v>
      </c>
      <c r="E475" s="502">
        <v>0</v>
      </c>
      <c r="F475" s="502">
        <f t="shared" si="166"/>
        <v>27100</v>
      </c>
      <c r="G475" s="499">
        <v>42227</v>
      </c>
      <c r="H475" s="517">
        <v>200</v>
      </c>
      <c r="I475" s="501">
        <v>19.649999999999999</v>
      </c>
      <c r="J475" s="502">
        <v>7.0000000000000007E-2</v>
      </c>
      <c r="K475" s="502">
        <f t="shared" si="167"/>
        <v>3929.9299999999994</v>
      </c>
      <c r="L475" s="499">
        <v>42531</v>
      </c>
      <c r="M475" s="502">
        <v>483.9</v>
      </c>
    </row>
    <row r="476" spans="1:13" x14ac:dyDescent="0.25">
      <c r="A476" s="500"/>
      <c r="B476" s="612">
        <v>42187</v>
      </c>
      <c r="C476" s="500">
        <v>500</v>
      </c>
      <c r="D476" s="501">
        <v>27.039332999999999</v>
      </c>
      <c r="E476" s="502">
        <v>0</v>
      </c>
      <c r="F476" s="502">
        <f t="shared" si="166"/>
        <v>13519.666499999999</v>
      </c>
      <c r="G476" s="499">
        <v>42227</v>
      </c>
      <c r="H476" s="517">
        <v>200</v>
      </c>
      <c r="I476" s="501">
        <v>18.7</v>
      </c>
      <c r="J476" s="502">
        <v>7.0000000000000007E-2</v>
      </c>
      <c r="K476" s="502">
        <f t="shared" si="167"/>
        <v>3739.93</v>
      </c>
      <c r="L476" s="499">
        <v>42625</v>
      </c>
      <c r="M476" s="502">
        <v>433.9</v>
      </c>
    </row>
    <row r="477" spans="1:13" x14ac:dyDescent="0.25">
      <c r="A477" s="500"/>
      <c r="B477" s="612"/>
      <c r="C477" s="500">
        <v>500</v>
      </c>
      <c r="D477" s="501">
        <v>27.039332999999999</v>
      </c>
      <c r="E477" s="502">
        <v>0</v>
      </c>
      <c r="F477" s="502">
        <f t="shared" si="166"/>
        <v>13519.666499999999</v>
      </c>
      <c r="G477" s="499">
        <v>42257</v>
      </c>
      <c r="H477" s="517">
        <v>1600</v>
      </c>
      <c r="I477" s="501">
        <v>16.445</v>
      </c>
      <c r="J477" s="502">
        <v>0.48</v>
      </c>
      <c r="K477" s="502">
        <f t="shared" si="167"/>
        <v>26311.52</v>
      </c>
      <c r="L477" s="499">
        <v>42716</v>
      </c>
      <c r="M477" s="502">
        <v>500</v>
      </c>
    </row>
    <row r="478" spans="1:13" ht="15" customHeight="1" x14ac:dyDescent="0.25">
      <c r="A478" s="500"/>
      <c r="B478" s="612"/>
      <c r="C478" s="500">
        <v>500</v>
      </c>
      <c r="D478" s="501">
        <v>27.039332999999999</v>
      </c>
      <c r="E478" s="502">
        <v>0</v>
      </c>
      <c r="F478" s="502">
        <f t="shared" si="166"/>
        <v>13519.666499999999</v>
      </c>
      <c r="G478" s="613">
        <v>42265</v>
      </c>
      <c r="H478" s="517">
        <v>200</v>
      </c>
      <c r="I478" s="501">
        <v>15.65</v>
      </c>
      <c r="J478" s="502">
        <v>0.05</v>
      </c>
      <c r="K478" s="502">
        <f t="shared" si="167"/>
        <v>3129.95</v>
      </c>
      <c r="L478" s="500"/>
      <c r="M478" s="502"/>
    </row>
    <row r="479" spans="1:13" x14ac:dyDescent="0.25">
      <c r="A479" s="500"/>
      <c r="B479" s="612"/>
      <c r="C479" s="500">
        <v>500</v>
      </c>
      <c r="D479" s="501">
        <v>27.039332999999999</v>
      </c>
      <c r="E479" s="502">
        <v>0</v>
      </c>
      <c r="F479" s="502">
        <f t="shared" si="166"/>
        <v>13519.666499999999</v>
      </c>
      <c r="G479" s="613"/>
      <c r="H479" s="517">
        <v>2400</v>
      </c>
      <c r="I479" s="501">
        <v>15.7</v>
      </c>
      <c r="J479" s="502">
        <v>0.7</v>
      </c>
      <c r="K479" s="502">
        <f t="shared" si="167"/>
        <v>37679.300000000003</v>
      </c>
      <c r="L479" s="500"/>
      <c r="M479" s="502"/>
    </row>
    <row r="480" spans="1:13" x14ac:dyDescent="0.25">
      <c r="A480" s="500"/>
      <c r="B480" s="612"/>
      <c r="C480" s="500">
        <v>1000</v>
      </c>
      <c r="D480" s="501">
        <v>27.039332999999999</v>
      </c>
      <c r="E480" s="502">
        <v>0</v>
      </c>
      <c r="F480" s="502">
        <f t="shared" si="166"/>
        <v>27039.332999999999</v>
      </c>
      <c r="G480" s="499">
        <v>42271</v>
      </c>
      <c r="H480" s="594">
        <v>918</v>
      </c>
      <c r="I480" s="595">
        <v>16.45</v>
      </c>
      <c r="J480" s="596">
        <v>0.28000000000000003</v>
      </c>
      <c r="K480" s="596">
        <f t="shared" si="167"/>
        <v>15100.819999999998</v>
      </c>
      <c r="L480" s="500"/>
      <c r="M480" s="502"/>
    </row>
    <row r="481" spans="1:13" ht="60" x14ac:dyDescent="0.25">
      <c r="A481" s="500"/>
      <c r="B481" s="549">
        <v>42198</v>
      </c>
      <c r="C481" s="500">
        <v>100</v>
      </c>
      <c r="D481" s="501">
        <v>24.77</v>
      </c>
      <c r="E481" s="502">
        <v>0</v>
      </c>
      <c r="F481" s="502">
        <f t="shared" si="166"/>
        <v>2477</v>
      </c>
      <c r="G481" s="614" t="s">
        <v>139</v>
      </c>
      <c r="H481" s="517">
        <v>500</v>
      </c>
      <c r="I481" s="501">
        <v>15.95</v>
      </c>
      <c r="J481" s="502">
        <v>0.15</v>
      </c>
      <c r="K481" s="596">
        <f t="shared" si="167"/>
        <v>7974.85</v>
      </c>
      <c r="L481" s="500"/>
      <c r="M481" s="502"/>
    </row>
    <row r="482" spans="1:13" x14ac:dyDescent="0.25">
      <c r="A482" s="500"/>
      <c r="B482" s="549">
        <v>42205</v>
      </c>
      <c r="C482" s="500">
        <v>50</v>
      </c>
      <c r="D482" s="501">
        <v>24.35</v>
      </c>
      <c r="E482" s="502">
        <v>0</v>
      </c>
      <c r="F482" s="502">
        <f t="shared" si="166"/>
        <v>1217.5</v>
      </c>
      <c r="G482" s="614"/>
      <c r="H482" s="517">
        <v>500</v>
      </c>
      <c r="I482" s="501">
        <v>16.100000000000001</v>
      </c>
      <c r="J482" s="502">
        <v>0.15</v>
      </c>
      <c r="K482" s="596">
        <f t="shared" si="167"/>
        <v>8049.8500000000013</v>
      </c>
      <c r="L482" s="500"/>
      <c r="M482" s="502"/>
    </row>
    <row r="483" spans="1:13" x14ac:dyDescent="0.25">
      <c r="A483" s="500"/>
      <c r="B483" s="549">
        <v>42207</v>
      </c>
      <c r="C483" s="500">
        <v>20</v>
      </c>
      <c r="D483" s="501">
        <v>24.02</v>
      </c>
      <c r="E483" s="502">
        <v>0</v>
      </c>
      <c r="F483" s="502">
        <f t="shared" si="166"/>
        <v>480.4</v>
      </c>
      <c r="G483" s="614"/>
      <c r="H483" s="517">
        <v>500</v>
      </c>
      <c r="I483" s="501">
        <v>16.170000000000002</v>
      </c>
      <c r="J483" s="502">
        <v>0.15</v>
      </c>
      <c r="K483" s="596">
        <f t="shared" si="167"/>
        <v>8084.8500000000013</v>
      </c>
      <c r="L483" s="500"/>
      <c r="M483" s="502"/>
    </row>
    <row r="484" spans="1:13" x14ac:dyDescent="0.25">
      <c r="A484" s="500"/>
      <c r="B484" s="549">
        <v>42207</v>
      </c>
      <c r="C484" s="500">
        <v>20</v>
      </c>
      <c r="D484" s="501">
        <v>23.91</v>
      </c>
      <c r="E484" s="502">
        <v>0</v>
      </c>
      <c r="F484" s="502">
        <f t="shared" si="166"/>
        <v>478.2</v>
      </c>
      <c r="G484" s="614"/>
      <c r="H484" s="517">
        <v>500</v>
      </c>
      <c r="I484" s="501">
        <v>16.28</v>
      </c>
      <c r="J484" s="502">
        <v>0.15</v>
      </c>
      <c r="K484" s="596">
        <f t="shared" si="167"/>
        <v>8139.8500000000013</v>
      </c>
      <c r="L484" s="502"/>
      <c r="M484" s="502"/>
    </row>
    <row r="485" spans="1:13" x14ac:dyDescent="0.25">
      <c r="A485" s="500"/>
      <c r="B485" s="549">
        <v>42207</v>
      </c>
      <c r="C485" s="500">
        <v>20</v>
      </c>
      <c r="D485" s="501">
        <v>23.7</v>
      </c>
      <c r="E485" s="502">
        <v>0</v>
      </c>
      <c r="F485" s="502">
        <f t="shared" si="166"/>
        <v>474</v>
      </c>
      <c r="G485" s="614"/>
      <c r="H485" s="517">
        <v>500</v>
      </c>
      <c r="I485" s="501">
        <v>16.39</v>
      </c>
      <c r="J485" s="502">
        <v>0.15</v>
      </c>
      <c r="K485" s="596">
        <f t="shared" si="167"/>
        <v>8194.85</v>
      </c>
      <c r="L485" s="500"/>
      <c r="M485" s="502"/>
    </row>
    <row r="486" spans="1:13" x14ac:dyDescent="0.25">
      <c r="A486" s="500"/>
      <c r="B486" s="549">
        <v>42207</v>
      </c>
      <c r="C486" s="500">
        <v>20</v>
      </c>
      <c r="D486" s="501">
        <v>23.6</v>
      </c>
      <c r="E486" s="502">
        <v>0</v>
      </c>
      <c r="F486" s="502">
        <f t="shared" si="166"/>
        <v>472</v>
      </c>
      <c r="G486" s="614"/>
      <c r="H486" s="517">
        <v>500</v>
      </c>
      <c r="I486" s="501">
        <v>16.55</v>
      </c>
      <c r="J486" s="502">
        <v>0.17</v>
      </c>
      <c r="K486" s="596">
        <f t="shared" si="167"/>
        <v>8274.83</v>
      </c>
      <c r="L486" s="500"/>
      <c r="M486" s="502"/>
    </row>
    <row r="487" spans="1:13" ht="15" customHeight="1" x14ac:dyDescent="0.25">
      <c r="A487" s="500"/>
      <c r="B487" s="549">
        <v>42209</v>
      </c>
      <c r="C487" s="500">
        <v>40</v>
      </c>
      <c r="D487" s="501">
        <v>22.3</v>
      </c>
      <c r="E487" s="502">
        <v>0</v>
      </c>
      <c r="F487" s="502">
        <f t="shared" si="166"/>
        <v>892</v>
      </c>
      <c r="G487" s="614"/>
      <c r="H487" s="517">
        <v>50</v>
      </c>
      <c r="I487" s="501">
        <v>16.55</v>
      </c>
      <c r="J487" s="502">
        <v>0</v>
      </c>
      <c r="K487" s="596">
        <f t="shared" si="167"/>
        <v>827.5</v>
      </c>
      <c r="L487" s="500"/>
      <c r="M487" s="502"/>
    </row>
    <row r="488" spans="1:13" x14ac:dyDescent="0.25">
      <c r="A488" s="502"/>
      <c r="B488" s="549">
        <v>42221</v>
      </c>
      <c r="C488" s="500">
        <v>12</v>
      </c>
      <c r="D488" s="501">
        <v>20.95</v>
      </c>
      <c r="E488" s="502">
        <v>0</v>
      </c>
      <c r="F488" s="502">
        <f t="shared" si="166"/>
        <v>251.39999999999998</v>
      </c>
      <c r="G488" s="614"/>
      <c r="H488" s="517">
        <v>28</v>
      </c>
      <c r="I488" s="501">
        <v>16.68</v>
      </c>
      <c r="J488" s="502">
        <v>0.01</v>
      </c>
      <c r="K488" s="596">
        <f t="shared" si="167"/>
        <v>467.03</v>
      </c>
      <c r="L488" s="517"/>
      <c r="M488" s="502"/>
    </row>
    <row r="489" spans="1:13" x14ac:dyDescent="0.25">
      <c r="A489" s="500"/>
      <c r="B489" s="549">
        <v>42223</v>
      </c>
      <c r="C489" s="500">
        <v>100</v>
      </c>
      <c r="D489" s="501">
        <v>20.399999999999999</v>
      </c>
      <c r="E489" s="502">
        <v>0</v>
      </c>
      <c r="F489" s="502">
        <f t="shared" si="166"/>
        <v>2039.9999999999998</v>
      </c>
      <c r="G489" s="499">
        <v>42285</v>
      </c>
      <c r="H489" s="517">
        <v>632</v>
      </c>
      <c r="I489" s="501">
        <v>17.850000000000001</v>
      </c>
      <c r="J489" s="502">
        <v>0.21</v>
      </c>
      <c r="K489" s="596">
        <f t="shared" si="167"/>
        <v>11280.990000000002</v>
      </c>
      <c r="L489" s="502"/>
      <c r="M489" s="502"/>
    </row>
    <row r="490" spans="1:13" x14ac:dyDescent="0.25">
      <c r="A490" s="502"/>
      <c r="B490" s="549">
        <v>42226</v>
      </c>
      <c r="C490" s="500">
        <v>200</v>
      </c>
      <c r="D490" s="501">
        <v>19.95</v>
      </c>
      <c r="E490" s="502">
        <v>0</v>
      </c>
      <c r="F490" s="502">
        <f t="shared" si="166"/>
        <v>3990</v>
      </c>
      <c r="G490" s="499">
        <v>42297</v>
      </c>
      <c r="H490" s="517">
        <v>500</v>
      </c>
      <c r="I490" s="501">
        <v>19.149999999999999</v>
      </c>
      <c r="J490" s="502">
        <v>0.18</v>
      </c>
      <c r="K490" s="596">
        <f t="shared" si="167"/>
        <v>9574.82</v>
      </c>
      <c r="L490" s="500"/>
      <c r="M490" s="502"/>
    </row>
    <row r="491" spans="1:13" x14ac:dyDescent="0.25">
      <c r="A491" s="500"/>
      <c r="B491" s="549">
        <v>42226</v>
      </c>
      <c r="C491" s="500">
        <v>50</v>
      </c>
      <c r="D491" s="501">
        <v>20.010000000000002</v>
      </c>
      <c r="E491" s="502">
        <v>0</v>
      </c>
      <c r="F491" s="502">
        <f t="shared" si="166"/>
        <v>1000.5000000000001</v>
      </c>
      <c r="G491" s="499">
        <v>42300</v>
      </c>
      <c r="H491" s="517">
        <v>1000</v>
      </c>
      <c r="I491" s="501">
        <v>18.62</v>
      </c>
      <c r="J491" s="502">
        <v>0.34</v>
      </c>
      <c r="K491" s="596">
        <f t="shared" si="167"/>
        <v>18619.66</v>
      </c>
      <c r="L491" s="500"/>
      <c r="M491" s="502"/>
    </row>
    <row r="492" spans="1:13" x14ac:dyDescent="0.25">
      <c r="A492" s="500"/>
      <c r="B492" s="549">
        <v>42226</v>
      </c>
      <c r="C492" s="500">
        <v>100</v>
      </c>
      <c r="D492" s="501">
        <v>20.2</v>
      </c>
      <c r="E492" s="502">
        <v>0</v>
      </c>
      <c r="F492" s="502">
        <f t="shared" si="166"/>
        <v>2020</v>
      </c>
      <c r="G492" s="499">
        <v>42312</v>
      </c>
      <c r="H492" s="517">
        <v>2500</v>
      </c>
      <c r="I492" s="501">
        <v>18.48</v>
      </c>
      <c r="J492" s="502">
        <v>7.8</v>
      </c>
      <c r="K492" s="502">
        <f t="shared" si="167"/>
        <v>46192.2</v>
      </c>
      <c r="L492" s="500"/>
      <c r="M492" s="502"/>
    </row>
    <row r="493" spans="1:13" x14ac:dyDescent="0.25">
      <c r="A493" s="500"/>
      <c r="B493" s="549">
        <v>42227</v>
      </c>
      <c r="C493" s="500">
        <v>200</v>
      </c>
      <c r="D493" s="501">
        <v>18.399999999999999</v>
      </c>
      <c r="E493" s="502">
        <v>0</v>
      </c>
      <c r="F493" s="502">
        <f t="shared" si="166"/>
        <v>3679.9999999999995</v>
      </c>
      <c r="G493" s="499">
        <v>42313</v>
      </c>
      <c r="H493" s="517">
        <v>3000</v>
      </c>
      <c r="I493" s="501">
        <v>19.059999999999999</v>
      </c>
      <c r="J493" s="502">
        <v>1.05</v>
      </c>
      <c r="K493" s="502">
        <f t="shared" si="167"/>
        <v>57178.94999999999</v>
      </c>
      <c r="L493" s="500"/>
      <c r="M493" s="502"/>
    </row>
    <row r="494" spans="1:13" x14ac:dyDescent="0.25">
      <c r="A494" s="500"/>
      <c r="B494" s="549">
        <v>42227</v>
      </c>
      <c r="C494" s="500">
        <v>200</v>
      </c>
      <c r="D494" s="501">
        <v>19.55</v>
      </c>
      <c r="E494" s="502">
        <v>0</v>
      </c>
      <c r="F494" s="502">
        <f t="shared" si="166"/>
        <v>3910</v>
      </c>
      <c r="G494" s="499">
        <v>42324</v>
      </c>
      <c r="H494" s="517">
        <v>2500</v>
      </c>
      <c r="I494" s="501">
        <v>18.8</v>
      </c>
      <c r="J494" s="502">
        <v>0.86</v>
      </c>
      <c r="K494" s="502">
        <f t="shared" si="167"/>
        <v>46999.14</v>
      </c>
      <c r="L494" s="502"/>
      <c r="M494" s="502"/>
    </row>
    <row r="495" spans="1:13" x14ac:dyDescent="0.25">
      <c r="A495" s="500"/>
      <c r="B495" s="549">
        <v>42234</v>
      </c>
      <c r="C495" s="500">
        <v>40</v>
      </c>
      <c r="D495" s="501">
        <v>18.149999999999999</v>
      </c>
      <c r="E495" s="502">
        <v>0</v>
      </c>
      <c r="F495" s="502">
        <f t="shared" si="166"/>
        <v>726</v>
      </c>
      <c r="G495" s="499">
        <v>42335</v>
      </c>
      <c r="H495" s="517">
        <v>3078</v>
      </c>
      <c r="I495" s="501">
        <v>17.649999999999999</v>
      </c>
      <c r="J495" s="502">
        <v>1</v>
      </c>
      <c r="K495" s="502">
        <f t="shared" si="167"/>
        <v>54325.7</v>
      </c>
      <c r="L495" s="500"/>
      <c r="M495" s="502"/>
    </row>
    <row r="496" spans="1:13" x14ac:dyDescent="0.25">
      <c r="A496" s="500"/>
      <c r="B496" s="549">
        <v>42234</v>
      </c>
      <c r="C496" s="500">
        <v>100</v>
      </c>
      <c r="D496" s="501">
        <v>18</v>
      </c>
      <c r="E496" s="502">
        <v>0</v>
      </c>
      <c r="F496" s="502">
        <f t="shared" si="166"/>
        <v>1800</v>
      </c>
      <c r="G496" s="499">
        <v>42347</v>
      </c>
      <c r="H496" s="517">
        <v>500</v>
      </c>
      <c r="I496" s="501">
        <v>16.149999999999999</v>
      </c>
      <c r="J496" s="502">
        <v>0.15</v>
      </c>
      <c r="K496" s="502">
        <f t="shared" si="167"/>
        <v>8074.8499999999995</v>
      </c>
      <c r="L496" s="500"/>
      <c r="M496" s="502"/>
    </row>
    <row r="497" spans="1:13" x14ac:dyDescent="0.25">
      <c r="A497" s="500"/>
      <c r="B497" s="549">
        <v>42235</v>
      </c>
      <c r="C497" s="500">
        <v>100</v>
      </c>
      <c r="D497" s="501">
        <v>17.78</v>
      </c>
      <c r="E497" s="502">
        <v>0</v>
      </c>
      <c r="F497" s="502">
        <f t="shared" si="166"/>
        <v>1778</v>
      </c>
      <c r="G497" s="499">
        <v>42353</v>
      </c>
      <c r="H497" s="517">
        <v>600</v>
      </c>
      <c r="I497" s="501">
        <v>14.95</v>
      </c>
      <c r="J497" s="502">
        <v>0.17</v>
      </c>
      <c r="K497" s="502">
        <f t="shared" si="167"/>
        <v>8969.83</v>
      </c>
      <c r="L497" s="500"/>
      <c r="M497" s="502"/>
    </row>
    <row r="498" spans="1:13" x14ac:dyDescent="0.25">
      <c r="A498" s="500"/>
      <c r="B498" s="549">
        <v>42235</v>
      </c>
      <c r="C498" s="500">
        <v>100</v>
      </c>
      <c r="D498" s="501">
        <v>17.68</v>
      </c>
      <c r="E498" s="502">
        <v>0</v>
      </c>
      <c r="F498" s="502">
        <f t="shared" si="166"/>
        <v>1768</v>
      </c>
      <c r="G498" s="499">
        <v>42354</v>
      </c>
      <c r="H498" s="517">
        <v>500</v>
      </c>
      <c r="I498" s="501">
        <v>14.32</v>
      </c>
      <c r="J498" s="502">
        <v>0.13</v>
      </c>
      <c r="K498" s="502">
        <f t="shared" si="167"/>
        <v>7159.87</v>
      </c>
      <c r="L498" s="500"/>
      <c r="M498" s="502"/>
    </row>
    <row r="499" spans="1:13" x14ac:dyDescent="0.25">
      <c r="A499" s="500"/>
      <c r="B499" s="549">
        <v>42240</v>
      </c>
      <c r="C499" s="500">
        <v>100</v>
      </c>
      <c r="D499" s="501">
        <v>16.649999999999999</v>
      </c>
      <c r="E499" s="502">
        <v>0</v>
      </c>
      <c r="F499" s="502">
        <f t="shared" si="166"/>
        <v>1664.9999999999998</v>
      </c>
      <c r="G499" s="499">
        <v>42361</v>
      </c>
      <c r="H499" s="517">
        <v>500</v>
      </c>
      <c r="I499" s="501">
        <v>12.83</v>
      </c>
      <c r="J499" s="502">
        <v>0.12</v>
      </c>
      <c r="K499" s="502">
        <f t="shared" si="167"/>
        <v>6414.88</v>
      </c>
      <c r="L499" s="500"/>
      <c r="M499" s="502"/>
    </row>
    <row r="500" spans="1:13" x14ac:dyDescent="0.25">
      <c r="A500" s="500"/>
      <c r="B500" s="549">
        <v>42240</v>
      </c>
      <c r="C500" s="500">
        <v>100</v>
      </c>
      <c r="D500" s="501">
        <v>16.100000000000001</v>
      </c>
      <c r="E500" s="502">
        <v>0</v>
      </c>
      <c r="F500" s="502">
        <f t="shared" si="166"/>
        <v>1610.0000000000002</v>
      </c>
      <c r="G500" s="499">
        <v>42362</v>
      </c>
      <c r="H500" s="517">
        <v>1222</v>
      </c>
      <c r="I500" s="501">
        <v>12.75</v>
      </c>
      <c r="J500" s="502">
        <v>0.28999999999999998</v>
      </c>
      <c r="K500" s="502">
        <f t="shared" si="167"/>
        <v>15580.21</v>
      </c>
      <c r="L500" s="500"/>
      <c r="M500" s="502"/>
    </row>
    <row r="501" spans="1:13" x14ac:dyDescent="0.25">
      <c r="A501" s="500"/>
      <c r="B501" s="549">
        <v>42257</v>
      </c>
      <c r="C501" s="500">
        <v>1500</v>
      </c>
      <c r="D501" s="501">
        <v>16.350000000000001</v>
      </c>
      <c r="E501" s="502">
        <v>0</v>
      </c>
      <c r="F501" s="502">
        <f t="shared" si="166"/>
        <v>24525.000000000004</v>
      </c>
      <c r="G501" s="499">
        <v>42367</v>
      </c>
      <c r="H501" s="517">
        <v>1000</v>
      </c>
      <c r="I501" s="501">
        <v>13.15</v>
      </c>
      <c r="J501" s="502">
        <v>0.24</v>
      </c>
      <c r="K501" s="502">
        <f t="shared" si="167"/>
        <v>13149.76</v>
      </c>
      <c r="L501" s="500"/>
      <c r="M501" s="502"/>
    </row>
    <row r="502" spans="1:13" x14ac:dyDescent="0.25">
      <c r="A502" s="500"/>
      <c r="B502" s="549">
        <v>42258</v>
      </c>
      <c r="C502" s="500">
        <v>100</v>
      </c>
      <c r="D502" s="501">
        <v>16.100000000000001</v>
      </c>
      <c r="E502" s="502">
        <v>0</v>
      </c>
      <c r="F502" s="502">
        <f t="shared" si="166"/>
        <v>1610.0000000000002</v>
      </c>
      <c r="G502" s="499">
        <v>42367</v>
      </c>
      <c r="H502" s="517">
        <v>2178</v>
      </c>
      <c r="I502" s="501">
        <v>13.75</v>
      </c>
      <c r="J502" s="502">
        <v>0.55000000000000004</v>
      </c>
      <c r="K502" s="502">
        <f>H502*I502-J502</f>
        <v>29946.95</v>
      </c>
      <c r="L502" s="500"/>
      <c r="M502" s="502"/>
    </row>
    <row r="503" spans="1:13" x14ac:dyDescent="0.25">
      <c r="A503" s="500"/>
      <c r="B503" s="549">
        <v>42261</v>
      </c>
      <c r="C503" s="500">
        <v>1000</v>
      </c>
      <c r="D503" s="501">
        <v>15.416</v>
      </c>
      <c r="E503" s="502">
        <v>0</v>
      </c>
      <c r="F503" s="502">
        <f t="shared" si="166"/>
        <v>15416</v>
      </c>
      <c r="G503" s="499">
        <v>42010</v>
      </c>
      <c r="H503" s="517">
        <v>1000</v>
      </c>
      <c r="I503" s="501">
        <v>12.63</v>
      </c>
      <c r="J503" s="502">
        <v>0.23</v>
      </c>
      <c r="K503" s="502">
        <f>H503*I503-J503</f>
        <v>12629.77</v>
      </c>
      <c r="L503" s="500"/>
      <c r="M503" s="502"/>
    </row>
    <row r="504" spans="1:13" x14ac:dyDescent="0.25">
      <c r="A504" s="500"/>
      <c r="B504" s="549">
        <v>42261</v>
      </c>
      <c r="C504" s="500">
        <v>1000</v>
      </c>
      <c r="D504" s="501">
        <v>15.1</v>
      </c>
      <c r="E504" s="502">
        <v>0</v>
      </c>
      <c r="F504" s="502">
        <f t="shared" si="166"/>
        <v>15100</v>
      </c>
      <c r="G504" s="597">
        <v>42374</v>
      </c>
      <c r="H504" s="517">
        <v>2000</v>
      </c>
      <c r="I504" s="501">
        <v>12.81</v>
      </c>
      <c r="J504" s="502">
        <v>0.47</v>
      </c>
      <c r="K504" s="502">
        <f t="shared" ref="K504:K516" si="168">H504*I504-J504</f>
        <v>25619.53</v>
      </c>
      <c r="L504" s="500"/>
      <c r="M504" s="502"/>
    </row>
    <row r="505" spans="1:13" x14ac:dyDescent="0.25">
      <c r="A505" s="500"/>
      <c r="B505" s="549">
        <v>42261</v>
      </c>
      <c r="C505" s="500">
        <v>200</v>
      </c>
      <c r="D505" s="501">
        <v>14.87</v>
      </c>
      <c r="E505" s="502">
        <v>0</v>
      </c>
      <c r="F505" s="502">
        <f t="shared" si="166"/>
        <v>2974</v>
      </c>
      <c r="G505" s="499">
        <v>42374</v>
      </c>
      <c r="H505" s="517">
        <v>1000</v>
      </c>
      <c r="I505" s="501">
        <v>12.82</v>
      </c>
      <c r="J505" s="502">
        <v>0.24</v>
      </c>
      <c r="K505" s="502">
        <f t="shared" si="168"/>
        <v>12819.76</v>
      </c>
      <c r="L505" s="500"/>
      <c r="M505" s="502"/>
    </row>
    <row r="506" spans="1:13" x14ac:dyDescent="0.25">
      <c r="A506" s="500"/>
      <c r="B506" s="549">
        <v>42261</v>
      </c>
      <c r="C506" s="500">
        <v>300</v>
      </c>
      <c r="D506" s="501">
        <v>14.87</v>
      </c>
      <c r="E506" s="502">
        <v>0</v>
      </c>
      <c r="F506" s="502">
        <f t="shared" si="166"/>
        <v>4461</v>
      </c>
      <c r="G506" s="499">
        <v>42398</v>
      </c>
      <c r="H506" s="517">
        <v>400</v>
      </c>
      <c r="I506" s="501">
        <v>9.5500000000000007</v>
      </c>
      <c r="J506" s="502">
        <v>7.0000000000000007E-2</v>
      </c>
      <c r="K506" s="502">
        <f t="shared" si="168"/>
        <v>3819.9300000000003</v>
      </c>
      <c r="L506" s="500"/>
      <c r="M506" s="502"/>
    </row>
    <row r="507" spans="1:13" x14ac:dyDescent="0.25">
      <c r="A507" s="500"/>
      <c r="B507" s="549">
        <v>42270</v>
      </c>
      <c r="C507" s="500">
        <v>478</v>
      </c>
      <c r="D507" s="501">
        <v>15.85</v>
      </c>
      <c r="E507" s="502">
        <v>0</v>
      </c>
      <c r="F507" s="502">
        <f t="shared" si="166"/>
        <v>7576.3</v>
      </c>
      <c r="G507" s="499">
        <v>42411</v>
      </c>
      <c r="H507" s="517">
        <v>500</v>
      </c>
      <c r="I507" s="501">
        <v>6.97</v>
      </c>
      <c r="J507" s="502">
        <v>0.08</v>
      </c>
      <c r="K507" s="502">
        <f t="shared" si="168"/>
        <v>3484.92</v>
      </c>
      <c r="L507" s="500"/>
      <c r="M507" s="502"/>
    </row>
    <row r="508" spans="1:13" x14ac:dyDescent="0.25">
      <c r="A508" s="500"/>
      <c r="B508" s="549">
        <v>42292</v>
      </c>
      <c r="C508" s="500">
        <v>500</v>
      </c>
      <c r="D508" s="501">
        <v>18.55</v>
      </c>
      <c r="E508" s="502">
        <v>0</v>
      </c>
      <c r="F508" s="502">
        <f t="shared" si="166"/>
        <v>9275</v>
      </c>
      <c r="G508" s="499">
        <v>42412</v>
      </c>
      <c r="H508" s="517">
        <v>200</v>
      </c>
      <c r="I508" s="501">
        <v>7.45</v>
      </c>
      <c r="J508" s="502">
        <v>0.03</v>
      </c>
      <c r="K508" s="502">
        <f t="shared" si="168"/>
        <v>1489.97</v>
      </c>
      <c r="L508" s="500"/>
      <c r="M508" s="502"/>
    </row>
    <row r="509" spans="1:13" x14ac:dyDescent="0.25">
      <c r="A509" s="500"/>
      <c r="B509" s="549">
        <v>42299</v>
      </c>
      <c r="C509" s="500">
        <v>500</v>
      </c>
      <c r="D509" s="501">
        <v>18.55</v>
      </c>
      <c r="E509" s="502">
        <v>0</v>
      </c>
      <c r="F509" s="502">
        <f t="shared" si="166"/>
        <v>9275</v>
      </c>
      <c r="G509" s="499">
        <v>42416</v>
      </c>
      <c r="H509" s="517">
        <v>500</v>
      </c>
      <c r="I509" s="501">
        <v>7.75</v>
      </c>
      <c r="J509" s="502">
        <v>0.08</v>
      </c>
      <c r="K509" s="502">
        <f t="shared" si="168"/>
        <v>3874.92</v>
      </c>
      <c r="L509" s="500"/>
      <c r="M509" s="502"/>
    </row>
    <row r="510" spans="1:13" x14ac:dyDescent="0.25">
      <c r="A510" s="500"/>
      <c r="B510" s="549">
        <v>42299</v>
      </c>
      <c r="C510" s="500">
        <v>500</v>
      </c>
      <c r="D510" s="501">
        <v>18.28</v>
      </c>
      <c r="E510" s="502">
        <v>0</v>
      </c>
      <c r="F510" s="502">
        <f t="shared" si="166"/>
        <v>9140</v>
      </c>
      <c r="G510" s="499">
        <v>42422</v>
      </c>
      <c r="H510" s="517">
        <v>2500</v>
      </c>
      <c r="I510" s="501">
        <v>7.47</v>
      </c>
      <c r="J510" s="502">
        <v>0.41</v>
      </c>
      <c r="K510" s="502">
        <f t="shared" si="168"/>
        <v>18674.59</v>
      </c>
      <c r="L510" s="500"/>
      <c r="M510" s="502"/>
    </row>
    <row r="511" spans="1:13" x14ac:dyDescent="0.25">
      <c r="A511" s="500"/>
      <c r="B511" s="549">
        <v>42299</v>
      </c>
      <c r="C511" s="500">
        <v>1000</v>
      </c>
      <c r="D511" s="501">
        <v>18.100000000000001</v>
      </c>
      <c r="E511" s="502">
        <v>0</v>
      </c>
      <c r="F511" s="502">
        <f t="shared" si="166"/>
        <v>18100</v>
      </c>
      <c r="G511" s="499">
        <v>42422</v>
      </c>
      <c r="H511" s="517">
        <v>1000</v>
      </c>
      <c r="I511" s="501">
        <v>7.49</v>
      </c>
      <c r="J511" s="502">
        <v>0.16</v>
      </c>
      <c r="K511" s="502">
        <f t="shared" si="168"/>
        <v>7489.84</v>
      </c>
      <c r="L511" s="500"/>
      <c r="M511" s="502"/>
    </row>
    <row r="512" spans="1:13" ht="15" customHeight="1" x14ac:dyDescent="0.25">
      <c r="A512" s="500"/>
      <c r="B512" s="612">
        <v>42306</v>
      </c>
      <c r="C512" s="500">
        <v>660</v>
      </c>
      <c r="D512" s="501">
        <v>17.8</v>
      </c>
      <c r="E512" s="502">
        <v>0</v>
      </c>
      <c r="F512" s="502">
        <f t="shared" si="166"/>
        <v>11748</v>
      </c>
      <c r="G512" s="499">
        <v>42426</v>
      </c>
      <c r="H512" s="517">
        <v>900</v>
      </c>
      <c r="I512" s="501">
        <v>7.7</v>
      </c>
      <c r="J512" s="502">
        <v>0.15</v>
      </c>
      <c r="K512" s="502">
        <f t="shared" si="168"/>
        <v>6929.85</v>
      </c>
      <c r="L512" s="500"/>
      <c r="M512" s="502"/>
    </row>
    <row r="513" spans="1:13" ht="30" x14ac:dyDescent="0.25">
      <c r="A513" s="500"/>
      <c r="B513" s="612"/>
      <c r="C513" s="500">
        <v>340</v>
      </c>
      <c r="D513" s="501">
        <v>17.8</v>
      </c>
      <c r="E513" s="502">
        <v>0</v>
      </c>
      <c r="F513" s="502">
        <f t="shared" si="166"/>
        <v>6052</v>
      </c>
      <c r="G513" s="615" t="s">
        <v>181</v>
      </c>
      <c r="H513" s="517">
        <v>500</v>
      </c>
      <c r="I513" s="501">
        <v>7.73</v>
      </c>
      <c r="J513" s="502">
        <v>0.08</v>
      </c>
      <c r="K513" s="502">
        <f t="shared" si="168"/>
        <v>3864.92</v>
      </c>
      <c r="L513" s="500"/>
      <c r="M513" s="502"/>
    </row>
    <row r="514" spans="1:13" x14ac:dyDescent="0.25">
      <c r="A514" s="500"/>
      <c r="B514" s="549">
        <v>42312</v>
      </c>
      <c r="C514" s="598">
        <v>500</v>
      </c>
      <c r="D514" s="595">
        <v>17.559999999999999</v>
      </c>
      <c r="E514" s="596">
        <v>6.95</v>
      </c>
      <c r="F514" s="596">
        <f t="shared" si="166"/>
        <v>8786.9500000000007</v>
      </c>
      <c r="G514" s="615"/>
      <c r="H514" s="517">
        <v>500</v>
      </c>
      <c r="I514" s="501">
        <v>7.96</v>
      </c>
      <c r="J514" s="502">
        <v>0.09</v>
      </c>
      <c r="K514" s="502">
        <f t="shared" si="168"/>
        <v>3979.91</v>
      </c>
      <c r="L514" s="500"/>
      <c r="M514" s="502"/>
    </row>
    <row r="515" spans="1:13" x14ac:dyDescent="0.25">
      <c r="A515" s="500"/>
      <c r="B515" s="549">
        <v>42313</v>
      </c>
      <c r="C515" s="500">
        <v>3000</v>
      </c>
      <c r="D515" s="501">
        <v>19.05</v>
      </c>
      <c r="E515" s="502">
        <v>0</v>
      </c>
      <c r="F515" s="502">
        <f t="shared" si="166"/>
        <v>57150</v>
      </c>
      <c r="G515" s="615"/>
      <c r="H515" s="517">
        <v>500</v>
      </c>
      <c r="I515" s="501">
        <v>8.0299999999999994</v>
      </c>
      <c r="J515" s="502">
        <v>0.09</v>
      </c>
      <c r="K515" s="502">
        <f t="shared" si="168"/>
        <v>4014.9099999999994</v>
      </c>
      <c r="L515" s="500"/>
      <c r="M515" s="501"/>
    </row>
    <row r="516" spans="1:13" x14ac:dyDescent="0.25">
      <c r="A516" s="500"/>
      <c r="B516" s="549">
        <v>42320</v>
      </c>
      <c r="C516" s="500">
        <v>500</v>
      </c>
      <c r="D516" s="501">
        <v>18.079999999999998</v>
      </c>
      <c r="E516" s="502">
        <v>0</v>
      </c>
      <c r="F516" s="502">
        <f t="shared" si="166"/>
        <v>9040</v>
      </c>
      <c r="G516" s="615"/>
      <c r="H516" s="517">
        <v>1500</v>
      </c>
      <c r="I516" s="501">
        <v>8.1</v>
      </c>
      <c r="J516" s="502">
        <v>0.26</v>
      </c>
      <c r="K516" s="502">
        <f t="shared" si="168"/>
        <v>12149.74</v>
      </c>
      <c r="L516" s="500"/>
      <c r="M516" s="502"/>
    </row>
    <row r="517" spans="1:13" x14ac:dyDescent="0.25">
      <c r="A517" s="500"/>
      <c r="B517" s="549">
        <v>42320</v>
      </c>
      <c r="C517" s="500">
        <v>1000</v>
      </c>
      <c r="D517" s="501">
        <v>18.05</v>
      </c>
      <c r="E517" s="502">
        <v>0</v>
      </c>
      <c r="F517" s="502">
        <f t="shared" si="166"/>
        <v>18050</v>
      </c>
      <c r="G517" s="499">
        <v>42429</v>
      </c>
      <c r="H517" s="517">
        <v>1000</v>
      </c>
      <c r="I517" s="501">
        <v>8.5399999999999991</v>
      </c>
      <c r="J517" s="502">
        <v>0.19</v>
      </c>
      <c r="K517" s="502">
        <f>H517*I517-J517</f>
        <v>8539.81</v>
      </c>
      <c r="L517" s="500"/>
      <c r="M517" s="599"/>
    </row>
    <row r="518" spans="1:13" x14ac:dyDescent="0.25">
      <c r="A518" s="500"/>
      <c r="B518" s="549">
        <v>42320</v>
      </c>
      <c r="C518" s="500">
        <v>1000</v>
      </c>
      <c r="D518" s="501">
        <v>17.82</v>
      </c>
      <c r="E518" s="502">
        <v>0</v>
      </c>
      <c r="F518" s="502">
        <f t="shared" si="166"/>
        <v>17820</v>
      </c>
      <c r="G518" s="499">
        <v>42429</v>
      </c>
      <c r="H518" s="517">
        <v>500</v>
      </c>
      <c r="I518" s="501">
        <v>7.95</v>
      </c>
      <c r="J518" s="502">
        <v>0.09</v>
      </c>
      <c r="K518" s="502">
        <f>H518*I518-J518</f>
        <v>3974.91</v>
      </c>
      <c r="L518" s="500"/>
      <c r="M518" s="502"/>
    </row>
    <row r="519" spans="1:13" x14ac:dyDescent="0.25">
      <c r="A519" s="500"/>
      <c r="B519" s="549">
        <v>42328</v>
      </c>
      <c r="C519" s="500">
        <v>3078</v>
      </c>
      <c r="D519" s="501">
        <v>17.47</v>
      </c>
      <c r="E519" s="502">
        <v>0</v>
      </c>
      <c r="F519" s="502">
        <f t="shared" si="166"/>
        <v>53772.659999999996</v>
      </c>
      <c r="G519" s="499">
        <v>42429</v>
      </c>
      <c r="H519" s="517">
        <v>500</v>
      </c>
      <c r="I519" s="501">
        <v>7.97</v>
      </c>
      <c r="J519" s="502">
        <v>0.09</v>
      </c>
      <c r="K519" s="502">
        <f t="shared" ref="K519:K578" si="169">H519*I519-J519</f>
        <v>3984.91</v>
      </c>
      <c r="L519" s="500"/>
      <c r="M519" s="502"/>
    </row>
    <row r="520" spans="1:13" x14ac:dyDescent="0.25">
      <c r="A520" s="500"/>
      <c r="B520" s="549">
        <v>42340</v>
      </c>
      <c r="C520" s="500">
        <v>3078</v>
      </c>
      <c r="D520" s="501">
        <v>17.739999999999998</v>
      </c>
      <c r="E520" s="502">
        <v>0</v>
      </c>
      <c r="F520" s="502">
        <f t="shared" si="166"/>
        <v>54603.719999999994</v>
      </c>
      <c r="G520" s="499">
        <v>42430</v>
      </c>
      <c r="H520" s="517">
        <v>500</v>
      </c>
      <c r="I520" s="501">
        <v>7.85</v>
      </c>
      <c r="J520" s="502">
        <v>0.09</v>
      </c>
      <c r="K520" s="502">
        <f t="shared" si="169"/>
        <v>3924.91</v>
      </c>
      <c r="L520" s="500"/>
      <c r="M520" s="502"/>
    </row>
    <row r="521" spans="1:13" x14ac:dyDescent="0.25">
      <c r="A521" s="500"/>
      <c r="B521" s="549">
        <v>42340</v>
      </c>
      <c r="C521" s="500">
        <v>500</v>
      </c>
      <c r="D521" s="501">
        <v>17.5</v>
      </c>
      <c r="E521" s="502">
        <v>0</v>
      </c>
      <c r="F521" s="502">
        <f t="shared" si="166"/>
        <v>8750</v>
      </c>
      <c r="G521" s="499">
        <v>42430</v>
      </c>
      <c r="H521" s="517">
        <v>500</v>
      </c>
      <c r="I521" s="501">
        <v>8.0299999999999994</v>
      </c>
      <c r="J521" s="502">
        <v>0.09</v>
      </c>
      <c r="K521" s="502">
        <f t="shared" si="169"/>
        <v>4014.9099999999994</v>
      </c>
      <c r="L521" s="502"/>
      <c r="M521" s="502"/>
    </row>
    <row r="522" spans="1:13" x14ac:dyDescent="0.25">
      <c r="A522" s="500"/>
      <c r="B522" s="549">
        <v>42345</v>
      </c>
      <c r="C522" s="500">
        <v>100</v>
      </c>
      <c r="D522" s="501">
        <v>16.7</v>
      </c>
      <c r="E522" s="502">
        <v>0</v>
      </c>
      <c r="F522" s="502">
        <f t="shared" si="166"/>
        <v>1670</v>
      </c>
      <c r="G522" s="499">
        <v>42431</v>
      </c>
      <c r="H522" s="517">
        <v>500</v>
      </c>
      <c r="I522" s="501">
        <v>8.3800000000000008</v>
      </c>
      <c r="J522" s="502">
        <v>0.09</v>
      </c>
      <c r="K522" s="502">
        <f t="shared" si="169"/>
        <v>4189.91</v>
      </c>
      <c r="L522" s="502"/>
      <c r="M522" s="502"/>
    </row>
    <row r="523" spans="1:13" x14ac:dyDescent="0.25">
      <c r="A523" s="500"/>
      <c r="B523" s="549">
        <v>42345</v>
      </c>
      <c r="C523" s="500">
        <v>500</v>
      </c>
      <c r="D523" s="501">
        <v>16.850000000000001</v>
      </c>
      <c r="E523" s="502">
        <v>0</v>
      </c>
      <c r="F523" s="502">
        <f t="shared" si="166"/>
        <v>8425</v>
      </c>
      <c r="G523" s="499">
        <v>42431</v>
      </c>
      <c r="H523" s="517">
        <v>500</v>
      </c>
      <c r="I523" s="501">
        <v>8.58</v>
      </c>
      <c r="J523" s="502">
        <v>0.09</v>
      </c>
      <c r="K523" s="502">
        <f t="shared" si="169"/>
        <v>4289.91</v>
      </c>
      <c r="L523" s="500"/>
      <c r="M523" s="502"/>
    </row>
    <row r="524" spans="1:13" ht="30" x14ac:dyDescent="0.25">
      <c r="A524" s="500"/>
      <c r="B524" s="549">
        <v>42347</v>
      </c>
      <c r="C524" s="500">
        <v>500</v>
      </c>
      <c r="D524" s="501">
        <v>15.84</v>
      </c>
      <c r="E524" s="502">
        <v>0</v>
      </c>
      <c r="F524" s="502">
        <f t="shared" si="166"/>
        <v>7920</v>
      </c>
      <c r="G524" s="614" t="s">
        <v>183</v>
      </c>
      <c r="H524" s="517">
        <v>400</v>
      </c>
      <c r="I524" s="501">
        <v>9.09</v>
      </c>
      <c r="J524" s="502">
        <v>0.1</v>
      </c>
      <c r="K524" s="502">
        <f t="shared" si="169"/>
        <v>3635.9</v>
      </c>
      <c r="L524" s="500"/>
      <c r="M524" s="502"/>
    </row>
    <row r="525" spans="1:13" x14ac:dyDescent="0.25">
      <c r="A525" s="500"/>
      <c r="B525" s="549">
        <v>42348</v>
      </c>
      <c r="C525" s="500">
        <v>500</v>
      </c>
      <c r="D525" s="501">
        <v>14.78</v>
      </c>
      <c r="E525" s="502">
        <v>0</v>
      </c>
      <c r="F525" s="502">
        <f t="shared" si="166"/>
        <v>7390</v>
      </c>
      <c r="G525" s="614"/>
      <c r="H525" s="517">
        <v>100</v>
      </c>
      <c r="I525" s="501">
        <v>9.09</v>
      </c>
      <c r="J525" s="502">
        <v>0</v>
      </c>
      <c r="K525" s="502">
        <f t="shared" si="169"/>
        <v>909</v>
      </c>
      <c r="L525" s="500"/>
      <c r="M525" s="502"/>
    </row>
    <row r="526" spans="1:13" x14ac:dyDescent="0.25">
      <c r="A526" s="500"/>
      <c r="B526" s="549">
        <v>42352</v>
      </c>
      <c r="C526" s="500">
        <v>100</v>
      </c>
      <c r="D526" s="501">
        <v>14.57</v>
      </c>
      <c r="E526" s="502">
        <v>0</v>
      </c>
      <c r="F526" s="502">
        <f t="shared" si="166"/>
        <v>1457</v>
      </c>
      <c r="G526" s="614"/>
      <c r="H526" s="517">
        <v>500</v>
      </c>
      <c r="I526" s="501">
        <v>8.81</v>
      </c>
      <c r="J526" s="502">
        <v>0.1</v>
      </c>
      <c r="K526" s="502">
        <f t="shared" si="169"/>
        <v>4404.8999999999996</v>
      </c>
      <c r="L526" s="500"/>
      <c r="M526" s="502"/>
    </row>
    <row r="527" spans="1:13" x14ac:dyDescent="0.25">
      <c r="A527" s="500"/>
      <c r="B527" s="549">
        <v>42355</v>
      </c>
      <c r="C527" s="500">
        <v>500</v>
      </c>
      <c r="D527" s="501">
        <v>13.89</v>
      </c>
      <c r="E527" s="502">
        <v>0</v>
      </c>
      <c r="F527" s="502">
        <f t="shared" si="166"/>
        <v>6945</v>
      </c>
      <c r="G527" s="499">
        <v>42432</v>
      </c>
      <c r="H527" s="517">
        <v>600</v>
      </c>
      <c r="I527" s="501">
        <v>9.65</v>
      </c>
      <c r="J527" s="502">
        <v>0.13</v>
      </c>
      <c r="K527" s="502">
        <f t="shared" si="169"/>
        <v>5789.87</v>
      </c>
      <c r="L527" s="500"/>
      <c r="M527" s="502"/>
    </row>
    <row r="528" spans="1:13" x14ac:dyDescent="0.25">
      <c r="A528" s="500"/>
      <c r="B528" s="549">
        <v>42360</v>
      </c>
      <c r="C528" s="500">
        <v>500</v>
      </c>
      <c r="D528" s="501">
        <v>12.95</v>
      </c>
      <c r="E528" s="502">
        <v>0</v>
      </c>
      <c r="F528" s="502">
        <f t="shared" si="166"/>
        <v>6475</v>
      </c>
      <c r="G528" s="499">
        <v>42433</v>
      </c>
      <c r="H528" s="517">
        <v>600</v>
      </c>
      <c r="I528" s="501">
        <v>10.45</v>
      </c>
      <c r="J528" s="502">
        <v>0.14000000000000001</v>
      </c>
      <c r="K528" s="502">
        <f t="shared" si="169"/>
        <v>6269.86</v>
      </c>
      <c r="L528" s="500"/>
      <c r="M528" s="502"/>
    </row>
    <row r="529" spans="1:13" x14ac:dyDescent="0.25">
      <c r="A529" s="500"/>
      <c r="B529" s="549">
        <v>42361</v>
      </c>
      <c r="C529" s="500">
        <v>500</v>
      </c>
      <c r="D529" s="501">
        <v>12.75</v>
      </c>
      <c r="E529" s="502">
        <v>0</v>
      </c>
      <c r="F529" s="502">
        <f t="shared" si="166"/>
        <v>6375</v>
      </c>
      <c r="G529" s="499">
        <v>42440</v>
      </c>
      <c r="H529" s="517">
        <v>400</v>
      </c>
      <c r="I529" s="501">
        <v>11.25</v>
      </c>
      <c r="J529" s="502">
        <v>0.1</v>
      </c>
      <c r="K529" s="502">
        <f t="shared" si="169"/>
        <v>4499.8999999999996</v>
      </c>
      <c r="L529" s="500"/>
      <c r="M529" s="502"/>
    </row>
    <row r="530" spans="1:13" x14ac:dyDescent="0.25">
      <c r="A530" s="500"/>
      <c r="B530" s="549">
        <v>42361</v>
      </c>
      <c r="C530" s="500">
        <v>500</v>
      </c>
      <c r="D530" s="501">
        <v>12.8</v>
      </c>
      <c r="E530" s="502">
        <v>0</v>
      </c>
      <c r="F530" s="502">
        <f t="shared" si="166"/>
        <v>6400</v>
      </c>
      <c r="G530" s="499">
        <v>42446</v>
      </c>
      <c r="H530" s="517">
        <v>1500</v>
      </c>
      <c r="I530" s="501">
        <v>11.49</v>
      </c>
      <c r="J530" s="502">
        <v>0.38</v>
      </c>
      <c r="K530" s="502">
        <f t="shared" si="169"/>
        <v>17234.62</v>
      </c>
      <c r="L530" s="500"/>
      <c r="M530" s="502"/>
    </row>
    <row r="531" spans="1:13" x14ac:dyDescent="0.25">
      <c r="A531" s="500"/>
      <c r="B531" s="549">
        <v>42361</v>
      </c>
      <c r="C531" s="500">
        <v>1000</v>
      </c>
      <c r="D531" s="501">
        <v>12.67</v>
      </c>
      <c r="E531" s="502">
        <v>0</v>
      </c>
      <c r="F531" s="502">
        <f t="shared" si="166"/>
        <v>12670</v>
      </c>
      <c r="G531" s="499">
        <v>42447</v>
      </c>
      <c r="H531" s="517">
        <v>1500</v>
      </c>
      <c r="I531" s="501">
        <v>11.44</v>
      </c>
      <c r="J531" s="502">
        <v>0.37</v>
      </c>
      <c r="K531" s="502">
        <f t="shared" si="169"/>
        <v>17159.63</v>
      </c>
      <c r="L531" s="500"/>
      <c r="M531" s="502"/>
    </row>
    <row r="532" spans="1:13" x14ac:dyDescent="0.25">
      <c r="A532" s="500"/>
      <c r="B532" s="549">
        <v>42361</v>
      </c>
      <c r="C532" s="500">
        <v>222</v>
      </c>
      <c r="D532" s="501">
        <v>12.44</v>
      </c>
      <c r="E532" s="502">
        <v>0</v>
      </c>
      <c r="F532" s="502">
        <f t="shared" si="166"/>
        <v>2761.68</v>
      </c>
      <c r="G532" s="499">
        <v>42447</v>
      </c>
      <c r="H532" s="517">
        <v>500</v>
      </c>
      <c r="I532" s="501">
        <v>11.484999999999999</v>
      </c>
      <c r="J532" s="502">
        <v>0.13</v>
      </c>
      <c r="K532" s="502">
        <f t="shared" si="169"/>
        <v>5742.37</v>
      </c>
      <c r="L532" s="500"/>
      <c r="M532" s="502"/>
    </row>
    <row r="533" spans="1:13" x14ac:dyDescent="0.25">
      <c r="A533" s="500"/>
      <c r="B533" s="549">
        <v>42367</v>
      </c>
      <c r="C533" s="500">
        <v>2178</v>
      </c>
      <c r="D533" s="501">
        <v>13.68</v>
      </c>
      <c r="E533" s="502">
        <v>0</v>
      </c>
      <c r="F533" s="502">
        <f t="shared" si="166"/>
        <v>29795.040000000001</v>
      </c>
      <c r="G533" s="613">
        <v>42447</v>
      </c>
      <c r="H533" s="517">
        <v>650</v>
      </c>
      <c r="I533" s="501">
        <v>11.56</v>
      </c>
      <c r="J533" s="502">
        <v>0.25</v>
      </c>
      <c r="K533" s="502">
        <f t="shared" si="169"/>
        <v>7513.75</v>
      </c>
      <c r="L533" s="500"/>
      <c r="M533" s="502"/>
    </row>
    <row r="534" spans="1:13" x14ac:dyDescent="0.25">
      <c r="A534" s="500"/>
      <c r="B534" s="549">
        <v>42369</v>
      </c>
      <c r="C534" s="500">
        <v>2500</v>
      </c>
      <c r="D534" s="501">
        <v>13.04</v>
      </c>
      <c r="E534" s="502">
        <v>0</v>
      </c>
      <c r="F534" s="502">
        <f t="shared" si="166"/>
        <v>32599.999999999996</v>
      </c>
      <c r="G534" s="613"/>
      <c r="H534" s="517">
        <v>350</v>
      </c>
      <c r="I534" s="501">
        <v>11.56</v>
      </c>
      <c r="J534" s="502">
        <v>0</v>
      </c>
      <c r="K534" s="502">
        <f t="shared" si="169"/>
        <v>4046</v>
      </c>
      <c r="L534" s="500"/>
      <c r="M534" s="502"/>
    </row>
    <row r="535" spans="1:13" x14ac:dyDescent="0.25">
      <c r="A535" s="500"/>
      <c r="B535" s="549">
        <v>42008</v>
      </c>
      <c r="C535" s="500">
        <v>2000</v>
      </c>
      <c r="D535" s="501">
        <v>13.01</v>
      </c>
      <c r="E535" s="502">
        <v>0</v>
      </c>
      <c r="F535" s="502">
        <f t="shared" si="166"/>
        <v>26020</v>
      </c>
      <c r="G535" s="499">
        <v>42447</v>
      </c>
      <c r="H535" s="517">
        <v>1000</v>
      </c>
      <c r="I535" s="501">
        <v>11.62</v>
      </c>
      <c r="J535" s="502">
        <v>0.25</v>
      </c>
      <c r="K535" s="502">
        <f t="shared" si="169"/>
        <v>11619.75</v>
      </c>
      <c r="L535" s="500"/>
      <c r="M535" s="502"/>
    </row>
    <row r="536" spans="1:13" x14ac:dyDescent="0.25">
      <c r="A536" s="500"/>
      <c r="B536" s="549">
        <v>42009</v>
      </c>
      <c r="C536" s="500">
        <v>500</v>
      </c>
      <c r="D536" s="501">
        <v>12.62</v>
      </c>
      <c r="E536" s="502">
        <v>0</v>
      </c>
      <c r="F536" s="502">
        <f t="shared" si="166"/>
        <v>6310</v>
      </c>
      <c r="G536" s="499">
        <v>42451</v>
      </c>
      <c r="H536" s="517">
        <v>1000</v>
      </c>
      <c r="I536" s="501">
        <v>11.45</v>
      </c>
      <c r="J536" s="502">
        <v>0.25</v>
      </c>
      <c r="K536" s="502">
        <f t="shared" si="169"/>
        <v>11449.75</v>
      </c>
      <c r="L536" s="500"/>
      <c r="M536" s="502"/>
    </row>
    <row r="537" spans="1:13" x14ac:dyDescent="0.25">
      <c r="A537" s="500"/>
      <c r="B537" s="549">
        <v>42009</v>
      </c>
      <c r="C537" s="500">
        <v>500</v>
      </c>
      <c r="D537" s="501">
        <v>12.45</v>
      </c>
      <c r="E537" s="502">
        <v>0</v>
      </c>
      <c r="F537" s="502">
        <f t="shared" si="166"/>
        <v>6225</v>
      </c>
      <c r="G537" s="499">
        <v>42451</v>
      </c>
      <c r="H537" s="517">
        <v>50</v>
      </c>
      <c r="I537" s="501">
        <v>11.28</v>
      </c>
      <c r="J537" s="502">
        <v>0.01</v>
      </c>
      <c r="K537" s="502">
        <f t="shared" si="169"/>
        <v>563.99</v>
      </c>
      <c r="L537" s="500"/>
      <c r="M537" s="502"/>
    </row>
    <row r="538" spans="1:13" x14ac:dyDescent="0.25">
      <c r="A538" s="500"/>
      <c r="B538" s="600">
        <v>42374</v>
      </c>
      <c r="C538" s="500">
        <v>2000</v>
      </c>
      <c r="D538" s="501">
        <v>12.73</v>
      </c>
      <c r="E538" s="502">
        <v>0</v>
      </c>
      <c r="F538" s="502">
        <f t="shared" ref="F538:F601" si="170">C538*D538+E538</f>
        <v>25460</v>
      </c>
      <c r="G538" s="499">
        <v>42459</v>
      </c>
      <c r="H538" s="517">
        <v>2000</v>
      </c>
      <c r="I538" s="501">
        <v>10.75</v>
      </c>
      <c r="J538" s="502">
        <v>0.47</v>
      </c>
      <c r="K538" s="502">
        <f t="shared" si="169"/>
        <v>21499.53</v>
      </c>
      <c r="L538" s="500"/>
      <c r="M538" s="502"/>
    </row>
    <row r="539" spans="1:13" x14ac:dyDescent="0.25">
      <c r="A539" s="500"/>
      <c r="B539" s="549">
        <v>42375</v>
      </c>
      <c r="C539" s="500">
        <v>1000</v>
      </c>
      <c r="D539" s="501">
        <v>12.5</v>
      </c>
      <c r="E539" s="502">
        <v>0</v>
      </c>
      <c r="F539" s="502">
        <f t="shared" si="170"/>
        <v>12500</v>
      </c>
      <c r="G539" s="499">
        <v>42460</v>
      </c>
      <c r="H539" s="517">
        <v>1600</v>
      </c>
      <c r="I539" s="501">
        <v>10.95</v>
      </c>
      <c r="J539" s="502">
        <v>2.88</v>
      </c>
      <c r="K539" s="502">
        <f t="shared" si="169"/>
        <v>17517.12</v>
      </c>
      <c r="L539" s="500"/>
      <c r="M539" s="502"/>
    </row>
    <row r="540" spans="1:13" x14ac:dyDescent="0.25">
      <c r="A540" s="500"/>
      <c r="B540" s="549">
        <v>42375</v>
      </c>
      <c r="C540" s="500">
        <v>1000</v>
      </c>
      <c r="D540" s="501">
        <v>11.7</v>
      </c>
      <c r="E540" s="502">
        <v>0</v>
      </c>
      <c r="F540" s="502">
        <f t="shared" si="170"/>
        <v>11700</v>
      </c>
      <c r="G540" s="499">
        <v>42461</v>
      </c>
      <c r="H540" s="517">
        <v>2000</v>
      </c>
      <c r="I540" s="501">
        <v>10.52</v>
      </c>
      <c r="J540" s="502">
        <v>0.46</v>
      </c>
      <c r="K540" s="502">
        <f t="shared" si="169"/>
        <v>21039.54</v>
      </c>
      <c r="L540" s="500"/>
      <c r="M540" s="502"/>
    </row>
    <row r="541" spans="1:13" x14ac:dyDescent="0.25">
      <c r="A541" s="500"/>
      <c r="B541" s="549">
        <v>42402</v>
      </c>
      <c r="C541" s="500">
        <v>400</v>
      </c>
      <c r="D541" s="501">
        <v>9.1</v>
      </c>
      <c r="E541" s="502">
        <v>0</v>
      </c>
      <c r="F541" s="502">
        <f t="shared" si="170"/>
        <v>3640</v>
      </c>
      <c r="G541" s="499">
        <v>42461</v>
      </c>
      <c r="H541" s="517">
        <v>2000</v>
      </c>
      <c r="I541" s="501">
        <v>10.55</v>
      </c>
      <c r="J541" s="502">
        <v>0.46</v>
      </c>
      <c r="K541" s="502">
        <f t="shared" si="169"/>
        <v>21099.54</v>
      </c>
      <c r="L541" s="500"/>
      <c r="M541" s="502"/>
    </row>
    <row r="542" spans="1:13" x14ac:dyDescent="0.25">
      <c r="A542" s="500"/>
      <c r="B542" s="549">
        <v>42411</v>
      </c>
      <c r="C542" s="500">
        <v>500</v>
      </c>
      <c r="D542" s="501">
        <v>6.835</v>
      </c>
      <c r="E542" s="502">
        <v>0</v>
      </c>
      <c r="F542" s="502">
        <f t="shared" si="170"/>
        <v>3417.5</v>
      </c>
      <c r="G542" s="499">
        <v>42465</v>
      </c>
      <c r="H542" s="517">
        <v>100</v>
      </c>
      <c r="I542" s="501">
        <v>10.75</v>
      </c>
      <c r="J542" s="502">
        <v>0.02</v>
      </c>
      <c r="K542" s="502">
        <f t="shared" si="169"/>
        <v>1074.98</v>
      </c>
      <c r="L542" s="500"/>
      <c r="M542" s="502"/>
    </row>
    <row r="543" spans="1:13" x14ac:dyDescent="0.25">
      <c r="A543" s="500"/>
      <c r="B543" s="549">
        <v>42412</v>
      </c>
      <c r="C543" s="500">
        <v>200</v>
      </c>
      <c r="D543" s="501">
        <v>7.23</v>
      </c>
      <c r="E543" s="502">
        <v>0</v>
      </c>
      <c r="F543" s="502">
        <f t="shared" si="170"/>
        <v>1446</v>
      </c>
      <c r="G543" s="499">
        <v>42468</v>
      </c>
      <c r="H543" s="517">
        <v>1000</v>
      </c>
      <c r="I543" s="501">
        <v>11.77</v>
      </c>
      <c r="J543" s="502">
        <v>0.26</v>
      </c>
      <c r="K543" s="502">
        <f t="shared" si="169"/>
        <v>11769.74</v>
      </c>
      <c r="L543" s="500"/>
      <c r="M543" s="502"/>
    </row>
    <row r="544" spans="1:13" x14ac:dyDescent="0.25">
      <c r="A544" s="500"/>
      <c r="B544" s="549">
        <v>42416</v>
      </c>
      <c r="C544" s="500">
        <v>500</v>
      </c>
      <c r="D544" s="501">
        <v>7.5</v>
      </c>
      <c r="E544" s="502">
        <v>0</v>
      </c>
      <c r="F544" s="502">
        <f t="shared" si="170"/>
        <v>3750</v>
      </c>
      <c r="G544" s="613">
        <v>42472</v>
      </c>
      <c r="H544" s="517">
        <v>420</v>
      </c>
      <c r="I544" s="501">
        <v>13.35</v>
      </c>
      <c r="J544" s="502">
        <v>0.15</v>
      </c>
      <c r="K544" s="502">
        <f t="shared" si="169"/>
        <v>5606.85</v>
      </c>
      <c r="L544" s="500"/>
      <c r="M544" s="502"/>
    </row>
    <row r="545" spans="1:13" ht="30" x14ac:dyDescent="0.25">
      <c r="A545" s="500"/>
      <c r="B545" s="616" t="s">
        <v>179</v>
      </c>
      <c r="C545" s="500">
        <v>3000</v>
      </c>
      <c r="D545" s="501">
        <v>7.55</v>
      </c>
      <c r="E545" s="502">
        <v>0</v>
      </c>
      <c r="F545" s="502">
        <f t="shared" si="170"/>
        <v>22650</v>
      </c>
      <c r="G545" s="613"/>
      <c r="H545" s="517">
        <v>80</v>
      </c>
      <c r="I545" s="501">
        <v>13.35</v>
      </c>
      <c r="J545" s="502">
        <v>0</v>
      </c>
      <c r="K545" s="502">
        <f t="shared" si="169"/>
        <v>1068</v>
      </c>
      <c r="L545" s="500"/>
      <c r="M545" s="502"/>
    </row>
    <row r="546" spans="1:13" x14ac:dyDescent="0.25">
      <c r="A546" s="500"/>
      <c r="B546" s="616"/>
      <c r="C546" s="500">
        <v>500</v>
      </c>
      <c r="D546" s="501">
        <v>6.75</v>
      </c>
      <c r="E546" s="502">
        <v>0</v>
      </c>
      <c r="F546" s="502">
        <f t="shared" si="170"/>
        <v>3375</v>
      </c>
      <c r="G546" s="499">
        <v>42472</v>
      </c>
      <c r="H546" s="517">
        <v>500</v>
      </c>
      <c r="I546" s="501">
        <v>13.15</v>
      </c>
      <c r="J546" s="502">
        <v>0.14000000000000001</v>
      </c>
      <c r="K546" s="502">
        <f t="shared" si="169"/>
        <v>6574.86</v>
      </c>
      <c r="L546" s="500"/>
      <c r="M546" s="502"/>
    </row>
    <row r="547" spans="1:13" x14ac:dyDescent="0.25">
      <c r="A547" s="500"/>
      <c r="B547" s="616"/>
      <c r="C547" s="500">
        <v>300</v>
      </c>
      <c r="D547" s="501">
        <v>6.75</v>
      </c>
      <c r="E547" s="502">
        <v>0</v>
      </c>
      <c r="F547" s="502">
        <f t="shared" si="170"/>
        <v>2025</v>
      </c>
      <c r="G547" s="499">
        <v>42472</v>
      </c>
      <c r="H547" s="517">
        <v>500</v>
      </c>
      <c r="I547" s="501">
        <v>12.92</v>
      </c>
      <c r="J547" s="502">
        <v>0.14000000000000001</v>
      </c>
      <c r="K547" s="502">
        <f t="shared" si="169"/>
        <v>6459.86</v>
      </c>
      <c r="L547" s="500"/>
      <c r="M547" s="502"/>
    </row>
    <row r="548" spans="1:13" x14ac:dyDescent="0.25">
      <c r="A548" s="500"/>
      <c r="B548" s="549">
        <v>42426</v>
      </c>
      <c r="C548" s="500">
        <v>600</v>
      </c>
      <c r="D548" s="501">
        <v>7.63</v>
      </c>
      <c r="E548" s="502">
        <v>0</v>
      </c>
      <c r="F548" s="502">
        <f t="shared" si="170"/>
        <v>4578</v>
      </c>
      <c r="G548" s="499">
        <v>42472</v>
      </c>
      <c r="H548" s="517">
        <v>500</v>
      </c>
      <c r="I548" s="501">
        <v>12.59</v>
      </c>
      <c r="J548" s="502">
        <v>0.14000000000000001</v>
      </c>
      <c r="K548" s="502">
        <f t="shared" si="169"/>
        <v>6294.86</v>
      </c>
      <c r="L548" s="500"/>
      <c r="M548" s="502"/>
    </row>
    <row r="549" spans="1:13" x14ac:dyDescent="0.25">
      <c r="A549" s="500"/>
      <c r="B549" s="549">
        <v>42426</v>
      </c>
      <c r="C549" s="500">
        <v>2000</v>
      </c>
      <c r="D549" s="501">
        <v>7.95</v>
      </c>
      <c r="E549" s="502">
        <v>0</v>
      </c>
      <c r="F549" s="502">
        <f t="shared" si="170"/>
        <v>15900</v>
      </c>
      <c r="G549" s="499">
        <v>42474</v>
      </c>
      <c r="H549" s="517">
        <v>500</v>
      </c>
      <c r="I549" s="501">
        <v>13.18</v>
      </c>
      <c r="J549" s="502">
        <v>0.14000000000000001</v>
      </c>
      <c r="K549" s="502">
        <f t="shared" si="169"/>
        <v>6589.86</v>
      </c>
      <c r="L549" s="500"/>
      <c r="M549" s="502"/>
    </row>
    <row r="550" spans="1:13" x14ac:dyDescent="0.25">
      <c r="A550" s="500"/>
      <c r="B550" s="549">
        <v>42429</v>
      </c>
      <c r="C550" s="500">
        <v>2000</v>
      </c>
      <c r="D550" s="501">
        <v>8.1999999999999993</v>
      </c>
      <c r="E550" s="502">
        <v>0</v>
      </c>
      <c r="F550" s="502">
        <f t="shared" si="170"/>
        <v>16400</v>
      </c>
      <c r="G550" s="499">
        <v>42478</v>
      </c>
      <c r="H550" s="517">
        <v>500</v>
      </c>
      <c r="I550" s="501">
        <v>13.4</v>
      </c>
      <c r="J550" s="502">
        <v>0.15</v>
      </c>
      <c r="K550" s="502">
        <f t="shared" si="169"/>
        <v>6699.85</v>
      </c>
      <c r="L550" s="500"/>
      <c r="M550" s="502"/>
    </row>
    <row r="551" spans="1:13" x14ac:dyDescent="0.25">
      <c r="A551" s="502"/>
      <c r="B551" s="549">
        <v>42429</v>
      </c>
      <c r="C551" s="500">
        <v>500</v>
      </c>
      <c r="D551" s="501">
        <v>7.88</v>
      </c>
      <c r="E551" s="502">
        <v>0</v>
      </c>
      <c r="F551" s="502">
        <f t="shared" si="170"/>
        <v>3940</v>
      </c>
      <c r="G551" s="499">
        <v>42486</v>
      </c>
      <c r="H551" s="517">
        <v>500</v>
      </c>
      <c r="I551" s="501">
        <v>14.35</v>
      </c>
      <c r="J551" s="502">
        <v>0.16</v>
      </c>
      <c r="K551" s="502">
        <f t="shared" si="169"/>
        <v>7174.84</v>
      </c>
      <c r="L551" s="500"/>
      <c r="M551" s="502"/>
    </row>
    <row r="552" spans="1:13" x14ac:dyDescent="0.25">
      <c r="A552" s="500"/>
      <c r="B552" s="549">
        <v>42430</v>
      </c>
      <c r="C552" s="500">
        <v>1000</v>
      </c>
      <c r="D552" s="501">
        <v>7.77</v>
      </c>
      <c r="E552" s="502">
        <v>0</v>
      </c>
      <c r="F552" s="502">
        <f t="shared" si="170"/>
        <v>7770</v>
      </c>
      <c r="G552" s="499">
        <v>42487</v>
      </c>
      <c r="H552" s="517">
        <v>600</v>
      </c>
      <c r="I552" s="501">
        <v>14.85</v>
      </c>
      <c r="J552" s="502">
        <v>0.19</v>
      </c>
      <c r="K552" s="502">
        <f t="shared" si="169"/>
        <v>8909.81</v>
      </c>
      <c r="L552" s="500"/>
      <c r="M552" s="502"/>
    </row>
    <row r="553" spans="1:13" x14ac:dyDescent="0.25">
      <c r="A553" s="500"/>
      <c r="B553" s="549">
        <v>42430</v>
      </c>
      <c r="C553" s="500">
        <v>500</v>
      </c>
      <c r="D553" s="501">
        <v>7.94</v>
      </c>
      <c r="E553" s="502">
        <v>0</v>
      </c>
      <c r="F553" s="502">
        <f t="shared" si="170"/>
        <v>3970</v>
      </c>
      <c r="G553" s="499">
        <v>42489</v>
      </c>
      <c r="H553" s="517">
        <v>3000</v>
      </c>
      <c r="I553" s="501">
        <v>14.15</v>
      </c>
      <c r="J553" s="502">
        <v>0.93</v>
      </c>
      <c r="K553" s="502">
        <f t="shared" si="169"/>
        <v>42449.07</v>
      </c>
      <c r="L553" s="500"/>
      <c r="M553" s="502"/>
    </row>
    <row r="554" spans="1:13" x14ac:dyDescent="0.25">
      <c r="A554" s="500"/>
      <c r="B554" s="549">
        <v>42431</v>
      </c>
      <c r="C554" s="500">
        <v>1000</v>
      </c>
      <c r="D554" s="501">
        <v>8.3699999999999992</v>
      </c>
      <c r="E554" s="502">
        <v>0</v>
      </c>
      <c r="F554" s="502">
        <f t="shared" si="170"/>
        <v>8370</v>
      </c>
      <c r="G554" s="499">
        <v>42492</v>
      </c>
      <c r="H554" s="517">
        <v>1000</v>
      </c>
      <c r="I554" s="501">
        <v>13.48</v>
      </c>
      <c r="J554" s="502">
        <v>0.28999999999999998</v>
      </c>
      <c r="K554" s="502">
        <f t="shared" si="169"/>
        <v>13479.71</v>
      </c>
      <c r="L554" s="500"/>
      <c r="M554" s="502"/>
    </row>
    <row r="555" spans="1:13" x14ac:dyDescent="0.25">
      <c r="A555" s="500"/>
      <c r="B555" s="549">
        <v>42432</v>
      </c>
      <c r="C555" s="500">
        <v>600</v>
      </c>
      <c r="D555" s="501">
        <v>9.3699999999999992</v>
      </c>
      <c r="E555" s="502">
        <v>0</v>
      </c>
      <c r="F555" s="502">
        <f t="shared" si="170"/>
        <v>5621.9999999999991</v>
      </c>
      <c r="G555" s="499">
        <v>42492</v>
      </c>
      <c r="H555" s="517">
        <v>1000</v>
      </c>
      <c r="I555" s="501">
        <v>13.61</v>
      </c>
      <c r="J555" s="502">
        <v>0.3</v>
      </c>
      <c r="K555" s="502">
        <f t="shared" si="169"/>
        <v>13609.7</v>
      </c>
      <c r="L555" s="500"/>
      <c r="M555" s="502"/>
    </row>
    <row r="556" spans="1:13" x14ac:dyDescent="0.25">
      <c r="A556" s="500"/>
      <c r="B556" s="549">
        <v>42432</v>
      </c>
      <c r="C556" s="500">
        <v>600</v>
      </c>
      <c r="D556" s="501">
        <v>8.8800000000000008</v>
      </c>
      <c r="E556" s="502">
        <v>0</v>
      </c>
      <c r="F556" s="502">
        <f t="shared" si="170"/>
        <v>5328.0000000000009</v>
      </c>
      <c r="G556" s="499">
        <v>42493</v>
      </c>
      <c r="H556" s="517">
        <v>322</v>
      </c>
      <c r="I556" s="501">
        <v>13.28</v>
      </c>
      <c r="J556" s="502">
        <v>0.09</v>
      </c>
      <c r="K556" s="502">
        <f t="shared" si="169"/>
        <v>4276.07</v>
      </c>
      <c r="L556" s="500"/>
      <c r="M556" s="502"/>
    </row>
    <row r="557" spans="1:13" x14ac:dyDescent="0.25">
      <c r="A557" s="500"/>
      <c r="B557" s="549">
        <v>42433</v>
      </c>
      <c r="C557" s="500">
        <v>600</v>
      </c>
      <c r="D557" s="501">
        <v>10.42</v>
      </c>
      <c r="E557" s="502">
        <v>0</v>
      </c>
      <c r="F557" s="502">
        <f t="shared" si="170"/>
        <v>6252</v>
      </c>
      <c r="G557" s="499">
        <v>42495</v>
      </c>
      <c r="H557" s="517">
        <v>1000</v>
      </c>
      <c r="I557" s="501">
        <v>12.05</v>
      </c>
      <c r="J557" s="502">
        <v>0.26</v>
      </c>
      <c r="K557" s="502">
        <f t="shared" si="169"/>
        <v>12049.74</v>
      </c>
      <c r="L557" s="500"/>
      <c r="M557" s="502"/>
    </row>
    <row r="558" spans="1:13" x14ac:dyDescent="0.25">
      <c r="A558" s="500"/>
      <c r="B558" s="549">
        <v>42440</v>
      </c>
      <c r="C558" s="500">
        <v>400</v>
      </c>
      <c r="D558" s="501">
        <v>11.12</v>
      </c>
      <c r="E558" s="502">
        <v>0</v>
      </c>
      <c r="F558" s="502">
        <f t="shared" si="170"/>
        <v>4448</v>
      </c>
      <c r="G558" s="499">
        <v>42495</v>
      </c>
      <c r="H558" s="517">
        <v>2000</v>
      </c>
      <c r="I558" s="501">
        <v>12.63</v>
      </c>
      <c r="J558" s="502">
        <v>0.55000000000000004</v>
      </c>
      <c r="K558" s="502">
        <f t="shared" si="169"/>
        <v>25259.45</v>
      </c>
      <c r="L558" s="500"/>
      <c r="M558" s="502"/>
    </row>
    <row r="559" spans="1:13" x14ac:dyDescent="0.25">
      <c r="A559" s="500"/>
      <c r="B559" s="549">
        <v>42446</v>
      </c>
      <c r="C559" s="500">
        <v>1500</v>
      </c>
      <c r="D559" s="501">
        <v>11.445</v>
      </c>
      <c r="E559" s="502">
        <v>0</v>
      </c>
      <c r="F559" s="502">
        <f t="shared" si="170"/>
        <v>17167.5</v>
      </c>
      <c r="G559" s="499">
        <v>42500</v>
      </c>
      <c r="H559" s="517">
        <v>1000</v>
      </c>
      <c r="I559" s="501">
        <v>11.66</v>
      </c>
      <c r="J559" s="502">
        <v>5.25</v>
      </c>
      <c r="K559" s="502">
        <f t="shared" si="169"/>
        <v>11654.75</v>
      </c>
      <c r="L559" s="500"/>
      <c r="M559" s="502"/>
    </row>
    <row r="560" spans="1:13" x14ac:dyDescent="0.25">
      <c r="A560" s="500"/>
      <c r="B560" s="612">
        <v>42447</v>
      </c>
      <c r="C560" s="500">
        <v>1500</v>
      </c>
      <c r="D560" s="501">
        <v>11.42</v>
      </c>
      <c r="E560" s="502">
        <v>0</v>
      </c>
      <c r="F560" s="502">
        <f t="shared" si="170"/>
        <v>17130</v>
      </c>
      <c r="G560" s="499">
        <v>42502</v>
      </c>
      <c r="H560" s="517">
        <v>1500</v>
      </c>
      <c r="I560" s="501">
        <v>12.36</v>
      </c>
      <c r="J560" s="502">
        <v>0.4</v>
      </c>
      <c r="K560" s="502">
        <f t="shared" si="169"/>
        <v>18539.599999999999</v>
      </c>
      <c r="L560" s="500"/>
      <c r="M560" s="502"/>
    </row>
    <row r="561" spans="1:13" x14ac:dyDescent="0.25">
      <c r="A561" s="500"/>
      <c r="B561" s="617"/>
      <c r="C561" s="500">
        <v>500</v>
      </c>
      <c r="D561" s="501">
        <v>11.42</v>
      </c>
      <c r="E561" s="502">
        <v>0</v>
      </c>
      <c r="F561" s="502">
        <f t="shared" si="170"/>
        <v>5710</v>
      </c>
      <c r="G561" s="499">
        <v>42503</v>
      </c>
      <c r="H561" s="517">
        <v>500</v>
      </c>
      <c r="I561" s="501">
        <v>12.49</v>
      </c>
      <c r="J561" s="502">
        <v>0.14000000000000001</v>
      </c>
      <c r="K561" s="502">
        <f t="shared" si="169"/>
        <v>6244.86</v>
      </c>
      <c r="L561" s="500"/>
      <c r="M561" s="502"/>
    </row>
    <row r="562" spans="1:13" x14ac:dyDescent="0.25">
      <c r="A562" s="500"/>
      <c r="B562" s="549">
        <v>42447</v>
      </c>
      <c r="C562" s="500">
        <v>650</v>
      </c>
      <c r="D562" s="501">
        <v>11.545</v>
      </c>
      <c r="E562" s="502">
        <v>0.75</v>
      </c>
      <c r="F562" s="502">
        <f t="shared" si="170"/>
        <v>7505</v>
      </c>
      <c r="G562" s="499">
        <v>42506</v>
      </c>
      <c r="H562" s="517">
        <v>300</v>
      </c>
      <c r="I562" s="501">
        <v>12.85</v>
      </c>
      <c r="J562" s="502">
        <v>0.08</v>
      </c>
      <c r="K562" s="502">
        <f t="shared" si="169"/>
        <v>3854.92</v>
      </c>
      <c r="L562" s="500"/>
      <c r="M562" s="502"/>
    </row>
    <row r="563" spans="1:13" x14ac:dyDescent="0.25">
      <c r="A563" s="500"/>
      <c r="B563" s="549">
        <v>42450</v>
      </c>
      <c r="C563" s="500">
        <v>1350</v>
      </c>
      <c r="D563" s="501">
        <v>11.42</v>
      </c>
      <c r="E563" s="502">
        <v>0</v>
      </c>
      <c r="F563" s="502">
        <f t="shared" si="170"/>
        <v>15417</v>
      </c>
      <c r="G563" s="499">
        <v>42513</v>
      </c>
      <c r="H563" s="517">
        <v>500</v>
      </c>
      <c r="I563" s="501">
        <v>13.05</v>
      </c>
      <c r="J563" s="502">
        <v>0.14000000000000001</v>
      </c>
      <c r="K563" s="502">
        <f t="shared" si="169"/>
        <v>6524.86</v>
      </c>
      <c r="L563" s="500"/>
      <c r="M563" s="502"/>
    </row>
    <row r="564" spans="1:13" x14ac:dyDescent="0.25">
      <c r="A564" s="500"/>
      <c r="B564" s="549">
        <v>42451</v>
      </c>
      <c r="C564" s="500">
        <v>1000</v>
      </c>
      <c r="D564" s="501">
        <v>11.38</v>
      </c>
      <c r="E564" s="502">
        <v>0</v>
      </c>
      <c r="F564" s="502">
        <f t="shared" si="170"/>
        <v>11380</v>
      </c>
      <c r="G564" s="499">
        <v>42515</v>
      </c>
      <c r="H564" s="517">
        <v>500</v>
      </c>
      <c r="I564" s="501">
        <v>13.59</v>
      </c>
      <c r="J564" s="502">
        <v>0.15</v>
      </c>
      <c r="K564" s="502">
        <f t="shared" si="169"/>
        <v>6794.85</v>
      </c>
      <c r="L564" s="500"/>
      <c r="M564" s="502"/>
    </row>
    <row r="565" spans="1:13" x14ac:dyDescent="0.25">
      <c r="A565" s="500"/>
      <c r="B565" s="612">
        <v>42451</v>
      </c>
      <c r="C565" s="500">
        <v>50</v>
      </c>
      <c r="D565" s="501">
        <v>11.22</v>
      </c>
      <c r="E565" s="502">
        <v>0</v>
      </c>
      <c r="F565" s="502">
        <f t="shared" si="170"/>
        <v>561</v>
      </c>
      <c r="G565" s="499">
        <v>42515</v>
      </c>
      <c r="H565" s="517">
        <v>500</v>
      </c>
      <c r="I565" s="501">
        <v>13.57</v>
      </c>
      <c r="J565" s="502">
        <v>0.15</v>
      </c>
      <c r="K565" s="502">
        <f t="shared" si="169"/>
        <v>6784.85</v>
      </c>
      <c r="L565" s="500"/>
      <c r="M565" s="502"/>
    </row>
    <row r="566" spans="1:13" x14ac:dyDescent="0.25">
      <c r="A566" s="500"/>
      <c r="B566" s="612"/>
      <c r="C566" s="500">
        <v>350</v>
      </c>
      <c r="D566" s="501">
        <v>11.22</v>
      </c>
      <c r="E566" s="502">
        <v>0</v>
      </c>
      <c r="F566" s="502">
        <f t="shared" si="170"/>
        <v>3927</v>
      </c>
      <c r="G566" s="499">
        <v>42517</v>
      </c>
      <c r="H566" s="517">
        <v>500</v>
      </c>
      <c r="I566" s="501">
        <v>12.87</v>
      </c>
      <c r="J566" s="502">
        <v>0.14000000000000001</v>
      </c>
      <c r="K566" s="502">
        <f t="shared" si="169"/>
        <v>6434.86</v>
      </c>
      <c r="L566" s="500"/>
      <c r="M566" s="502"/>
    </row>
    <row r="567" spans="1:13" ht="45" x14ac:dyDescent="0.25">
      <c r="A567" s="500"/>
      <c r="B567" s="616" t="s">
        <v>193</v>
      </c>
      <c r="C567" s="500">
        <v>650</v>
      </c>
      <c r="D567" s="501">
        <v>11.22</v>
      </c>
      <c r="E567" s="502">
        <v>0</v>
      </c>
      <c r="F567" s="502">
        <f t="shared" si="170"/>
        <v>7293</v>
      </c>
      <c r="G567" s="499">
        <v>42524</v>
      </c>
      <c r="H567" s="517">
        <v>400</v>
      </c>
      <c r="I567" s="501">
        <v>13.38</v>
      </c>
      <c r="J567" s="502">
        <v>0.12</v>
      </c>
      <c r="K567" s="502">
        <f t="shared" si="169"/>
        <v>5351.88</v>
      </c>
      <c r="L567" s="500"/>
      <c r="M567" s="502"/>
    </row>
    <row r="568" spans="1:13" x14ac:dyDescent="0.25">
      <c r="A568" s="500"/>
      <c r="B568" s="616"/>
      <c r="C568" s="500">
        <v>500</v>
      </c>
      <c r="D568" s="501">
        <v>11.01</v>
      </c>
      <c r="E568" s="502">
        <v>0</v>
      </c>
      <c r="F568" s="502">
        <f t="shared" si="170"/>
        <v>5505</v>
      </c>
      <c r="G568" s="499">
        <v>42527</v>
      </c>
      <c r="H568" s="517">
        <v>1000</v>
      </c>
      <c r="I568" s="501">
        <v>13.82</v>
      </c>
      <c r="J568" s="502">
        <v>0.3</v>
      </c>
      <c r="K568" s="502">
        <f t="shared" si="169"/>
        <v>13819.7</v>
      </c>
      <c r="L568" s="500"/>
      <c r="M568" s="502"/>
    </row>
    <row r="569" spans="1:13" x14ac:dyDescent="0.25">
      <c r="A569" s="500"/>
      <c r="B569" s="616"/>
      <c r="C569" s="500">
        <v>500</v>
      </c>
      <c r="D569" s="501">
        <v>10.75</v>
      </c>
      <c r="E569" s="502">
        <v>0</v>
      </c>
      <c r="F569" s="502">
        <f t="shared" si="170"/>
        <v>5375</v>
      </c>
      <c r="G569" s="499">
        <v>42527</v>
      </c>
      <c r="H569" s="517">
        <v>500</v>
      </c>
      <c r="I569" s="501">
        <v>13.97</v>
      </c>
      <c r="J569" s="502">
        <v>1.1499999999999999</v>
      </c>
      <c r="K569" s="502">
        <f t="shared" si="169"/>
        <v>6983.85</v>
      </c>
      <c r="L569" s="500"/>
      <c r="M569" s="502"/>
    </row>
    <row r="570" spans="1:13" x14ac:dyDescent="0.25">
      <c r="A570" s="500"/>
      <c r="B570" s="616"/>
      <c r="C570" s="500">
        <v>1000</v>
      </c>
      <c r="D570" s="501">
        <v>10.4</v>
      </c>
      <c r="E570" s="502">
        <v>0</v>
      </c>
      <c r="F570" s="502">
        <f t="shared" si="170"/>
        <v>10400</v>
      </c>
      <c r="G570" s="499">
        <v>42528</v>
      </c>
      <c r="H570" s="517">
        <v>500</v>
      </c>
      <c r="I570" s="501">
        <v>14.65</v>
      </c>
      <c r="J570" s="502">
        <v>0.16</v>
      </c>
      <c r="K570" s="502">
        <f t="shared" si="169"/>
        <v>7324.84</v>
      </c>
      <c r="L570" s="500"/>
      <c r="M570" s="502"/>
    </row>
    <row r="571" spans="1:13" x14ac:dyDescent="0.25">
      <c r="A571" s="500"/>
      <c r="B571" s="616"/>
      <c r="C571" s="500">
        <v>1000</v>
      </c>
      <c r="D571" s="501">
        <v>10.185</v>
      </c>
      <c r="E571" s="502">
        <v>0</v>
      </c>
      <c r="F571" s="502">
        <f t="shared" si="170"/>
        <v>10185</v>
      </c>
      <c r="G571" s="499">
        <v>42536</v>
      </c>
      <c r="H571" s="517">
        <v>400</v>
      </c>
      <c r="I571" s="501">
        <v>13.43</v>
      </c>
      <c r="J571" s="502">
        <v>0.12</v>
      </c>
      <c r="K571" s="502">
        <f t="shared" si="169"/>
        <v>5371.88</v>
      </c>
      <c r="L571" s="500"/>
      <c r="M571" s="502"/>
    </row>
    <row r="572" spans="1:13" x14ac:dyDescent="0.25">
      <c r="A572" s="500"/>
      <c r="B572" s="549">
        <v>42461</v>
      </c>
      <c r="C572" s="500">
        <v>2000</v>
      </c>
      <c r="D572" s="501">
        <v>10.43</v>
      </c>
      <c r="E572" s="502">
        <v>0</v>
      </c>
      <c r="F572" s="502">
        <f t="shared" si="170"/>
        <v>20860</v>
      </c>
      <c r="G572" s="499">
        <v>42537</v>
      </c>
      <c r="H572" s="517">
        <v>400</v>
      </c>
      <c r="I572" s="501">
        <v>12.69</v>
      </c>
      <c r="J572" s="502">
        <v>0.11</v>
      </c>
      <c r="K572" s="502">
        <f t="shared" si="169"/>
        <v>5075.8900000000003</v>
      </c>
      <c r="L572" s="500"/>
      <c r="M572" s="502"/>
    </row>
    <row r="573" spans="1:13" x14ac:dyDescent="0.25">
      <c r="A573" s="500"/>
      <c r="B573" s="549">
        <v>42461</v>
      </c>
      <c r="C573" s="500">
        <v>2000</v>
      </c>
      <c r="D573" s="501">
        <v>10.42</v>
      </c>
      <c r="E573" s="502">
        <v>0</v>
      </c>
      <c r="F573" s="502">
        <f t="shared" si="170"/>
        <v>20840</v>
      </c>
      <c r="G573" s="499">
        <v>42538</v>
      </c>
      <c r="H573" s="517">
        <v>500</v>
      </c>
      <c r="I573" s="501">
        <v>13.34</v>
      </c>
      <c r="J573" s="502">
        <v>0.15</v>
      </c>
      <c r="K573" s="502">
        <f t="shared" si="169"/>
        <v>6669.85</v>
      </c>
      <c r="L573" s="500"/>
      <c r="M573" s="502"/>
    </row>
    <row r="574" spans="1:13" ht="45" x14ac:dyDescent="0.25">
      <c r="A574" s="500"/>
      <c r="B574" s="549">
        <v>42465</v>
      </c>
      <c r="C574" s="500">
        <v>100</v>
      </c>
      <c r="D574" s="501">
        <v>10.4</v>
      </c>
      <c r="E574" s="502">
        <v>0</v>
      </c>
      <c r="F574" s="502">
        <f t="shared" si="170"/>
        <v>1040</v>
      </c>
      <c r="G574" s="618" t="s">
        <v>220</v>
      </c>
      <c r="H574" s="517">
        <v>500</v>
      </c>
      <c r="I574" s="501">
        <v>13.91</v>
      </c>
      <c r="J574" s="502">
        <v>0.15</v>
      </c>
      <c r="K574" s="502">
        <f t="shared" si="169"/>
        <v>6954.85</v>
      </c>
      <c r="L574" s="500"/>
      <c r="M574" s="502"/>
    </row>
    <row r="575" spans="1:13" x14ac:dyDescent="0.25">
      <c r="A575" s="500"/>
      <c r="B575" s="549">
        <v>42471</v>
      </c>
      <c r="C575" s="500">
        <v>500</v>
      </c>
      <c r="D575" s="501">
        <v>11.77</v>
      </c>
      <c r="E575" s="502">
        <v>0</v>
      </c>
      <c r="F575" s="502">
        <f t="shared" si="170"/>
        <v>5885</v>
      </c>
      <c r="G575" s="618"/>
      <c r="H575" s="517">
        <v>600</v>
      </c>
      <c r="I575" s="501">
        <v>14.36</v>
      </c>
      <c r="J575" s="502">
        <v>0.19</v>
      </c>
      <c r="K575" s="502">
        <f t="shared" si="169"/>
        <v>8615.81</v>
      </c>
      <c r="L575" s="500"/>
      <c r="M575" s="502"/>
    </row>
    <row r="576" spans="1:13" x14ac:dyDescent="0.25">
      <c r="A576" s="500"/>
      <c r="B576" s="549">
        <v>42471</v>
      </c>
      <c r="C576" s="500">
        <v>500</v>
      </c>
      <c r="D576" s="501">
        <v>11.55</v>
      </c>
      <c r="E576" s="502">
        <v>0</v>
      </c>
      <c r="F576" s="502">
        <f t="shared" si="170"/>
        <v>5775</v>
      </c>
      <c r="G576" s="618"/>
      <c r="H576" s="517">
        <v>500</v>
      </c>
      <c r="I576" s="501">
        <v>14.65</v>
      </c>
      <c r="J576" s="502">
        <v>0.16</v>
      </c>
      <c r="K576" s="502">
        <f t="shared" si="169"/>
        <v>7324.84</v>
      </c>
      <c r="L576" s="500"/>
      <c r="M576" s="502"/>
    </row>
    <row r="577" spans="1:13" x14ac:dyDescent="0.25">
      <c r="A577" s="500"/>
      <c r="B577" s="549">
        <v>42472</v>
      </c>
      <c r="C577" s="500">
        <v>610</v>
      </c>
      <c r="D577" s="501">
        <v>12.95</v>
      </c>
      <c r="E577" s="502">
        <v>0</v>
      </c>
      <c r="F577" s="502">
        <f t="shared" si="170"/>
        <v>7899.5</v>
      </c>
      <c r="G577" s="499">
        <v>42542</v>
      </c>
      <c r="H577" s="517">
        <v>500</v>
      </c>
      <c r="I577" s="501">
        <v>14.95</v>
      </c>
      <c r="J577" s="502">
        <v>0.16</v>
      </c>
      <c r="K577" s="502">
        <f t="shared" si="169"/>
        <v>7474.84</v>
      </c>
      <c r="L577" s="500"/>
      <c r="M577" s="502"/>
    </row>
    <row r="578" spans="1:13" x14ac:dyDescent="0.25">
      <c r="A578" s="500"/>
      <c r="B578" s="549">
        <v>42473</v>
      </c>
      <c r="C578" s="500">
        <v>970</v>
      </c>
      <c r="D578" s="501">
        <v>12.76</v>
      </c>
      <c r="E578" s="502">
        <v>4.0999999999999996</v>
      </c>
      <c r="F578" s="502">
        <f t="shared" si="170"/>
        <v>12381.3</v>
      </c>
      <c r="G578" s="499">
        <v>42542</v>
      </c>
      <c r="H578" s="517">
        <v>378</v>
      </c>
      <c r="I578" s="501">
        <v>15.2</v>
      </c>
      <c r="J578" s="502">
        <v>0.13</v>
      </c>
      <c r="K578" s="502">
        <f t="shared" si="169"/>
        <v>5745.4699999999993</v>
      </c>
      <c r="L578" s="500"/>
      <c r="M578" s="502"/>
    </row>
    <row r="579" spans="1:13" x14ac:dyDescent="0.25">
      <c r="A579" s="500"/>
      <c r="B579" s="549">
        <v>42474</v>
      </c>
      <c r="C579" s="500">
        <v>420</v>
      </c>
      <c r="D579" s="501">
        <v>12.755000000000001</v>
      </c>
      <c r="E579" s="502">
        <v>0.34</v>
      </c>
      <c r="F579" s="502">
        <f t="shared" si="170"/>
        <v>5357.4400000000005</v>
      </c>
      <c r="G579" s="500"/>
      <c r="H579" s="517"/>
      <c r="I579" s="501"/>
      <c r="J579" s="502"/>
      <c r="K579" s="502"/>
      <c r="L579" s="500"/>
      <c r="M579" s="502"/>
    </row>
    <row r="580" spans="1:13" x14ac:dyDescent="0.25">
      <c r="A580" s="500"/>
      <c r="B580" s="549">
        <v>42475</v>
      </c>
      <c r="C580" s="500">
        <v>500</v>
      </c>
      <c r="D580" s="501">
        <v>13.02</v>
      </c>
      <c r="E580" s="502">
        <v>-1.75</v>
      </c>
      <c r="F580" s="502">
        <f t="shared" si="170"/>
        <v>6508.25</v>
      </c>
      <c r="G580" s="500"/>
      <c r="H580" s="517"/>
      <c r="I580" s="501"/>
      <c r="J580" s="502"/>
      <c r="K580" s="502"/>
      <c r="L580" s="500"/>
      <c r="M580" s="502"/>
    </row>
    <row r="581" spans="1:13" x14ac:dyDescent="0.25">
      <c r="A581" s="500"/>
      <c r="B581" s="549">
        <v>42485</v>
      </c>
      <c r="C581" s="500">
        <v>500</v>
      </c>
      <c r="D581" s="501">
        <v>13.95</v>
      </c>
      <c r="E581" s="502">
        <v>0</v>
      </c>
      <c r="F581" s="502">
        <f t="shared" si="170"/>
        <v>6975</v>
      </c>
      <c r="G581" s="500"/>
      <c r="H581" s="517"/>
      <c r="I581" s="501"/>
      <c r="J581" s="502"/>
      <c r="K581" s="502"/>
      <c r="L581" s="500"/>
      <c r="M581" s="502"/>
    </row>
    <row r="582" spans="1:13" x14ac:dyDescent="0.25">
      <c r="A582" s="500"/>
      <c r="B582" s="549">
        <v>42487</v>
      </c>
      <c r="C582" s="500">
        <v>600</v>
      </c>
      <c r="D582" s="501">
        <v>14.63</v>
      </c>
      <c r="E582" s="502">
        <v>0</v>
      </c>
      <c r="F582" s="502">
        <f t="shared" si="170"/>
        <v>8778</v>
      </c>
      <c r="G582" s="500"/>
      <c r="H582" s="517"/>
      <c r="I582" s="501"/>
      <c r="J582" s="502"/>
      <c r="K582" s="502"/>
      <c r="L582" s="500"/>
      <c r="M582" s="502"/>
    </row>
    <row r="583" spans="1:13" x14ac:dyDescent="0.25">
      <c r="A583" s="500"/>
      <c r="B583" s="549">
        <v>42488</v>
      </c>
      <c r="C583" s="500">
        <v>500</v>
      </c>
      <c r="D583" s="501">
        <v>14.52</v>
      </c>
      <c r="E583" s="502">
        <v>0</v>
      </c>
      <c r="F583" s="502">
        <f t="shared" si="170"/>
        <v>7260</v>
      </c>
      <c r="G583" s="500"/>
      <c r="H583" s="517"/>
      <c r="I583" s="501"/>
      <c r="J583" s="502"/>
      <c r="K583" s="502"/>
      <c r="L583" s="500"/>
      <c r="M583" s="502"/>
    </row>
    <row r="584" spans="1:13" ht="30" x14ac:dyDescent="0.25">
      <c r="A584" s="619" t="s">
        <v>198</v>
      </c>
      <c r="B584" s="549">
        <v>42489</v>
      </c>
      <c r="C584" s="500">
        <v>500</v>
      </c>
      <c r="D584" s="501">
        <v>14.35</v>
      </c>
      <c r="E584" s="502">
        <v>0</v>
      </c>
      <c r="F584" s="502">
        <f t="shared" si="170"/>
        <v>7175</v>
      </c>
      <c r="G584" s="500"/>
      <c r="H584" s="517"/>
      <c r="I584" s="501"/>
      <c r="J584" s="502"/>
      <c r="K584" s="502"/>
      <c r="L584" s="500"/>
      <c r="M584" s="502"/>
    </row>
    <row r="585" spans="1:13" x14ac:dyDescent="0.25">
      <c r="A585" s="619"/>
      <c r="B585" s="549">
        <v>42489</v>
      </c>
      <c r="C585" s="500">
        <v>500</v>
      </c>
      <c r="D585" s="501">
        <v>14.15</v>
      </c>
      <c r="E585" s="502">
        <v>0</v>
      </c>
      <c r="F585" s="502">
        <f t="shared" si="170"/>
        <v>7075</v>
      </c>
      <c r="G585" s="500"/>
      <c r="H585" s="517"/>
      <c r="I585" s="501"/>
      <c r="J585" s="502"/>
      <c r="K585" s="502"/>
      <c r="L585" s="500"/>
      <c r="M585" s="502"/>
    </row>
    <row r="586" spans="1:13" x14ac:dyDescent="0.25">
      <c r="A586" s="619"/>
      <c r="B586" s="549">
        <v>42489</v>
      </c>
      <c r="C586" s="500">
        <v>1000</v>
      </c>
      <c r="D586" s="501">
        <v>13.92</v>
      </c>
      <c r="E586" s="502">
        <v>0</v>
      </c>
      <c r="F586" s="502">
        <f t="shared" si="170"/>
        <v>13920</v>
      </c>
      <c r="G586" s="500"/>
      <c r="H586" s="517"/>
      <c r="I586" s="501"/>
      <c r="J586" s="502"/>
      <c r="K586" s="502"/>
      <c r="L586" s="500"/>
      <c r="M586" s="502"/>
    </row>
    <row r="587" spans="1:13" x14ac:dyDescent="0.25">
      <c r="A587" s="619"/>
      <c r="B587" s="549">
        <v>42489</v>
      </c>
      <c r="C587" s="500">
        <v>1000</v>
      </c>
      <c r="D587" s="501">
        <v>13.8</v>
      </c>
      <c r="E587" s="502">
        <v>0</v>
      </c>
      <c r="F587" s="502">
        <f t="shared" si="170"/>
        <v>13800</v>
      </c>
      <c r="G587" s="500"/>
      <c r="H587" s="517"/>
      <c r="I587" s="501"/>
      <c r="J587" s="502"/>
      <c r="K587" s="502"/>
      <c r="L587" s="500"/>
      <c r="M587" s="502"/>
    </row>
    <row r="588" spans="1:13" x14ac:dyDescent="0.25">
      <c r="A588" s="500"/>
      <c r="B588" s="549">
        <v>42492</v>
      </c>
      <c r="C588" s="500">
        <v>1500</v>
      </c>
      <c r="D588" s="501">
        <v>13.25</v>
      </c>
      <c r="E588" s="502">
        <v>0</v>
      </c>
      <c r="F588" s="502">
        <f t="shared" si="170"/>
        <v>19875</v>
      </c>
      <c r="G588" s="500"/>
      <c r="H588" s="517"/>
      <c r="I588" s="501"/>
      <c r="J588" s="502"/>
      <c r="K588" s="502"/>
      <c r="L588" s="500"/>
      <c r="M588" s="502"/>
    </row>
    <row r="589" spans="1:13" x14ac:dyDescent="0.25">
      <c r="A589" s="500"/>
      <c r="B589" s="549">
        <v>42492</v>
      </c>
      <c r="C589" s="500">
        <v>500</v>
      </c>
      <c r="D589" s="501">
        <v>13.6</v>
      </c>
      <c r="E589" s="502">
        <v>0</v>
      </c>
      <c r="F589" s="502">
        <f t="shared" si="170"/>
        <v>6800</v>
      </c>
      <c r="G589" s="500"/>
      <c r="H589" s="517"/>
      <c r="I589" s="501"/>
      <c r="J589" s="502"/>
      <c r="K589" s="502"/>
      <c r="L589" s="500"/>
      <c r="M589" s="502"/>
    </row>
    <row r="590" spans="1:13" x14ac:dyDescent="0.25">
      <c r="A590" s="500"/>
      <c r="B590" s="549">
        <v>42493</v>
      </c>
      <c r="C590" s="500">
        <v>322</v>
      </c>
      <c r="D590" s="501">
        <v>12.85</v>
      </c>
      <c r="E590" s="502">
        <v>0</v>
      </c>
      <c r="F590" s="502">
        <f t="shared" si="170"/>
        <v>4137.7</v>
      </c>
      <c r="G590" s="500"/>
      <c r="H590" s="517"/>
      <c r="I590" s="501"/>
      <c r="J590" s="502"/>
      <c r="K590" s="502"/>
      <c r="L590" s="500"/>
      <c r="M590" s="502"/>
    </row>
    <row r="591" spans="1:13" ht="30" x14ac:dyDescent="0.25">
      <c r="A591" s="603" t="s">
        <v>202</v>
      </c>
      <c r="B591" s="549">
        <v>42494</v>
      </c>
      <c r="C591" s="500">
        <v>1000</v>
      </c>
      <c r="D591" s="501">
        <v>12.25</v>
      </c>
      <c r="E591" s="502">
        <v>0</v>
      </c>
      <c r="F591" s="502">
        <f t="shared" si="170"/>
        <v>12250</v>
      </c>
      <c r="G591" s="500"/>
      <c r="H591" s="517"/>
      <c r="I591" s="501"/>
      <c r="J591" s="502"/>
      <c r="K591" s="502"/>
      <c r="L591" s="500"/>
      <c r="M591" s="502"/>
    </row>
    <row r="592" spans="1:13" x14ac:dyDescent="0.25">
      <c r="A592" s="603"/>
      <c r="B592" s="549">
        <v>42494</v>
      </c>
      <c r="C592" s="500">
        <v>500</v>
      </c>
      <c r="D592" s="501">
        <v>12.53</v>
      </c>
      <c r="E592" s="502">
        <v>0</v>
      </c>
      <c r="F592" s="502">
        <f t="shared" si="170"/>
        <v>6265</v>
      </c>
      <c r="G592" s="500"/>
      <c r="H592" s="517"/>
      <c r="I592" s="501"/>
      <c r="J592" s="502"/>
      <c r="K592" s="502"/>
      <c r="L592" s="500"/>
      <c r="M592" s="502"/>
    </row>
    <row r="593" spans="1:13" x14ac:dyDescent="0.25">
      <c r="A593" s="603"/>
      <c r="B593" s="549">
        <v>42494</v>
      </c>
      <c r="C593" s="500">
        <v>500</v>
      </c>
      <c r="D593" s="501">
        <v>12.65</v>
      </c>
      <c r="E593" s="502">
        <v>0</v>
      </c>
      <c r="F593" s="502">
        <f t="shared" si="170"/>
        <v>6325</v>
      </c>
      <c r="G593" s="500"/>
      <c r="H593" s="517"/>
      <c r="I593" s="501"/>
      <c r="J593" s="502"/>
      <c r="K593" s="502"/>
      <c r="L593" s="500"/>
      <c r="M593" s="502"/>
    </row>
    <row r="594" spans="1:13" x14ac:dyDescent="0.25">
      <c r="A594" s="500"/>
      <c r="B594" s="549">
        <v>42495</v>
      </c>
      <c r="C594" s="500">
        <v>1000</v>
      </c>
      <c r="D594" s="501">
        <v>11.95</v>
      </c>
      <c r="E594" s="502">
        <v>0</v>
      </c>
      <c r="F594" s="502">
        <f t="shared" si="170"/>
        <v>11950</v>
      </c>
      <c r="G594" s="500"/>
      <c r="H594" s="517"/>
      <c r="I594" s="501"/>
      <c r="J594" s="502"/>
      <c r="K594" s="502"/>
      <c r="L594" s="500"/>
      <c r="M594" s="502"/>
    </row>
    <row r="595" spans="1:13" x14ac:dyDescent="0.25">
      <c r="A595" s="500"/>
      <c r="B595" s="549">
        <v>42499</v>
      </c>
      <c r="C595" s="500">
        <v>500</v>
      </c>
      <c r="D595" s="501">
        <v>11.48</v>
      </c>
      <c r="E595" s="502">
        <v>0</v>
      </c>
      <c r="F595" s="502">
        <f t="shared" si="170"/>
        <v>5740</v>
      </c>
      <c r="G595" s="500"/>
      <c r="H595" s="517"/>
      <c r="I595" s="501"/>
      <c r="J595" s="502"/>
      <c r="K595" s="502"/>
      <c r="L595" s="500"/>
      <c r="M595" s="502"/>
    </row>
    <row r="596" spans="1:13" x14ac:dyDescent="0.25">
      <c r="A596" s="500"/>
      <c r="B596" s="549">
        <v>42499</v>
      </c>
      <c r="C596" s="500">
        <v>500</v>
      </c>
      <c r="D596" s="501">
        <v>11.32</v>
      </c>
      <c r="E596" s="502">
        <v>0</v>
      </c>
      <c r="F596" s="502">
        <f t="shared" si="170"/>
        <v>5660</v>
      </c>
      <c r="G596" s="500"/>
      <c r="H596" s="517"/>
      <c r="I596" s="501"/>
      <c r="J596" s="502"/>
      <c r="K596" s="502"/>
      <c r="L596" s="500"/>
      <c r="M596" s="502"/>
    </row>
    <row r="597" spans="1:13" ht="30" x14ac:dyDescent="0.25">
      <c r="A597" s="619" t="s">
        <v>205</v>
      </c>
      <c r="B597" s="549">
        <v>42502</v>
      </c>
      <c r="C597" s="500">
        <v>500</v>
      </c>
      <c r="D597" s="501">
        <v>12.38</v>
      </c>
      <c r="E597" s="502">
        <v>0</v>
      </c>
      <c r="F597" s="502">
        <f t="shared" si="170"/>
        <v>6190</v>
      </c>
      <c r="G597" s="500"/>
      <c r="H597" s="517"/>
      <c r="I597" s="501"/>
      <c r="J597" s="502"/>
      <c r="K597" s="502"/>
      <c r="L597" s="500"/>
      <c r="M597" s="502"/>
    </row>
    <row r="598" spans="1:13" x14ac:dyDescent="0.25">
      <c r="A598" s="619"/>
      <c r="B598" s="549">
        <v>42502</v>
      </c>
      <c r="C598" s="500">
        <v>500</v>
      </c>
      <c r="D598" s="501">
        <v>12.3</v>
      </c>
      <c r="E598" s="502">
        <v>0</v>
      </c>
      <c r="F598" s="502">
        <f t="shared" si="170"/>
        <v>6150</v>
      </c>
      <c r="G598" s="500"/>
      <c r="H598" s="517"/>
      <c r="I598" s="501"/>
      <c r="J598" s="502"/>
      <c r="K598" s="502"/>
      <c r="L598" s="500"/>
      <c r="M598" s="502"/>
    </row>
    <row r="599" spans="1:13" x14ac:dyDescent="0.25">
      <c r="A599" s="619"/>
      <c r="B599" s="549">
        <v>42502</v>
      </c>
      <c r="C599" s="500">
        <v>500</v>
      </c>
      <c r="D599" s="501">
        <v>12.23</v>
      </c>
      <c r="E599" s="502">
        <v>0</v>
      </c>
      <c r="F599" s="502">
        <f t="shared" si="170"/>
        <v>6115</v>
      </c>
      <c r="G599" s="500"/>
      <c r="H599" s="517"/>
      <c r="I599" s="501"/>
      <c r="J599" s="502"/>
      <c r="K599" s="502"/>
      <c r="L599" s="500"/>
      <c r="M599" s="502"/>
    </row>
    <row r="600" spans="1:13" x14ac:dyDescent="0.25">
      <c r="A600" s="500"/>
      <c r="B600" s="549">
        <v>42503</v>
      </c>
      <c r="C600" s="500">
        <v>500</v>
      </c>
      <c r="D600" s="501">
        <v>12.41</v>
      </c>
      <c r="E600" s="502">
        <v>0</v>
      </c>
      <c r="F600" s="502">
        <f t="shared" si="170"/>
        <v>6205</v>
      </c>
      <c r="G600" s="500"/>
      <c r="H600" s="517"/>
      <c r="I600" s="501"/>
      <c r="J600" s="502"/>
      <c r="K600" s="502"/>
      <c r="L600" s="500"/>
      <c r="M600" s="502"/>
    </row>
    <row r="601" spans="1:13" x14ac:dyDescent="0.25">
      <c r="A601" s="500"/>
      <c r="B601" s="549">
        <v>42506</v>
      </c>
      <c r="C601" s="500">
        <v>300</v>
      </c>
      <c r="D601" s="501">
        <v>12.8</v>
      </c>
      <c r="E601" s="502">
        <v>0</v>
      </c>
      <c r="F601" s="502">
        <f t="shared" si="170"/>
        <v>3840</v>
      </c>
      <c r="G601" s="500"/>
      <c r="H601" s="517"/>
      <c r="I601" s="501"/>
      <c r="J601" s="502"/>
      <c r="K601" s="502"/>
      <c r="L601" s="500"/>
      <c r="M601" s="502"/>
    </row>
    <row r="602" spans="1:13" x14ac:dyDescent="0.25">
      <c r="A602" s="500"/>
      <c r="B602" s="549">
        <v>42514</v>
      </c>
      <c r="C602" s="500">
        <v>500</v>
      </c>
      <c r="D602" s="501">
        <v>13.02</v>
      </c>
      <c r="E602" s="502">
        <v>-1.65</v>
      </c>
      <c r="F602" s="502">
        <f t="shared" ref="F602:F665" si="171">C602*D602+E602</f>
        <v>6508.35</v>
      </c>
      <c r="G602" s="500"/>
      <c r="H602" s="517"/>
      <c r="I602" s="501"/>
      <c r="J602" s="502"/>
      <c r="K602" s="502"/>
      <c r="L602" s="500"/>
      <c r="M602" s="502"/>
    </row>
    <row r="603" spans="1:13" x14ac:dyDescent="0.25">
      <c r="A603" s="500"/>
      <c r="B603" s="549">
        <v>42515</v>
      </c>
      <c r="C603" s="500">
        <v>500</v>
      </c>
      <c r="D603" s="501">
        <v>13.45</v>
      </c>
      <c r="E603" s="502">
        <v>1</v>
      </c>
      <c r="F603" s="502">
        <f t="shared" si="171"/>
        <v>6726</v>
      </c>
      <c r="G603" s="500"/>
      <c r="H603" s="517"/>
      <c r="I603" s="501"/>
      <c r="J603" s="502"/>
      <c r="K603" s="502"/>
      <c r="L603" s="500"/>
      <c r="M603" s="502"/>
    </row>
    <row r="604" spans="1:13" x14ac:dyDescent="0.25">
      <c r="A604" s="500"/>
      <c r="B604" s="549">
        <v>42516</v>
      </c>
      <c r="C604" s="500">
        <v>500</v>
      </c>
      <c r="D604" s="501">
        <v>13.28</v>
      </c>
      <c r="E604" s="502">
        <v>-1.04</v>
      </c>
      <c r="F604" s="502">
        <f t="shared" si="171"/>
        <v>6638.96</v>
      </c>
      <c r="G604" s="500"/>
      <c r="H604" s="517"/>
      <c r="I604" s="501"/>
      <c r="J604" s="502"/>
      <c r="K604" s="502"/>
      <c r="L604" s="500"/>
      <c r="M604" s="502"/>
    </row>
    <row r="605" spans="1:13" x14ac:dyDescent="0.25">
      <c r="A605" s="500"/>
      <c r="B605" s="549">
        <v>42517</v>
      </c>
      <c r="C605" s="500">
        <v>500</v>
      </c>
      <c r="D605" s="501">
        <v>12.79</v>
      </c>
      <c r="E605" s="502">
        <v>0</v>
      </c>
      <c r="F605" s="502">
        <f t="shared" si="171"/>
        <v>6395</v>
      </c>
      <c r="G605" s="500"/>
      <c r="H605" s="517"/>
      <c r="I605" s="501"/>
      <c r="J605" s="502"/>
      <c r="K605" s="502"/>
      <c r="L605" s="500"/>
      <c r="M605" s="502"/>
    </row>
    <row r="606" spans="1:13" x14ac:dyDescent="0.25">
      <c r="A606" s="500"/>
      <c r="B606" s="549">
        <v>42524</v>
      </c>
      <c r="C606" s="500">
        <v>400</v>
      </c>
      <c r="D606" s="501">
        <v>13.28</v>
      </c>
      <c r="E606" s="502">
        <v>0</v>
      </c>
      <c r="F606" s="502">
        <f t="shared" si="171"/>
        <v>5312</v>
      </c>
      <c r="G606" s="500"/>
      <c r="H606" s="517"/>
      <c r="I606" s="501"/>
      <c r="J606" s="502"/>
      <c r="K606" s="502"/>
      <c r="L606" s="500"/>
      <c r="M606" s="502"/>
    </row>
    <row r="607" spans="1:13" x14ac:dyDescent="0.25">
      <c r="A607" s="500"/>
      <c r="B607" s="549">
        <v>42529</v>
      </c>
      <c r="C607" s="500">
        <v>500</v>
      </c>
      <c r="D607" s="501">
        <v>14.59</v>
      </c>
      <c r="E607" s="502">
        <v>0</v>
      </c>
      <c r="F607" s="502">
        <f t="shared" si="171"/>
        <v>7295</v>
      </c>
      <c r="G607" s="500"/>
      <c r="H607" s="517"/>
      <c r="I607" s="501"/>
      <c r="J607" s="502"/>
      <c r="K607" s="502"/>
      <c r="L607" s="500"/>
      <c r="M607" s="502"/>
    </row>
    <row r="608" spans="1:13" x14ac:dyDescent="0.25">
      <c r="A608" s="500"/>
      <c r="B608" s="549">
        <v>42531</v>
      </c>
      <c r="C608" s="500">
        <v>800</v>
      </c>
      <c r="D608" s="501">
        <v>13.79</v>
      </c>
      <c r="E608" s="502">
        <v>0</v>
      </c>
      <c r="F608" s="502">
        <f t="shared" si="171"/>
        <v>11032</v>
      </c>
      <c r="G608" s="500"/>
      <c r="H608" s="517"/>
      <c r="I608" s="501"/>
      <c r="J608" s="502"/>
      <c r="K608" s="502"/>
      <c r="L608" s="500"/>
      <c r="M608" s="502"/>
    </row>
    <row r="609" spans="1:13" x14ac:dyDescent="0.25">
      <c r="A609" s="500"/>
      <c r="B609" s="549">
        <v>42531</v>
      </c>
      <c r="C609" s="500">
        <v>300</v>
      </c>
      <c r="D609" s="501">
        <v>13.4</v>
      </c>
      <c r="E609" s="502">
        <v>0</v>
      </c>
      <c r="F609" s="502">
        <f t="shared" si="171"/>
        <v>4020</v>
      </c>
      <c r="G609" s="500"/>
      <c r="H609" s="517"/>
      <c r="I609" s="501"/>
      <c r="J609" s="502"/>
      <c r="K609" s="502"/>
      <c r="L609" s="500"/>
      <c r="M609" s="502"/>
    </row>
    <row r="610" spans="1:13" x14ac:dyDescent="0.25">
      <c r="A610" s="500"/>
      <c r="B610" s="549">
        <v>42535</v>
      </c>
      <c r="C610" s="500">
        <v>400</v>
      </c>
      <c r="D610" s="501">
        <v>12.85</v>
      </c>
      <c r="E610" s="502">
        <v>0</v>
      </c>
      <c r="F610" s="502">
        <f t="shared" si="171"/>
        <v>5140</v>
      </c>
      <c r="G610" s="500"/>
      <c r="H610" s="517"/>
      <c r="I610" s="501"/>
      <c r="J610" s="502"/>
      <c r="K610" s="502"/>
      <c r="L610" s="500"/>
      <c r="M610" s="502"/>
    </row>
    <row r="611" spans="1:13" x14ac:dyDescent="0.25">
      <c r="A611" s="500"/>
      <c r="B611" s="549">
        <v>42537</v>
      </c>
      <c r="C611" s="500">
        <v>400</v>
      </c>
      <c r="D611" s="501">
        <v>12.43</v>
      </c>
      <c r="E611" s="502">
        <v>-0.04</v>
      </c>
      <c r="F611" s="502">
        <f t="shared" si="171"/>
        <v>4971.96</v>
      </c>
      <c r="G611" s="500"/>
      <c r="H611" s="517"/>
      <c r="I611" s="501"/>
      <c r="J611" s="502"/>
      <c r="K611" s="502"/>
      <c r="L611" s="500"/>
      <c r="M611" s="502"/>
    </row>
    <row r="612" spans="1:13" x14ac:dyDescent="0.25">
      <c r="A612" s="500"/>
      <c r="B612" s="549">
        <v>42538</v>
      </c>
      <c r="C612" s="500">
        <v>500</v>
      </c>
      <c r="D612" s="501">
        <v>13.14</v>
      </c>
      <c r="E612" s="502">
        <v>0</v>
      </c>
      <c r="F612" s="502">
        <f t="shared" si="171"/>
        <v>6570</v>
      </c>
      <c r="G612" s="500"/>
      <c r="H612" s="517"/>
      <c r="I612" s="501"/>
      <c r="J612" s="502"/>
      <c r="K612" s="502"/>
      <c r="L612" s="500"/>
      <c r="M612" s="502"/>
    </row>
    <row r="613" spans="1:13" x14ac:dyDescent="0.25">
      <c r="A613" s="500"/>
      <c r="B613" s="549">
        <v>42543</v>
      </c>
      <c r="C613" s="500">
        <v>500</v>
      </c>
      <c r="D613" s="501">
        <v>14.75</v>
      </c>
      <c r="E613" s="502">
        <v>0</v>
      </c>
      <c r="F613" s="502">
        <f t="shared" si="171"/>
        <v>7375</v>
      </c>
      <c r="G613" s="499">
        <v>42544</v>
      </c>
      <c r="H613" s="517">
        <v>500</v>
      </c>
      <c r="I613" s="501">
        <v>15.24</v>
      </c>
      <c r="J613" s="502">
        <v>0.17</v>
      </c>
      <c r="K613" s="502">
        <f>H613*I613-J613</f>
        <v>7619.83</v>
      </c>
      <c r="L613" s="500"/>
      <c r="M613" s="502"/>
    </row>
    <row r="614" spans="1:13" x14ac:dyDescent="0.25">
      <c r="A614" s="500"/>
      <c r="B614" s="549">
        <v>42545</v>
      </c>
      <c r="C614" s="500">
        <v>878</v>
      </c>
      <c r="D614" s="501">
        <v>14.41</v>
      </c>
      <c r="E614" s="502">
        <v>0</v>
      </c>
      <c r="F614" s="502">
        <f t="shared" si="171"/>
        <v>12651.98</v>
      </c>
      <c r="G614" s="500"/>
      <c r="H614" s="517"/>
      <c r="I614" s="501"/>
      <c r="J614" s="502"/>
      <c r="K614" s="502"/>
      <c r="L614" s="500"/>
      <c r="M614" s="502"/>
    </row>
    <row r="615" spans="1:13" x14ac:dyDescent="0.25">
      <c r="A615" s="500"/>
      <c r="B615" s="549">
        <v>42545</v>
      </c>
      <c r="C615" s="500">
        <v>335</v>
      </c>
      <c r="D615" s="501">
        <v>14.08</v>
      </c>
      <c r="E615" s="502">
        <v>0</v>
      </c>
      <c r="F615" s="502">
        <f t="shared" si="171"/>
        <v>4716.8</v>
      </c>
      <c r="G615" s="500"/>
      <c r="H615" s="517"/>
      <c r="I615" s="501"/>
      <c r="J615" s="502"/>
      <c r="K615" s="502"/>
      <c r="L615" s="500"/>
      <c r="M615" s="502"/>
    </row>
    <row r="616" spans="1:13" x14ac:dyDescent="0.25">
      <c r="A616" s="500"/>
      <c r="B616" s="549">
        <v>42548</v>
      </c>
      <c r="C616" s="500">
        <v>965</v>
      </c>
      <c r="D616" s="501">
        <v>13.81</v>
      </c>
      <c r="E616" s="502">
        <v>0</v>
      </c>
      <c r="F616" s="502">
        <f t="shared" si="171"/>
        <v>13326.65</v>
      </c>
      <c r="G616" s="500"/>
      <c r="H616" s="517"/>
      <c r="I616" s="501"/>
      <c r="J616" s="502"/>
      <c r="K616" s="502"/>
      <c r="L616" s="500"/>
      <c r="M616" s="502"/>
    </row>
    <row r="617" spans="1:13" x14ac:dyDescent="0.25">
      <c r="A617" s="500"/>
      <c r="B617" s="549">
        <v>42548</v>
      </c>
      <c r="C617" s="500">
        <v>300</v>
      </c>
      <c r="D617" s="501">
        <v>13.58</v>
      </c>
      <c r="E617" s="502">
        <v>0</v>
      </c>
      <c r="F617" s="502">
        <f t="shared" si="171"/>
        <v>4074</v>
      </c>
      <c r="G617" s="499">
        <v>42549</v>
      </c>
      <c r="H617" s="517">
        <v>1100</v>
      </c>
      <c r="I617" s="501">
        <v>14.68</v>
      </c>
      <c r="J617" s="502">
        <v>0.35</v>
      </c>
      <c r="K617" s="502">
        <f t="shared" ref="K617:K702" si="172">H617*I617-J617</f>
        <v>16147.65</v>
      </c>
      <c r="L617" s="500"/>
      <c r="M617" s="502"/>
    </row>
    <row r="618" spans="1:13" ht="45" x14ac:dyDescent="0.25">
      <c r="A618" s="500"/>
      <c r="B618" s="549">
        <v>42556</v>
      </c>
      <c r="C618" s="500">
        <v>2178</v>
      </c>
      <c r="D618" s="501">
        <v>15.08</v>
      </c>
      <c r="E618" s="502">
        <v>0</v>
      </c>
      <c r="F618" s="502">
        <f t="shared" si="171"/>
        <v>32844.239999999998</v>
      </c>
      <c r="G618" s="615" t="s">
        <v>229</v>
      </c>
      <c r="H618" s="517">
        <v>500</v>
      </c>
      <c r="I618" s="501">
        <v>15.48</v>
      </c>
      <c r="J618" s="502">
        <v>0.17</v>
      </c>
      <c r="K618" s="502">
        <f t="shared" si="172"/>
        <v>7739.83</v>
      </c>
      <c r="L618" s="500"/>
      <c r="M618" s="502"/>
    </row>
    <row r="619" spans="1:13" x14ac:dyDescent="0.25">
      <c r="A619" s="500"/>
      <c r="B619" s="549">
        <v>42556</v>
      </c>
      <c r="C619" s="500">
        <v>500</v>
      </c>
      <c r="D619" s="501">
        <v>14.62</v>
      </c>
      <c r="E619" s="502">
        <v>0</v>
      </c>
      <c r="F619" s="502">
        <f t="shared" si="171"/>
        <v>7310</v>
      </c>
      <c r="G619" s="615"/>
      <c r="H619" s="517">
        <v>378</v>
      </c>
      <c r="I619" s="501">
        <v>15.65</v>
      </c>
      <c r="J619" s="502">
        <v>0.13</v>
      </c>
      <c r="K619" s="502">
        <f t="shared" si="172"/>
        <v>5915.57</v>
      </c>
      <c r="L619" s="500"/>
      <c r="M619" s="502"/>
    </row>
    <row r="620" spans="1:13" x14ac:dyDescent="0.25">
      <c r="A620" s="500"/>
      <c r="B620" s="549">
        <v>42557</v>
      </c>
      <c r="C620" s="500">
        <v>500</v>
      </c>
      <c r="D620" s="501">
        <v>14.78</v>
      </c>
      <c r="E620" s="502">
        <v>0</v>
      </c>
      <c r="F620" s="502">
        <f t="shared" si="171"/>
        <v>7390</v>
      </c>
      <c r="G620" s="615"/>
      <c r="H620" s="517">
        <v>500</v>
      </c>
      <c r="I620" s="501">
        <v>15.51</v>
      </c>
      <c r="J620" s="502">
        <v>0.17</v>
      </c>
      <c r="K620" s="502">
        <f t="shared" si="172"/>
        <v>7754.83</v>
      </c>
      <c r="L620" s="500"/>
      <c r="M620" s="502"/>
    </row>
    <row r="621" spans="1:13" x14ac:dyDescent="0.25">
      <c r="A621" s="500"/>
      <c r="B621" s="601">
        <v>42564</v>
      </c>
      <c r="C621" s="500">
        <v>320</v>
      </c>
      <c r="D621" s="501">
        <v>15.48</v>
      </c>
      <c r="E621" s="502">
        <v>0</v>
      </c>
      <c r="F621" s="502">
        <f t="shared" si="171"/>
        <v>4953.6000000000004</v>
      </c>
      <c r="G621" s="615"/>
      <c r="H621" s="517">
        <v>800</v>
      </c>
      <c r="I621" s="501">
        <v>15.78</v>
      </c>
      <c r="J621" s="502">
        <v>0.28000000000000003</v>
      </c>
      <c r="K621" s="502">
        <f t="shared" si="172"/>
        <v>12623.72</v>
      </c>
      <c r="L621" s="500"/>
      <c r="M621" s="502"/>
    </row>
    <row r="622" spans="1:13" x14ac:dyDescent="0.25">
      <c r="A622" s="602"/>
      <c r="B622" s="601">
        <v>42564</v>
      </c>
      <c r="C622" s="500">
        <v>160</v>
      </c>
      <c r="D622" s="501">
        <v>15.48</v>
      </c>
      <c r="E622" s="502">
        <v>0</v>
      </c>
      <c r="F622" s="502">
        <f t="shared" si="171"/>
        <v>2476.8000000000002</v>
      </c>
      <c r="G622" s="499">
        <v>42557</v>
      </c>
      <c r="H622" s="517">
        <v>500</v>
      </c>
      <c r="I622" s="501">
        <v>14.92</v>
      </c>
      <c r="J622" s="502">
        <v>0.16</v>
      </c>
      <c r="K622" s="502">
        <f t="shared" si="172"/>
        <v>7459.84</v>
      </c>
      <c r="L622" s="500"/>
      <c r="M622" s="502"/>
    </row>
    <row r="623" spans="1:13" x14ac:dyDescent="0.25">
      <c r="A623" s="602"/>
      <c r="B623" s="549">
        <v>42570</v>
      </c>
      <c r="C623" s="500">
        <v>200</v>
      </c>
      <c r="D623" s="501">
        <v>15.18</v>
      </c>
      <c r="E623" s="502">
        <v>0</v>
      </c>
      <c r="F623" s="502">
        <f t="shared" si="171"/>
        <v>3036</v>
      </c>
      <c r="G623" s="499">
        <v>42564</v>
      </c>
      <c r="H623" s="517">
        <v>420</v>
      </c>
      <c r="I623" s="501">
        <v>15.68</v>
      </c>
      <c r="J623" s="502">
        <v>0.14000000000000001</v>
      </c>
      <c r="K623" s="502">
        <f t="shared" si="172"/>
        <v>6585.4599999999991</v>
      </c>
      <c r="L623" s="500"/>
      <c r="M623" s="502"/>
    </row>
    <row r="624" spans="1:13" x14ac:dyDescent="0.25">
      <c r="A624" s="602"/>
      <c r="B624" s="549">
        <v>42570</v>
      </c>
      <c r="C624" s="500">
        <v>200</v>
      </c>
      <c r="D624" s="501">
        <v>14.68</v>
      </c>
      <c r="E624" s="502">
        <v>0</v>
      </c>
      <c r="F624" s="502">
        <f t="shared" si="171"/>
        <v>2936</v>
      </c>
      <c r="G624" s="499">
        <v>42571</v>
      </c>
      <c r="H624" s="517">
        <v>200</v>
      </c>
      <c r="I624" s="501">
        <v>14.82</v>
      </c>
      <c r="J624" s="502">
        <v>0.06</v>
      </c>
      <c r="K624" s="502">
        <f t="shared" si="172"/>
        <v>2963.94</v>
      </c>
      <c r="L624" s="500"/>
      <c r="M624" s="502"/>
    </row>
    <row r="625" spans="1:13" x14ac:dyDescent="0.25">
      <c r="A625" s="500"/>
      <c r="B625" s="549">
        <v>42571</v>
      </c>
      <c r="C625" s="500">
        <v>200</v>
      </c>
      <c r="D625" s="501">
        <v>14.33</v>
      </c>
      <c r="E625" s="502">
        <v>-1</v>
      </c>
      <c r="F625" s="502">
        <f t="shared" si="171"/>
        <v>2865</v>
      </c>
      <c r="G625" s="499">
        <v>42572</v>
      </c>
      <c r="H625" s="517">
        <v>200</v>
      </c>
      <c r="I625" s="501">
        <v>14.8</v>
      </c>
      <c r="J625" s="502">
        <v>0.06</v>
      </c>
      <c r="K625" s="502">
        <f t="shared" si="172"/>
        <v>2959.94</v>
      </c>
      <c r="L625" s="500"/>
      <c r="M625" s="502"/>
    </row>
    <row r="626" spans="1:13" x14ac:dyDescent="0.25">
      <c r="A626" s="500"/>
      <c r="B626" s="549">
        <v>42572</v>
      </c>
      <c r="C626" s="500">
        <v>60</v>
      </c>
      <c r="D626" s="501">
        <v>14.58</v>
      </c>
      <c r="E626" s="502">
        <v>0</v>
      </c>
      <c r="F626" s="502">
        <f t="shared" si="171"/>
        <v>874.8</v>
      </c>
      <c r="G626" s="499">
        <v>42577</v>
      </c>
      <c r="H626" s="517">
        <v>200</v>
      </c>
      <c r="I626" s="501">
        <v>13.78</v>
      </c>
      <c r="J626" s="502">
        <v>0.06</v>
      </c>
      <c r="K626" s="502">
        <f t="shared" si="172"/>
        <v>2755.94</v>
      </c>
      <c r="L626" s="500"/>
      <c r="M626" s="502"/>
    </row>
    <row r="627" spans="1:13" x14ac:dyDescent="0.25">
      <c r="A627" s="500"/>
      <c r="B627" s="549">
        <v>42572</v>
      </c>
      <c r="C627" s="500">
        <v>140</v>
      </c>
      <c r="D627" s="501">
        <v>14.65</v>
      </c>
      <c r="E627" s="502">
        <v>0</v>
      </c>
      <c r="F627" s="502">
        <f t="shared" si="171"/>
        <v>2051</v>
      </c>
      <c r="G627" s="499">
        <v>42580</v>
      </c>
      <c r="H627" s="517">
        <v>200</v>
      </c>
      <c r="I627" s="501">
        <v>13.224</v>
      </c>
      <c r="J627" s="502">
        <v>0.08</v>
      </c>
      <c r="K627" s="502">
        <f t="shared" si="172"/>
        <v>2644.7200000000003</v>
      </c>
      <c r="L627" s="500"/>
      <c r="M627" s="502"/>
    </row>
    <row r="628" spans="1:13" x14ac:dyDescent="0.25">
      <c r="A628" s="500"/>
      <c r="B628" s="549">
        <v>42573</v>
      </c>
      <c r="C628" s="500">
        <v>140</v>
      </c>
      <c r="D628" s="501">
        <v>14.08</v>
      </c>
      <c r="E628" s="502">
        <v>0</v>
      </c>
      <c r="F628" s="502">
        <f t="shared" si="171"/>
        <v>1971.2</v>
      </c>
      <c r="G628" s="499">
        <v>42580</v>
      </c>
      <c r="H628" s="517">
        <v>200</v>
      </c>
      <c r="I628" s="501">
        <v>13.58</v>
      </c>
      <c r="J628" s="502">
        <v>0.06</v>
      </c>
      <c r="K628" s="502">
        <f t="shared" si="172"/>
        <v>2715.94</v>
      </c>
      <c r="L628" s="500"/>
      <c r="M628" s="502"/>
    </row>
    <row r="629" spans="1:13" x14ac:dyDescent="0.25">
      <c r="A629" s="500"/>
      <c r="B629" s="549">
        <v>42576</v>
      </c>
      <c r="C629" s="500">
        <v>200</v>
      </c>
      <c r="D629" s="501">
        <v>13.55</v>
      </c>
      <c r="E629" s="502">
        <v>0</v>
      </c>
      <c r="F629" s="502">
        <f t="shared" si="171"/>
        <v>2710</v>
      </c>
      <c r="G629" s="499">
        <v>42586</v>
      </c>
      <c r="H629" s="517">
        <v>400</v>
      </c>
      <c r="I629" s="501">
        <v>13.78</v>
      </c>
      <c r="J629" s="502">
        <v>0.12</v>
      </c>
      <c r="K629" s="502">
        <f t="shared" si="172"/>
        <v>5511.88</v>
      </c>
      <c r="L629" s="500"/>
      <c r="M629" s="502"/>
    </row>
    <row r="630" spans="1:13" x14ac:dyDescent="0.25">
      <c r="A630" s="500"/>
      <c r="B630" s="549">
        <v>42578</v>
      </c>
      <c r="C630" s="500">
        <v>200</v>
      </c>
      <c r="D630" s="501">
        <v>13.18</v>
      </c>
      <c r="E630" s="502">
        <v>0</v>
      </c>
      <c r="F630" s="502">
        <f t="shared" si="171"/>
        <v>2636</v>
      </c>
      <c r="G630" s="499">
        <v>42586</v>
      </c>
      <c r="H630" s="517">
        <v>400</v>
      </c>
      <c r="I630" s="501">
        <v>13.72</v>
      </c>
      <c r="J630" s="502">
        <v>0.12</v>
      </c>
      <c r="K630" s="502">
        <f t="shared" si="172"/>
        <v>5487.88</v>
      </c>
      <c r="L630" s="500"/>
      <c r="M630" s="502"/>
    </row>
    <row r="631" spans="1:13" x14ac:dyDescent="0.25">
      <c r="A631" s="500"/>
      <c r="B631" s="549">
        <v>42580</v>
      </c>
      <c r="C631" s="500">
        <v>200</v>
      </c>
      <c r="D631" s="501">
        <v>13.15</v>
      </c>
      <c r="E631" s="502">
        <v>0</v>
      </c>
      <c r="F631" s="502">
        <f t="shared" si="171"/>
        <v>2630</v>
      </c>
      <c r="G631" s="499">
        <v>42586</v>
      </c>
      <c r="H631" s="517">
        <v>140</v>
      </c>
      <c r="I631" s="501">
        <v>13.88</v>
      </c>
      <c r="J631" s="502">
        <v>0.04</v>
      </c>
      <c r="K631" s="502">
        <f t="shared" si="172"/>
        <v>1943.16</v>
      </c>
      <c r="L631" s="500"/>
      <c r="M631" s="502"/>
    </row>
    <row r="632" spans="1:13" x14ac:dyDescent="0.25">
      <c r="A632" s="500"/>
      <c r="B632" s="549">
        <v>42583</v>
      </c>
      <c r="C632" s="598">
        <v>20</v>
      </c>
      <c r="D632" s="501">
        <v>13.02</v>
      </c>
      <c r="E632" s="502">
        <v>0</v>
      </c>
      <c r="F632" s="502">
        <f t="shared" si="171"/>
        <v>260.39999999999998</v>
      </c>
      <c r="G632" s="499">
        <v>42593</v>
      </c>
      <c r="H632" s="517">
        <v>460</v>
      </c>
      <c r="I632" s="501">
        <v>14.59</v>
      </c>
      <c r="J632" s="502">
        <v>0.15</v>
      </c>
      <c r="K632" s="502">
        <f t="shared" si="172"/>
        <v>6711.25</v>
      </c>
      <c r="L632" s="500"/>
      <c r="M632" s="502"/>
    </row>
    <row r="633" spans="1:13" x14ac:dyDescent="0.25">
      <c r="A633" s="500"/>
      <c r="B633" s="549">
        <v>42583</v>
      </c>
      <c r="C633" s="500">
        <v>180</v>
      </c>
      <c r="D633" s="501">
        <v>13.02</v>
      </c>
      <c r="E633" s="502">
        <v>0</v>
      </c>
      <c r="F633" s="502">
        <f t="shared" si="171"/>
        <v>2343.6</v>
      </c>
      <c r="G633" s="499">
        <v>42594</v>
      </c>
      <c r="H633" s="517">
        <v>500</v>
      </c>
      <c r="I633" s="501">
        <v>14.88</v>
      </c>
      <c r="J633" s="502">
        <v>0.16</v>
      </c>
      <c r="K633" s="502">
        <f t="shared" si="172"/>
        <v>7439.84</v>
      </c>
      <c r="L633" s="500"/>
      <c r="M633" s="502"/>
    </row>
    <row r="634" spans="1:13" x14ac:dyDescent="0.25">
      <c r="A634" s="500"/>
      <c r="B634" s="549">
        <v>42584</v>
      </c>
      <c r="C634" s="500">
        <v>120</v>
      </c>
      <c r="D634" s="501">
        <v>12.68</v>
      </c>
      <c r="E634" s="502">
        <v>0</v>
      </c>
      <c r="F634" s="502">
        <f t="shared" si="171"/>
        <v>1521.6</v>
      </c>
      <c r="G634" s="499">
        <v>42598</v>
      </c>
      <c r="H634" s="517">
        <v>500</v>
      </c>
      <c r="I634" s="501">
        <v>15.18</v>
      </c>
      <c r="J634" s="502">
        <v>0.17</v>
      </c>
      <c r="K634" s="502">
        <f t="shared" si="172"/>
        <v>7589.83</v>
      </c>
      <c r="L634" s="500"/>
      <c r="M634" s="502"/>
    </row>
    <row r="635" spans="1:13" x14ac:dyDescent="0.25">
      <c r="A635" s="500"/>
      <c r="B635" s="549">
        <v>42584</v>
      </c>
      <c r="C635" s="500">
        <v>80</v>
      </c>
      <c r="D635" s="501">
        <v>12.68</v>
      </c>
      <c r="E635" s="502">
        <v>0</v>
      </c>
      <c r="F635" s="502">
        <f t="shared" si="171"/>
        <v>1014.4</v>
      </c>
      <c r="G635" s="499">
        <v>42599</v>
      </c>
      <c r="H635" s="517">
        <v>500</v>
      </c>
      <c r="I635" s="501">
        <v>15.18</v>
      </c>
      <c r="J635" s="502">
        <v>0.17</v>
      </c>
      <c r="K635" s="502">
        <f t="shared" si="172"/>
        <v>7589.83</v>
      </c>
      <c r="L635" s="500"/>
      <c r="M635" s="502"/>
    </row>
    <row r="636" spans="1:13" x14ac:dyDescent="0.25">
      <c r="A636" s="500"/>
      <c r="B636" s="549">
        <v>42585</v>
      </c>
      <c r="C636" s="500">
        <v>242</v>
      </c>
      <c r="D636" s="501">
        <v>13.38</v>
      </c>
      <c r="E636" s="502">
        <v>0</v>
      </c>
      <c r="F636" s="502">
        <f t="shared" si="171"/>
        <v>3237.96</v>
      </c>
      <c r="G636" s="499">
        <v>42599</v>
      </c>
      <c r="H636" s="517">
        <v>500</v>
      </c>
      <c r="I636" s="501">
        <v>15.41</v>
      </c>
      <c r="J636" s="502">
        <v>0.17</v>
      </c>
      <c r="K636" s="502">
        <f t="shared" si="172"/>
        <v>7704.83</v>
      </c>
      <c r="L636" s="500"/>
      <c r="M636" s="502"/>
    </row>
    <row r="637" spans="1:13" x14ac:dyDescent="0.25">
      <c r="A637" s="500"/>
      <c r="B637" s="549">
        <v>42585</v>
      </c>
      <c r="C637" s="500">
        <v>158</v>
      </c>
      <c r="D637" s="501">
        <v>13.38</v>
      </c>
      <c r="E637" s="502">
        <v>0</v>
      </c>
      <c r="F637" s="502">
        <f t="shared" si="171"/>
        <v>2114.04</v>
      </c>
      <c r="G637" s="499">
        <v>42599</v>
      </c>
      <c r="H637" s="517">
        <v>500</v>
      </c>
      <c r="I637" s="501">
        <v>15.65</v>
      </c>
      <c r="J637" s="502">
        <v>0.17</v>
      </c>
      <c r="K637" s="502">
        <f t="shared" si="172"/>
        <v>7824.83</v>
      </c>
      <c r="L637" s="500"/>
      <c r="M637" s="502"/>
    </row>
    <row r="638" spans="1:13" ht="45" x14ac:dyDescent="0.25">
      <c r="A638" s="500"/>
      <c r="B638" s="549">
        <v>42594</v>
      </c>
      <c r="C638" s="500">
        <v>500</v>
      </c>
      <c r="D638" s="501">
        <v>14.65</v>
      </c>
      <c r="E638" s="502">
        <v>0</v>
      </c>
      <c r="F638" s="502">
        <f t="shared" si="171"/>
        <v>7325</v>
      </c>
      <c r="G638" s="620" t="s">
        <v>257</v>
      </c>
      <c r="H638" s="517">
        <v>500</v>
      </c>
      <c r="I638" s="501">
        <v>16.18</v>
      </c>
      <c r="J638" s="502">
        <v>0.18</v>
      </c>
      <c r="K638" s="502">
        <f t="shared" si="172"/>
        <v>8089.82</v>
      </c>
      <c r="L638" s="500"/>
      <c r="M638" s="502"/>
    </row>
    <row r="639" spans="1:13" x14ac:dyDescent="0.25">
      <c r="A639" s="500"/>
      <c r="B639" s="549">
        <v>42599</v>
      </c>
      <c r="C639" s="500">
        <v>242</v>
      </c>
      <c r="D639" s="501">
        <v>14.95</v>
      </c>
      <c r="E639" s="502">
        <v>0</v>
      </c>
      <c r="F639" s="502">
        <f t="shared" si="171"/>
        <v>3617.8999999999996</v>
      </c>
      <c r="G639" s="620"/>
      <c r="H639" s="517">
        <v>500</v>
      </c>
      <c r="I639" s="501">
        <v>16.38</v>
      </c>
      <c r="J639" s="502">
        <v>0.18</v>
      </c>
      <c r="K639" s="502">
        <f t="shared" si="172"/>
        <v>8189.8199999999988</v>
      </c>
      <c r="L639" s="500"/>
      <c r="M639" s="502"/>
    </row>
    <row r="640" spans="1:13" x14ac:dyDescent="0.25">
      <c r="A640" s="500"/>
      <c r="B640" s="549">
        <v>42599</v>
      </c>
      <c r="C640" s="500">
        <v>200</v>
      </c>
      <c r="D640" s="501">
        <v>14.95</v>
      </c>
      <c r="E640" s="502">
        <v>0</v>
      </c>
      <c r="F640" s="502">
        <f t="shared" si="171"/>
        <v>2990</v>
      </c>
      <c r="G640" s="620"/>
      <c r="H640" s="517">
        <v>178</v>
      </c>
      <c r="I640" s="501">
        <v>16.5</v>
      </c>
      <c r="J640" s="502">
        <v>0.06</v>
      </c>
      <c r="K640" s="502">
        <f t="shared" si="172"/>
        <v>2936.94</v>
      </c>
      <c r="L640" s="500"/>
      <c r="M640" s="502"/>
    </row>
    <row r="641" spans="1:13" x14ac:dyDescent="0.25">
      <c r="A641" s="500"/>
      <c r="B641" s="549">
        <v>42599</v>
      </c>
      <c r="C641" s="500">
        <v>36</v>
      </c>
      <c r="D641" s="501">
        <v>14.95</v>
      </c>
      <c r="E641" s="502">
        <v>0</v>
      </c>
      <c r="F641" s="502">
        <f t="shared" si="171"/>
        <v>538.19999999999993</v>
      </c>
      <c r="G641" s="620"/>
      <c r="H641" s="517">
        <v>500</v>
      </c>
      <c r="I641" s="501">
        <v>16.72</v>
      </c>
      <c r="J641" s="502">
        <v>0.18</v>
      </c>
      <c r="K641" s="502">
        <f t="shared" si="172"/>
        <v>8359.82</v>
      </c>
      <c r="L641" s="500"/>
      <c r="M641" s="502"/>
    </row>
    <row r="642" spans="1:13" x14ac:dyDescent="0.25">
      <c r="A642" s="500"/>
      <c r="B642" s="549">
        <v>42599</v>
      </c>
      <c r="C642" s="500">
        <v>22</v>
      </c>
      <c r="D642" s="501">
        <v>14.95</v>
      </c>
      <c r="E642" s="502">
        <v>0</v>
      </c>
      <c r="F642" s="502">
        <f t="shared" si="171"/>
        <v>328.9</v>
      </c>
      <c r="G642" s="499">
        <v>42601</v>
      </c>
      <c r="H642" s="517">
        <v>500</v>
      </c>
      <c r="I642" s="501">
        <v>16.82</v>
      </c>
      <c r="J642" s="502">
        <v>0.18</v>
      </c>
      <c r="K642" s="502">
        <f t="shared" si="172"/>
        <v>8409.82</v>
      </c>
      <c r="L642" s="500"/>
      <c r="M642" s="502"/>
    </row>
    <row r="643" spans="1:13" x14ac:dyDescent="0.25">
      <c r="A643" s="500"/>
      <c r="B643" s="549">
        <v>42604</v>
      </c>
      <c r="C643" s="500">
        <v>1000</v>
      </c>
      <c r="D643" s="501">
        <v>15.68</v>
      </c>
      <c r="E643" s="502">
        <v>0</v>
      </c>
      <c r="F643" s="502">
        <f t="shared" si="171"/>
        <v>15680</v>
      </c>
      <c r="G643" s="499">
        <v>42605</v>
      </c>
      <c r="H643" s="517">
        <v>500</v>
      </c>
      <c r="I643" s="501">
        <v>15.98</v>
      </c>
      <c r="J643" s="502">
        <v>0.17</v>
      </c>
      <c r="K643" s="502">
        <f t="shared" si="172"/>
        <v>7989.83</v>
      </c>
      <c r="L643" s="500"/>
      <c r="M643" s="502"/>
    </row>
    <row r="644" spans="1:13" x14ac:dyDescent="0.25">
      <c r="A644" s="500"/>
      <c r="B644" s="549">
        <v>42604</v>
      </c>
      <c r="C644" s="500">
        <v>500</v>
      </c>
      <c r="D644" s="501">
        <v>15.48</v>
      </c>
      <c r="E644" s="502">
        <v>0</v>
      </c>
      <c r="F644" s="502">
        <f t="shared" si="171"/>
        <v>7740</v>
      </c>
      <c r="G644" s="499">
        <v>42605</v>
      </c>
      <c r="H644" s="517">
        <v>500</v>
      </c>
      <c r="I644" s="501">
        <v>16.25</v>
      </c>
      <c r="J644" s="502">
        <v>0.18</v>
      </c>
      <c r="K644" s="502">
        <f t="shared" si="172"/>
        <v>8124.82</v>
      </c>
      <c r="L644" s="500"/>
      <c r="M644" s="502"/>
    </row>
    <row r="645" spans="1:13" x14ac:dyDescent="0.25">
      <c r="A645" s="500"/>
      <c r="B645" s="549">
        <v>42606</v>
      </c>
      <c r="C645" s="500">
        <v>178</v>
      </c>
      <c r="D645" s="501">
        <v>16.059999999999999</v>
      </c>
      <c r="E645" s="502">
        <v>0</v>
      </c>
      <c r="F645" s="502">
        <f t="shared" si="171"/>
        <v>2858.68</v>
      </c>
      <c r="G645" s="499">
        <v>42605</v>
      </c>
      <c r="H645" s="517">
        <v>500</v>
      </c>
      <c r="I645" s="501">
        <v>16.48</v>
      </c>
      <c r="J645" s="502">
        <v>0.18</v>
      </c>
      <c r="K645" s="502">
        <f t="shared" si="172"/>
        <v>8239.82</v>
      </c>
      <c r="L645" s="500"/>
      <c r="M645" s="502"/>
    </row>
    <row r="646" spans="1:13" x14ac:dyDescent="0.25">
      <c r="A646" s="500"/>
      <c r="B646" s="549">
        <v>42608</v>
      </c>
      <c r="C646" s="500">
        <v>500</v>
      </c>
      <c r="D646" s="501">
        <v>15.98</v>
      </c>
      <c r="E646" s="502">
        <v>0</v>
      </c>
      <c r="F646" s="502">
        <f t="shared" si="171"/>
        <v>7990</v>
      </c>
      <c r="G646" s="499">
        <v>42615</v>
      </c>
      <c r="H646" s="517">
        <v>500</v>
      </c>
      <c r="I646" s="501">
        <v>15.65</v>
      </c>
      <c r="J646" s="502">
        <v>0.17</v>
      </c>
      <c r="K646" s="502">
        <f t="shared" si="172"/>
        <v>7824.83</v>
      </c>
      <c r="L646" s="500"/>
      <c r="M646" s="502"/>
    </row>
    <row r="647" spans="1:13" ht="30" x14ac:dyDescent="0.25">
      <c r="A647" s="500"/>
      <c r="B647" s="549">
        <v>42608</v>
      </c>
      <c r="C647" s="500">
        <v>500</v>
      </c>
      <c r="D647" s="501">
        <v>15.85</v>
      </c>
      <c r="E647" s="502">
        <v>0</v>
      </c>
      <c r="F647" s="502">
        <f t="shared" si="171"/>
        <v>7925</v>
      </c>
      <c r="G647" s="499">
        <v>42621</v>
      </c>
      <c r="H647" s="517">
        <v>500</v>
      </c>
      <c r="I647" s="501">
        <v>16.72</v>
      </c>
      <c r="J647" s="502">
        <v>0.18</v>
      </c>
      <c r="K647" s="502">
        <f t="shared" si="172"/>
        <v>8359.82</v>
      </c>
      <c r="L647" s="621" t="s">
        <v>270</v>
      </c>
      <c r="M647" s="502"/>
    </row>
    <row r="648" spans="1:13" x14ac:dyDescent="0.25">
      <c r="A648" s="500"/>
      <c r="B648" s="549">
        <v>42612</v>
      </c>
      <c r="C648" s="500">
        <v>500</v>
      </c>
      <c r="D648" s="501">
        <v>15.68</v>
      </c>
      <c r="E648" s="502">
        <v>0</v>
      </c>
      <c r="F648" s="502">
        <f t="shared" si="171"/>
        <v>7840</v>
      </c>
      <c r="G648" s="499">
        <v>42621</v>
      </c>
      <c r="H648" s="517">
        <v>500</v>
      </c>
      <c r="I648" s="501">
        <v>16.28</v>
      </c>
      <c r="J648" s="502">
        <v>0.18</v>
      </c>
      <c r="K648" s="502">
        <f t="shared" si="172"/>
        <v>8139.8200000000006</v>
      </c>
      <c r="L648" s="621"/>
      <c r="M648" s="502"/>
    </row>
    <row r="649" spans="1:13" x14ac:dyDescent="0.25">
      <c r="A649" s="500"/>
      <c r="B649" s="549">
        <v>42612</v>
      </c>
      <c r="C649" s="500">
        <v>500</v>
      </c>
      <c r="D649" s="501">
        <v>15.55</v>
      </c>
      <c r="E649" s="502">
        <v>0</v>
      </c>
      <c r="F649" s="502">
        <f t="shared" si="171"/>
        <v>7775</v>
      </c>
      <c r="G649" s="499">
        <v>42621</v>
      </c>
      <c r="H649" s="517">
        <v>220</v>
      </c>
      <c r="I649" s="501">
        <v>16.77</v>
      </c>
      <c r="J649" s="502">
        <v>0.08</v>
      </c>
      <c r="K649" s="502">
        <f t="shared" si="172"/>
        <v>3689.32</v>
      </c>
      <c r="L649" s="621"/>
      <c r="M649" s="502"/>
    </row>
    <row r="650" spans="1:13" x14ac:dyDescent="0.25">
      <c r="A650" s="500"/>
      <c r="B650" s="549">
        <v>42613</v>
      </c>
      <c r="C650" s="500">
        <v>500</v>
      </c>
      <c r="D650" s="501">
        <v>15.244999999999999</v>
      </c>
      <c r="E650" s="502">
        <v>0</v>
      </c>
      <c r="F650" s="502">
        <f t="shared" si="171"/>
        <v>7622.5</v>
      </c>
      <c r="G650" s="499">
        <v>42625</v>
      </c>
      <c r="H650" s="517">
        <v>500</v>
      </c>
      <c r="I650" s="501">
        <v>15.5</v>
      </c>
      <c r="J650" s="502">
        <v>0.17</v>
      </c>
      <c r="K650" s="502">
        <f t="shared" si="172"/>
        <v>7749.83</v>
      </c>
      <c r="L650" s="500"/>
      <c r="M650" s="502"/>
    </row>
    <row r="651" spans="1:13" x14ac:dyDescent="0.25">
      <c r="A651" s="500"/>
      <c r="B651" s="549">
        <v>42613</v>
      </c>
      <c r="C651" s="500">
        <v>500</v>
      </c>
      <c r="D651" s="501">
        <v>15.08</v>
      </c>
      <c r="E651" s="502">
        <v>0</v>
      </c>
      <c r="F651" s="502">
        <f t="shared" si="171"/>
        <v>7540</v>
      </c>
      <c r="G651" s="499">
        <v>42628</v>
      </c>
      <c r="H651" s="517">
        <v>300</v>
      </c>
      <c r="I651" s="501">
        <v>14.46</v>
      </c>
      <c r="J651" s="502">
        <v>0.09</v>
      </c>
      <c r="K651" s="502">
        <f t="shared" si="172"/>
        <v>4337.91</v>
      </c>
      <c r="L651" s="500"/>
      <c r="M651" s="502"/>
    </row>
    <row r="652" spans="1:13" x14ac:dyDescent="0.25">
      <c r="A652" s="500"/>
      <c r="B652" s="549">
        <v>42622</v>
      </c>
      <c r="C652" s="500">
        <v>220</v>
      </c>
      <c r="D652" s="501">
        <v>16.25</v>
      </c>
      <c r="E652" s="502">
        <v>0</v>
      </c>
      <c r="F652" s="502">
        <f t="shared" si="171"/>
        <v>3575</v>
      </c>
      <c r="G652" s="499">
        <v>42634</v>
      </c>
      <c r="H652" s="517">
        <v>322</v>
      </c>
      <c r="I652" s="501">
        <v>14.28</v>
      </c>
      <c r="J652" s="502">
        <v>0.1</v>
      </c>
      <c r="K652" s="502">
        <f t="shared" si="172"/>
        <v>4598.0599999999995</v>
      </c>
      <c r="L652" s="500"/>
      <c r="M652" s="502"/>
    </row>
    <row r="653" spans="1:13" x14ac:dyDescent="0.25">
      <c r="A653" s="500"/>
      <c r="B653" s="549">
        <v>42622</v>
      </c>
      <c r="C653" s="500">
        <v>500</v>
      </c>
      <c r="D653" s="501">
        <v>15.98</v>
      </c>
      <c r="E653" s="502">
        <v>0</v>
      </c>
      <c r="F653" s="502">
        <f t="shared" si="171"/>
        <v>7990</v>
      </c>
      <c r="G653" s="499">
        <v>42634</v>
      </c>
      <c r="H653" s="517">
        <v>400</v>
      </c>
      <c r="I653" s="501">
        <v>14.64</v>
      </c>
      <c r="J653" s="502">
        <v>0.13</v>
      </c>
      <c r="K653" s="502">
        <f t="shared" si="172"/>
        <v>5855.87</v>
      </c>
      <c r="L653" s="500"/>
      <c r="M653" s="502"/>
    </row>
    <row r="654" spans="1:13" x14ac:dyDescent="0.25">
      <c r="A654" s="500"/>
      <c r="B654" s="549">
        <v>42622</v>
      </c>
      <c r="C654" s="500">
        <v>500</v>
      </c>
      <c r="D654" s="501">
        <v>15.75</v>
      </c>
      <c r="E654" s="502">
        <v>0</v>
      </c>
      <c r="F654" s="502">
        <f t="shared" si="171"/>
        <v>7875</v>
      </c>
      <c r="G654" s="499">
        <v>42639</v>
      </c>
      <c r="H654" s="517">
        <v>200</v>
      </c>
      <c r="I654" s="501">
        <v>14.72</v>
      </c>
      <c r="J654" s="502">
        <v>0.06</v>
      </c>
      <c r="K654" s="502">
        <f t="shared" si="172"/>
        <v>2943.94</v>
      </c>
      <c r="L654" s="500"/>
      <c r="M654" s="502"/>
    </row>
    <row r="655" spans="1:13" x14ac:dyDescent="0.25">
      <c r="A655" s="500"/>
      <c r="B655" s="549">
        <v>42625</v>
      </c>
      <c r="C655" s="500">
        <v>500</v>
      </c>
      <c r="D655" s="501">
        <v>15.22</v>
      </c>
      <c r="E655" s="502">
        <v>0</v>
      </c>
      <c r="F655" s="502">
        <f t="shared" si="171"/>
        <v>7610</v>
      </c>
      <c r="G655" s="499">
        <v>42641</v>
      </c>
      <c r="H655" s="517">
        <v>300</v>
      </c>
      <c r="I655" s="501">
        <v>15.28</v>
      </c>
      <c r="J655" s="502">
        <v>0.1</v>
      </c>
      <c r="K655" s="502">
        <f t="shared" si="172"/>
        <v>4583.8999999999996</v>
      </c>
      <c r="L655" s="500"/>
      <c r="M655" s="502"/>
    </row>
    <row r="656" spans="1:13" ht="30" x14ac:dyDescent="0.25">
      <c r="A656" s="603" t="s">
        <v>279</v>
      </c>
      <c r="B656" s="549">
        <v>42626</v>
      </c>
      <c r="C656" s="500">
        <v>600</v>
      </c>
      <c r="D656" s="501">
        <v>14.91</v>
      </c>
      <c r="E656" s="502">
        <v>-3</v>
      </c>
      <c r="F656" s="502">
        <f t="shared" si="171"/>
        <v>8943</v>
      </c>
      <c r="G656" s="499">
        <v>42641</v>
      </c>
      <c r="H656" s="517">
        <v>400</v>
      </c>
      <c r="I656" s="501">
        <v>15.06</v>
      </c>
      <c r="J656" s="502">
        <v>0.13</v>
      </c>
      <c r="K656" s="502">
        <f t="shared" si="172"/>
        <v>6023.87</v>
      </c>
      <c r="L656" s="500"/>
      <c r="M656" s="502"/>
    </row>
    <row r="657" spans="1:13" x14ac:dyDescent="0.25">
      <c r="A657" s="603"/>
      <c r="B657" s="549">
        <v>42626</v>
      </c>
      <c r="C657" s="500">
        <v>400</v>
      </c>
      <c r="D657" s="501">
        <v>14.75</v>
      </c>
      <c r="E657" s="502">
        <v>0</v>
      </c>
      <c r="F657" s="502">
        <f t="shared" si="171"/>
        <v>5900</v>
      </c>
      <c r="G657" s="499">
        <v>42641</v>
      </c>
      <c r="H657" s="517">
        <v>322</v>
      </c>
      <c r="I657" s="501">
        <v>14.39</v>
      </c>
      <c r="J657" s="502">
        <v>0.1</v>
      </c>
      <c r="K657" s="502">
        <f t="shared" si="172"/>
        <v>4633.4799999999996</v>
      </c>
      <c r="L657" s="500"/>
      <c r="M657" s="502"/>
    </row>
    <row r="658" spans="1:13" x14ac:dyDescent="0.25">
      <c r="A658" s="603"/>
      <c r="B658" s="549">
        <v>42626</v>
      </c>
      <c r="C658" s="500">
        <v>300</v>
      </c>
      <c r="D658" s="501">
        <v>14.48</v>
      </c>
      <c r="E658" s="502">
        <v>0</v>
      </c>
      <c r="F658" s="502">
        <f t="shared" si="171"/>
        <v>4344</v>
      </c>
      <c r="G658" s="499">
        <v>42641</v>
      </c>
      <c r="H658" s="517">
        <v>500</v>
      </c>
      <c r="I658" s="501">
        <v>14.26</v>
      </c>
      <c r="J658" s="502">
        <v>0.16</v>
      </c>
      <c r="K658" s="502">
        <f t="shared" si="172"/>
        <v>7129.84</v>
      </c>
      <c r="L658" s="500"/>
      <c r="M658" s="502"/>
    </row>
    <row r="659" spans="1:13" x14ac:dyDescent="0.25">
      <c r="A659" s="603"/>
      <c r="B659" s="549">
        <v>42626</v>
      </c>
      <c r="C659" s="500">
        <v>300</v>
      </c>
      <c r="D659" s="501">
        <v>14.25</v>
      </c>
      <c r="E659" s="502">
        <v>0</v>
      </c>
      <c r="F659" s="502">
        <f t="shared" si="171"/>
        <v>4275</v>
      </c>
      <c r="G659" s="499">
        <v>42642</v>
      </c>
      <c r="H659" s="517">
        <v>300</v>
      </c>
      <c r="I659" s="501">
        <v>15.28</v>
      </c>
      <c r="J659" s="502">
        <v>0.1</v>
      </c>
      <c r="K659" s="502">
        <f t="shared" si="172"/>
        <v>4583.8999999999996</v>
      </c>
      <c r="L659" s="500"/>
      <c r="M659" s="502"/>
    </row>
    <row r="660" spans="1:13" x14ac:dyDescent="0.25">
      <c r="A660" s="603"/>
      <c r="B660" s="549">
        <v>42627</v>
      </c>
      <c r="C660" s="500">
        <v>200</v>
      </c>
      <c r="D660" s="501">
        <v>14.02</v>
      </c>
      <c r="E660" s="502">
        <v>-1</v>
      </c>
      <c r="F660" s="502">
        <f t="shared" si="171"/>
        <v>2803</v>
      </c>
      <c r="G660" s="499">
        <v>42642</v>
      </c>
      <c r="H660" s="517">
        <v>700</v>
      </c>
      <c r="I660" s="501">
        <v>15.78</v>
      </c>
      <c r="J660" s="502">
        <v>0.24</v>
      </c>
      <c r="K660" s="502">
        <f t="shared" si="172"/>
        <v>11045.76</v>
      </c>
      <c r="L660" s="500"/>
      <c r="M660" s="502"/>
    </row>
    <row r="661" spans="1:13" x14ac:dyDescent="0.25">
      <c r="A661" s="500"/>
      <c r="B661" s="549">
        <v>42628</v>
      </c>
      <c r="C661" s="500">
        <v>300</v>
      </c>
      <c r="D661" s="501">
        <v>14.3</v>
      </c>
      <c r="E661" s="502">
        <v>0</v>
      </c>
      <c r="F661" s="502">
        <f t="shared" si="171"/>
        <v>4290</v>
      </c>
      <c r="G661" s="499">
        <v>42642</v>
      </c>
      <c r="H661" s="517">
        <v>214</v>
      </c>
      <c r="I661" s="501">
        <v>15.98</v>
      </c>
      <c r="J661" s="502">
        <v>7.0000000000000007E-2</v>
      </c>
      <c r="K661" s="502">
        <f t="shared" si="172"/>
        <v>3419.65</v>
      </c>
      <c r="L661" s="500"/>
      <c r="M661" s="502"/>
    </row>
    <row r="662" spans="1:13" x14ac:dyDescent="0.25">
      <c r="A662" s="500"/>
      <c r="B662" s="549">
        <v>42632</v>
      </c>
      <c r="C662" s="500">
        <v>200</v>
      </c>
      <c r="D662" s="501">
        <v>14.06</v>
      </c>
      <c r="E662" s="502">
        <v>0</v>
      </c>
      <c r="F662" s="502">
        <f t="shared" si="171"/>
        <v>2812</v>
      </c>
      <c r="G662" s="499">
        <v>42648</v>
      </c>
      <c r="H662" s="517">
        <v>1000</v>
      </c>
      <c r="I662" s="501">
        <v>16.079999999999998</v>
      </c>
      <c r="J662" s="502">
        <v>0.35</v>
      </c>
      <c r="K662" s="502">
        <f t="shared" si="172"/>
        <v>16079.649999999998</v>
      </c>
      <c r="L662" s="500"/>
      <c r="M662" s="502"/>
    </row>
    <row r="663" spans="1:13" x14ac:dyDescent="0.25">
      <c r="A663" s="500"/>
      <c r="B663" s="549">
        <v>42633</v>
      </c>
      <c r="C663" s="500">
        <v>200</v>
      </c>
      <c r="D663" s="501">
        <v>14.11</v>
      </c>
      <c r="E663" s="502">
        <v>0</v>
      </c>
      <c r="F663" s="502">
        <f t="shared" si="171"/>
        <v>2822</v>
      </c>
      <c r="G663" s="499">
        <v>42648</v>
      </c>
      <c r="H663" s="517">
        <v>500</v>
      </c>
      <c r="I663" s="501">
        <v>16.38</v>
      </c>
      <c r="J663" s="502">
        <v>0.18</v>
      </c>
      <c r="K663" s="502">
        <f t="shared" si="172"/>
        <v>8189.8199999999988</v>
      </c>
      <c r="L663" s="500"/>
      <c r="M663" s="502"/>
    </row>
    <row r="664" spans="1:13" x14ac:dyDescent="0.25">
      <c r="A664" s="500"/>
      <c r="B664" s="549">
        <v>42633</v>
      </c>
      <c r="C664" s="500">
        <v>122</v>
      </c>
      <c r="D664" s="501">
        <v>14.1</v>
      </c>
      <c r="E664" s="502">
        <v>0</v>
      </c>
      <c r="F664" s="502">
        <f t="shared" si="171"/>
        <v>1720.2</v>
      </c>
      <c r="G664" s="499">
        <v>42649</v>
      </c>
      <c r="H664" s="517">
        <v>500</v>
      </c>
      <c r="I664" s="501">
        <v>16.16</v>
      </c>
      <c r="J664" s="502">
        <v>0.18</v>
      </c>
      <c r="K664" s="502">
        <f t="shared" si="172"/>
        <v>8079.82</v>
      </c>
      <c r="L664" s="500"/>
      <c r="M664" s="502"/>
    </row>
    <row r="665" spans="1:13" x14ac:dyDescent="0.25">
      <c r="A665" s="500"/>
      <c r="B665" s="549">
        <v>42636</v>
      </c>
      <c r="C665" s="500">
        <v>200</v>
      </c>
      <c r="D665" s="501">
        <v>14.38</v>
      </c>
      <c r="E665" s="502">
        <v>0</v>
      </c>
      <c r="F665" s="502">
        <f t="shared" si="171"/>
        <v>2876</v>
      </c>
      <c r="G665" s="499">
        <v>42671</v>
      </c>
      <c r="H665" s="517">
        <v>1000</v>
      </c>
      <c r="I665" s="501">
        <v>14.22</v>
      </c>
      <c r="J665" s="502">
        <v>0.31</v>
      </c>
      <c r="K665" s="502">
        <f t="shared" si="172"/>
        <v>14219.69</v>
      </c>
      <c r="L665" s="500"/>
      <c r="M665" s="502"/>
    </row>
    <row r="666" spans="1:13" x14ac:dyDescent="0.25">
      <c r="A666" s="500"/>
      <c r="B666" s="549">
        <v>42639</v>
      </c>
      <c r="C666" s="500">
        <v>200</v>
      </c>
      <c r="D666" s="501">
        <v>14.5</v>
      </c>
      <c r="E666" s="502">
        <v>0</v>
      </c>
      <c r="F666" s="502">
        <f t="shared" ref="F666:F680" si="173">C666*D666+E666</f>
        <v>2900</v>
      </c>
      <c r="G666" s="499">
        <v>42674</v>
      </c>
      <c r="H666" s="517">
        <v>300</v>
      </c>
      <c r="I666" s="501">
        <v>13.42</v>
      </c>
      <c r="J666" s="502">
        <v>0.09</v>
      </c>
      <c r="K666" s="502">
        <f t="shared" si="172"/>
        <v>4025.91</v>
      </c>
      <c r="L666" s="500"/>
      <c r="M666" s="502"/>
    </row>
    <row r="667" spans="1:13" x14ac:dyDescent="0.25">
      <c r="A667" s="500"/>
      <c r="B667" s="549">
        <v>42639</v>
      </c>
      <c r="C667" s="500">
        <v>200</v>
      </c>
      <c r="D667" s="501">
        <v>14.38</v>
      </c>
      <c r="E667" s="502">
        <v>0</v>
      </c>
      <c r="F667" s="502">
        <f t="shared" si="173"/>
        <v>2876</v>
      </c>
      <c r="G667" s="499">
        <v>42674</v>
      </c>
      <c r="H667" s="517">
        <v>200</v>
      </c>
      <c r="I667" s="501">
        <v>13.25</v>
      </c>
      <c r="J667" s="502">
        <v>-0.74</v>
      </c>
      <c r="K667" s="502">
        <f t="shared" si="172"/>
        <v>2650.74</v>
      </c>
      <c r="L667" s="500"/>
      <c r="M667" s="502"/>
    </row>
    <row r="668" spans="1:13" x14ac:dyDescent="0.25">
      <c r="A668" s="500"/>
      <c r="B668" s="549">
        <v>42640</v>
      </c>
      <c r="C668" s="500">
        <v>322</v>
      </c>
      <c r="D668" s="501">
        <v>13.97</v>
      </c>
      <c r="E668" s="502">
        <v>0</v>
      </c>
      <c r="F668" s="502">
        <f t="shared" si="173"/>
        <v>4498.34</v>
      </c>
      <c r="G668" s="499">
        <v>42676</v>
      </c>
      <c r="H668" s="517">
        <v>200</v>
      </c>
      <c r="I668" s="501">
        <v>13.05</v>
      </c>
      <c r="J668" s="502">
        <v>0.06</v>
      </c>
      <c r="K668" s="502">
        <f t="shared" si="172"/>
        <v>2609.94</v>
      </c>
      <c r="L668" s="500"/>
      <c r="M668" s="502"/>
    </row>
    <row r="669" spans="1:13" x14ac:dyDescent="0.25">
      <c r="A669" s="500"/>
      <c r="B669" s="549">
        <v>42641</v>
      </c>
      <c r="C669" s="500">
        <v>300</v>
      </c>
      <c r="D669" s="501">
        <v>14.02</v>
      </c>
      <c r="E669" s="502">
        <v>-1.26</v>
      </c>
      <c r="F669" s="502">
        <f t="shared" si="173"/>
        <v>4204.74</v>
      </c>
      <c r="G669" s="499">
        <v>42677</v>
      </c>
      <c r="H669" s="517">
        <v>500</v>
      </c>
      <c r="I669" s="501">
        <v>13.96</v>
      </c>
      <c r="J669" s="502">
        <v>0.15</v>
      </c>
      <c r="K669" s="502">
        <f t="shared" si="172"/>
        <v>6979.85</v>
      </c>
      <c r="L669" s="500"/>
      <c r="M669" s="502"/>
    </row>
    <row r="670" spans="1:13" x14ac:dyDescent="0.25">
      <c r="A670" s="500"/>
      <c r="B670" s="549">
        <v>42641</v>
      </c>
      <c r="C670" s="500">
        <v>200</v>
      </c>
      <c r="D670" s="501">
        <v>14.17</v>
      </c>
      <c r="E670" s="502">
        <v>0</v>
      </c>
      <c r="F670" s="502">
        <f t="shared" si="173"/>
        <v>2834</v>
      </c>
      <c r="G670" s="499">
        <v>42677</v>
      </c>
      <c r="H670" s="517">
        <v>2000</v>
      </c>
      <c r="I670" s="501">
        <v>14.5</v>
      </c>
      <c r="J670" s="502">
        <v>0.63</v>
      </c>
      <c r="K670" s="502">
        <f t="shared" si="172"/>
        <v>28999.37</v>
      </c>
      <c r="L670" s="500"/>
      <c r="M670" s="502"/>
    </row>
    <row r="671" spans="1:13" x14ac:dyDescent="0.25">
      <c r="A671" s="500"/>
      <c r="B671" s="549">
        <v>42642</v>
      </c>
      <c r="C671" s="500">
        <v>414</v>
      </c>
      <c r="D671" s="501">
        <v>15.66</v>
      </c>
      <c r="E671" s="502">
        <v>0</v>
      </c>
      <c r="F671" s="502">
        <f t="shared" si="173"/>
        <v>6483.24</v>
      </c>
      <c r="G671" s="499">
        <v>42682</v>
      </c>
      <c r="H671" s="517">
        <v>1000</v>
      </c>
      <c r="I671" s="501">
        <v>14.28</v>
      </c>
      <c r="J671" s="502">
        <v>0.31</v>
      </c>
      <c r="K671" s="502">
        <f t="shared" si="172"/>
        <v>14279.69</v>
      </c>
      <c r="L671" s="500"/>
      <c r="M671" s="502"/>
    </row>
    <row r="672" spans="1:13" ht="30" x14ac:dyDescent="0.25">
      <c r="A672" s="603" t="s">
        <v>294</v>
      </c>
      <c r="B672" s="549">
        <v>42647</v>
      </c>
      <c r="C672" s="500">
        <v>500</v>
      </c>
      <c r="D672" s="501">
        <v>15.86</v>
      </c>
      <c r="E672" s="502">
        <v>0</v>
      </c>
      <c r="F672" s="502">
        <f t="shared" si="173"/>
        <v>7930</v>
      </c>
      <c r="G672" s="499">
        <v>42685</v>
      </c>
      <c r="H672" s="517">
        <v>500</v>
      </c>
      <c r="I672" s="501">
        <v>15.88</v>
      </c>
      <c r="J672" s="502">
        <v>0.17</v>
      </c>
      <c r="K672" s="502">
        <f t="shared" si="172"/>
        <v>7939.83</v>
      </c>
      <c r="L672" s="500"/>
      <c r="M672" s="502"/>
    </row>
    <row r="673" spans="1:13" x14ac:dyDescent="0.25">
      <c r="A673" s="603"/>
      <c r="B673" s="549">
        <v>42647</v>
      </c>
      <c r="C673" s="500">
        <v>500</v>
      </c>
      <c r="D673" s="501">
        <v>15.62</v>
      </c>
      <c r="E673" s="502">
        <v>0</v>
      </c>
      <c r="F673" s="502">
        <f t="shared" si="173"/>
        <v>7810</v>
      </c>
      <c r="G673" s="499">
        <v>42695</v>
      </c>
      <c r="H673" s="517">
        <v>2272</v>
      </c>
      <c r="I673" s="501">
        <v>16.28</v>
      </c>
      <c r="J673" s="502">
        <v>0.81</v>
      </c>
      <c r="K673" s="502">
        <f t="shared" si="172"/>
        <v>36987.350000000006</v>
      </c>
      <c r="L673" s="500"/>
      <c r="M673" s="502"/>
    </row>
    <row r="674" spans="1:13" x14ac:dyDescent="0.25">
      <c r="A674" s="603"/>
      <c r="B674" s="549">
        <v>42649</v>
      </c>
      <c r="C674" s="500">
        <v>500</v>
      </c>
      <c r="D674" s="501">
        <v>15.97</v>
      </c>
      <c r="E674" s="502">
        <v>0</v>
      </c>
      <c r="F674" s="502">
        <f t="shared" si="173"/>
        <v>7985</v>
      </c>
      <c r="G674" s="499">
        <v>42695</v>
      </c>
      <c r="H674" s="517">
        <v>500</v>
      </c>
      <c r="I674" s="501">
        <v>16.45</v>
      </c>
      <c r="J674" s="502">
        <v>0.18</v>
      </c>
      <c r="K674" s="502">
        <f t="shared" si="172"/>
        <v>8224.82</v>
      </c>
      <c r="L674" s="500"/>
      <c r="M674" s="502"/>
    </row>
    <row r="675" spans="1:13" x14ac:dyDescent="0.25">
      <c r="A675" s="603"/>
      <c r="B675" s="549">
        <v>42649</v>
      </c>
      <c r="C675" s="500">
        <v>500</v>
      </c>
      <c r="D675" s="501">
        <v>15.84</v>
      </c>
      <c r="E675" s="502">
        <v>0</v>
      </c>
      <c r="F675" s="502">
        <f t="shared" si="173"/>
        <v>7920</v>
      </c>
      <c r="G675" s="499">
        <v>42696</v>
      </c>
      <c r="H675" s="517">
        <v>500</v>
      </c>
      <c r="I675" s="501">
        <v>16.54</v>
      </c>
      <c r="J675" s="502">
        <v>0.18</v>
      </c>
      <c r="K675" s="502">
        <f t="shared" si="172"/>
        <v>8269.82</v>
      </c>
      <c r="L675" s="500"/>
      <c r="M675" s="502"/>
    </row>
    <row r="676" spans="1:13" x14ac:dyDescent="0.25">
      <c r="A676" s="500"/>
      <c r="B676" s="549">
        <v>42649</v>
      </c>
      <c r="C676" s="500">
        <v>500</v>
      </c>
      <c r="D676" s="501">
        <v>16.079999999999998</v>
      </c>
      <c r="E676" s="502">
        <v>0</v>
      </c>
      <c r="F676" s="502">
        <f t="shared" si="173"/>
        <v>8039.9999999999991</v>
      </c>
      <c r="G676" s="499">
        <v>42697</v>
      </c>
      <c r="H676" s="517">
        <v>200</v>
      </c>
      <c r="I676" s="501">
        <v>16.79</v>
      </c>
      <c r="J676" s="502">
        <v>7.0000000000000007E-2</v>
      </c>
      <c r="K676" s="502">
        <f t="shared" si="172"/>
        <v>3357.93</v>
      </c>
      <c r="L676" s="500"/>
      <c r="M676" s="502"/>
    </row>
    <row r="677" spans="1:13" x14ac:dyDescent="0.25">
      <c r="A677" s="500"/>
      <c r="B677" s="549">
        <v>42650</v>
      </c>
      <c r="C677" s="500">
        <v>300</v>
      </c>
      <c r="D677" s="501">
        <v>15.75</v>
      </c>
      <c r="E677" s="502">
        <v>0</v>
      </c>
      <c r="F677" s="502">
        <f t="shared" si="173"/>
        <v>4725</v>
      </c>
      <c r="G677" s="499">
        <v>42697</v>
      </c>
      <c r="H677" s="517">
        <v>500</v>
      </c>
      <c r="I677" s="501">
        <v>16.59</v>
      </c>
      <c r="J677" s="502">
        <v>0.18</v>
      </c>
      <c r="K677" s="502">
        <f t="shared" si="172"/>
        <v>8294.82</v>
      </c>
      <c r="L677" s="500"/>
      <c r="M677" s="502"/>
    </row>
    <row r="678" spans="1:13" x14ac:dyDescent="0.25">
      <c r="A678" s="500"/>
      <c r="B678" s="549">
        <v>42650</v>
      </c>
      <c r="C678" s="500">
        <v>300</v>
      </c>
      <c r="D678" s="501">
        <v>15.58</v>
      </c>
      <c r="E678" s="502">
        <v>0</v>
      </c>
      <c r="F678" s="502">
        <f t="shared" si="173"/>
        <v>4674</v>
      </c>
      <c r="G678" s="499">
        <v>42704</v>
      </c>
      <c r="H678" s="517">
        <v>1000</v>
      </c>
      <c r="I678" s="501">
        <v>16.420000000000002</v>
      </c>
      <c r="J678" s="502">
        <v>0.36</v>
      </c>
      <c r="K678" s="502">
        <f t="shared" si="172"/>
        <v>16419.64</v>
      </c>
      <c r="L678" s="500"/>
      <c r="M678" s="502"/>
    </row>
    <row r="679" spans="1:13" x14ac:dyDescent="0.25">
      <c r="A679" s="500"/>
      <c r="B679" s="549">
        <v>42653</v>
      </c>
      <c r="C679" s="500">
        <v>394</v>
      </c>
      <c r="D679" s="501">
        <v>15.72</v>
      </c>
      <c r="E679" s="502">
        <v>0</v>
      </c>
      <c r="F679" s="502">
        <f t="shared" si="173"/>
        <v>6193.68</v>
      </c>
      <c r="G679" s="499">
        <v>42704</v>
      </c>
      <c r="H679" s="517">
        <v>300</v>
      </c>
      <c r="I679" s="501">
        <v>16.78</v>
      </c>
      <c r="J679" s="502">
        <v>1.61</v>
      </c>
      <c r="K679" s="502">
        <f t="shared" si="172"/>
        <v>5032.3900000000003</v>
      </c>
      <c r="L679" s="500"/>
      <c r="M679" s="502"/>
    </row>
    <row r="680" spans="1:13" x14ac:dyDescent="0.25">
      <c r="A680" s="500"/>
      <c r="B680" s="549">
        <v>42653</v>
      </c>
      <c r="C680" s="500">
        <v>6</v>
      </c>
      <c r="D680" s="501">
        <v>15.72</v>
      </c>
      <c r="E680" s="502">
        <v>0</v>
      </c>
      <c r="F680" s="502">
        <f t="shared" si="173"/>
        <v>94.320000000000007</v>
      </c>
      <c r="G680" s="499">
        <v>42704</v>
      </c>
      <c r="H680" s="517">
        <v>1000</v>
      </c>
      <c r="I680" s="501">
        <v>17.079999999999998</v>
      </c>
      <c r="J680" s="502">
        <v>0.37</v>
      </c>
      <c r="K680" s="502">
        <f t="shared" si="172"/>
        <v>17079.63</v>
      </c>
      <c r="L680" s="500"/>
      <c r="M680" s="502"/>
    </row>
    <row r="681" spans="1:13" x14ac:dyDescent="0.25">
      <c r="A681" s="500"/>
      <c r="B681" s="549">
        <v>42655</v>
      </c>
      <c r="C681" s="500">
        <v>22</v>
      </c>
      <c r="D681" s="501">
        <v>15.48</v>
      </c>
      <c r="E681" s="502">
        <v>0</v>
      </c>
      <c r="F681" s="502">
        <f>C681*D681+E681</f>
        <v>340.56</v>
      </c>
      <c r="G681" s="499">
        <v>42704</v>
      </c>
      <c r="H681" s="517">
        <v>1000</v>
      </c>
      <c r="I681" s="501">
        <v>17.32</v>
      </c>
      <c r="J681" s="502">
        <v>0.38</v>
      </c>
      <c r="K681" s="502">
        <f t="shared" si="172"/>
        <v>17319.62</v>
      </c>
      <c r="L681" s="500"/>
      <c r="M681" s="502"/>
    </row>
    <row r="682" spans="1:13" x14ac:dyDescent="0.25">
      <c r="A682" s="500"/>
      <c r="B682" s="549">
        <v>42655</v>
      </c>
      <c r="C682" s="500">
        <v>300</v>
      </c>
      <c r="D682" s="501">
        <v>15.48</v>
      </c>
      <c r="E682" s="502">
        <v>0</v>
      </c>
      <c r="F682" s="502">
        <f>C682*D682+E682</f>
        <v>4644</v>
      </c>
      <c r="G682" s="499">
        <v>42704</v>
      </c>
      <c r="H682" s="517">
        <v>500</v>
      </c>
      <c r="I682" s="501">
        <v>17.64</v>
      </c>
      <c r="J682" s="502">
        <v>0.19</v>
      </c>
      <c r="K682" s="502">
        <f t="shared" si="172"/>
        <v>8819.81</v>
      </c>
      <c r="L682" s="500"/>
      <c r="M682" s="502"/>
    </row>
    <row r="683" spans="1:13" x14ac:dyDescent="0.25">
      <c r="A683" s="604"/>
      <c r="B683" s="549">
        <v>42668</v>
      </c>
      <c r="C683" s="500">
        <v>500</v>
      </c>
      <c r="D683" s="501">
        <v>14.26</v>
      </c>
      <c r="E683" s="502">
        <v>-2.5</v>
      </c>
      <c r="F683" s="502">
        <f t="shared" ref="F683:F692" si="174">C683*D683+E683</f>
        <v>7127.5</v>
      </c>
      <c r="G683" s="499">
        <v>42705</v>
      </c>
      <c r="H683" s="517">
        <v>528</v>
      </c>
      <c r="I683" s="501">
        <v>18.7</v>
      </c>
      <c r="J683" s="502">
        <v>0.22</v>
      </c>
      <c r="K683" s="502">
        <f t="shared" si="172"/>
        <v>9873.380000000001</v>
      </c>
      <c r="L683" s="500"/>
      <c r="M683" s="502"/>
    </row>
    <row r="684" spans="1:13" x14ac:dyDescent="0.25">
      <c r="A684" s="604"/>
      <c r="B684" s="549">
        <v>42668</v>
      </c>
      <c r="C684" s="500">
        <v>500</v>
      </c>
      <c r="D684" s="501">
        <v>14.16</v>
      </c>
      <c r="E684" s="502">
        <v>0</v>
      </c>
      <c r="F684" s="502">
        <f t="shared" si="174"/>
        <v>7080</v>
      </c>
      <c r="G684" s="499">
        <v>42711</v>
      </c>
      <c r="H684" s="517">
        <v>500</v>
      </c>
      <c r="I684" s="501">
        <v>18.329999999999998</v>
      </c>
      <c r="J684" s="502">
        <v>0.2</v>
      </c>
      <c r="K684" s="502">
        <f t="shared" si="172"/>
        <v>9164.7999999999993</v>
      </c>
      <c r="L684" s="500"/>
      <c r="M684" s="502"/>
    </row>
    <row r="685" spans="1:13" x14ac:dyDescent="0.25">
      <c r="A685" s="604"/>
      <c r="B685" s="549">
        <v>42670</v>
      </c>
      <c r="C685" s="500">
        <v>500</v>
      </c>
      <c r="D685" s="501">
        <v>14.18</v>
      </c>
      <c r="E685" s="502">
        <v>0</v>
      </c>
      <c r="F685" s="502">
        <f t="shared" si="174"/>
        <v>7090</v>
      </c>
      <c r="G685" s="499">
        <v>42713</v>
      </c>
      <c r="H685" s="517">
        <v>500</v>
      </c>
      <c r="I685" s="501">
        <v>18.28</v>
      </c>
      <c r="J685" s="502">
        <v>0.2</v>
      </c>
      <c r="K685" s="502">
        <f t="shared" si="172"/>
        <v>9139.7999999999993</v>
      </c>
      <c r="L685" s="500"/>
      <c r="M685" s="502"/>
    </row>
    <row r="686" spans="1:13" x14ac:dyDescent="0.25">
      <c r="A686" s="604"/>
      <c r="B686" s="549">
        <v>42670</v>
      </c>
      <c r="C686" s="500">
        <v>500</v>
      </c>
      <c r="D686" s="501">
        <v>14.05</v>
      </c>
      <c r="E686" s="502">
        <v>0</v>
      </c>
      <c r="F686" s="502">
        <f t="shared" si="174"/>
        <v>7025</v>
      </c>
      <c r="G686" s="499">
        <v>42718</v>
      </c>
      <c r="H686" s="517">
        <v>200</v>
      </c>
      <c r="I686" s="501">
        <v>18.78</v>
      </c>
      <c r="J686" s="502">
        <v>0.08</v>
      </c>
      <c r="K686" s="502">
        <f t="shared" si="172"/>
        <v>3755.92</v>
      </c>
      <c r="L686" s="500"/>
      <c r="M686" s="502"/>
    </row>
    <row r="687" spans="1:13" x14ac:dyDescent="0.25">
      <c r="A687" s="604"/>
      <c r="B687" s="549">
        <v>42670</v>
      </c>
      <c r="C687" s="500">
        <v>500</v>
      </c>
      <c r="D687" s="501">
        <v>13.88</v>
      </c>
      <c r="E687" s="502">
        <v>0</v>
      </c>
      <c r="F687" s="502">
        <f t="shared" si="174"/>
        <v>6940</v>
      </c>
      <c r="G687" s="499">
        <v>42734</v>
      </c>
      <c r="H687" s="517">
        <v>1000</v>
      </c>
      <c r="I687" s="501">
        <v>17.72</v>
      </c>
      <c r="J687" s="502">
        <v>0.39</v>
      </c>
      <c r="K687" s="502">
        <f t="shared" si="172"/>
        <v>17719.61</v>
      </c>
      <c r="L687" s="500"/>
      <c r="M687" s="502"/>
    </row>
    <row r="688" spans="1:13" x14ac:dyDescent="0.25">
      <c r="A688" s="500"/>
      <c r="B688" s="549">
        <v>42671</v>
      </c>
      <c r="C688" s="500">
        <v>1000</v>
      </c>
      <c r="D688" s="501">
        <v>14.15</v>
      </c>
      <c r="E688" s="502">
        <v>0</v>
      </c>
      <c r="F688" s="502">
        <f t="shared" si="174"/>
        <v>14150</v>
      </c>
      <c r="G688" s="499">
        <v>42739</v>
      </c>
      <c r="H688" s="517">
        <v>500</v>
      </c>
      <c r="I688" s="501">
        <v>18.079999999999998</v>
      </c>
      <c r="J688" s="502">
        <v>0.2</v>
      </c>
      <c r="K688" s="502">
        <f t="shared" si="172"/>
        <v>9039.7999999999993</v>
      </c>
      <c r="L688" s="500"/>
      <c r="M688" s="502"/>
    </row>
    <row r="689" spans="1:13" x14ac:dyDescent="0.25">
      <c r="A689" s="500"/>
      <c r="B689" s="549">
        <v>42674</v>
      </c>
      <c r="C689" s="500">
        <v>300</v>
      </c>
      <c r="D689" s="501">
        <v>13.28</v>
      </c>
      <c r="E689" s="502">
        <v>-1.5</v>
      </c>
      <c r="F689" s="502">
        <f t="shared" si="174"/>
        <v>3982.5</v>
      </c>
      <c r="G689" s="499">
        <v>42748</v>
      </c>
      <c r="H689" s="517">
        <v>500</v>
      </c>
      <c r="I689" s="501">
        <v>17.48</v>
      </c>
      <c r="J689" s="502">
        <v>0.19</v>
      </c>
      <c r="K689" s="502">
        <f t="shared" si="172"/>
        <v>8739.81</v>
      </c>
      <c r="L689" s="500"/>
      <c r="M689" s="502"/>
    </row>
    <row r="690" spans="1:13" x14ac:dyDescent="0.25">
      <c r="A690" s="500"/>
      <c r="B690" s="549">
        <v>42674</v>
      </c>
      <c r="C690" s="500">
        <v>200</v>
      </c>
      <c r="D690" s="501">
        <v>13.15</v>
      </c>
      <c r="E690" s="502">
        <v>0.02</v>
      </c>
      <c r="F690" s="502">
        <f t="shared" si="174"/>
        <v>2630.02</v>
      </c>
      <c r="G690" s="499">
        <v>42761</v>
      </c>
      <c r="H690" s="517">
        <v>1000</v>
      </c>
      <c r="I690" s="501">
        <v>17.899999999999999</v>
      </c>
      <c r="J690" s="502">
        <v>0.39</v>
      </c>
      <c r="K690" s="502">
        <f t="shared" si="172"/>
        <v>17899.61</v>
      </c>
      <c r="L690" s="500"/>
      <c r="M690" s="502"/>
    </row>
    <row r="691" spans="1:13" x14ac:dyDescent="0.25">
      <c r="A691" s="500"/>
      <c r="B691" s="549">
        <v>42676</v>
      </c>
      <c r="C691" s="500">
        <v>200</v>
      </c>
      <c r="D691" s="501">
        <v>12.89</v>
      </c>
      <c r="E691" s="502">
        <v>0</v>
      </c>
      <c r="F691" s="502">
        <f t="shared" si="174"/>
        <v>2578</v>
      </c>
      <c r="G691" s="499">
        <v>42766</v>
      </c>
      <c r="H691" s="517">
        <v>300</v>
      </c>
      <c r="I691" s="501">
        <v>16.649999999999999</v>
      </c>
      <c r="J691" s="502">
        <v>0.11</v>
      </c>
      <c r="K691" s="502">
        <f t="shared" si="172"/>
        <v>4994.8900000000003</v>
      </c>
      <c r="L691" s="500"/>
      <c r="M691" s="502"/>
    </row>
    <row r="692" spans="1:13" x14ac:dyDescent="0.25">
      <c r="A692" s="500"/>
      <c r="B692" s="549">
        <v>42678</v>
      </c>
      <c r="C692" s="500">
        <v>500</v>
      </c>
      <c r="D692" s="501">
        <v>13.69</v>
      </c>
      <c r="E692" s="502">
        <v>0</v>
      </c>
      <c r="F692" s="502">
        <f t="shared" si="174"/>
        <v>6845</v>
      </c>
      <c r="G692" s="499">
        <v>42767</v>
      </c>
      <c r="H692" s="517">
        <v>612</v>
      </c>
      <c r="I692" s="501">
        <v>17.03</v>
      </c>
      <c r="J692" s="502">
        <v>0.23</v>
      </c>
      <c r="K692" s="502">
        <f t="shared" si="172"/>
        <v>10422.130000000001</v>
      </c>
      <c r="L692" s="500"/>
      <c r="M692" s="502"/>
    </row>
    <row r="693" spans="1:13" x14ac:dyDescent="0.25">
      <c r="A693" s="500"/>
      <c r="B693" s="549">
        <v>42678</v>
      </c>
      <c r="C693" s="500">
        <v>500</v>
      </c>
      <c r="D693" s="501">
        <v>13.69</v>
      </c>
      <c r="E693" s="502">
        <v>0</v>
      </c>
      <c r="F693" s="502">
        <f>C693*D693+E693</f>
        <v>6845</v>
      </c>
      <c r="G693" s="499">
        <v>42767</v>
      </c>
      <c r="H693" s="517">
        <v>288</v>
      </c>
      <c r="I693" s="501">
        <v>17.12</v>
      </c>
      <c r="J693" s="502">
        <v>0.11</v>
      </c>
      <c r="K693" s="502">
        <f t="shared" si="172"/>
        <v>4930.4500000000007</v>
      </c>
      <c r="L693" s="500"/>
      <c r="M693" s="502"/>
    </row>
    <row r="694" spans="1:13" x14ac:dyDescent="0.25">
      <c r="A694" s="500"/>
      <c r="B694" s="549">
        <v>42691</v>
      </c>
      <c r="C694" s="500">
        <v>150</v>
      </c>
      <c r="D694" s="501">
        <v>15.48</v>
      </c>
      <c r="E694" s="502">
        <v>0</v>
      </c>
      <c r="F694" s="502">
        <f t="shared" ref="F694:F710" si="175">C694*D694+E694</f>
        <v>2322</v>
      </c>
      <c r="G694" s="499">
        <v>42767</v>
      </c>
      <c r="H694" s="517">
        <v>700</v>
      </c>
      <c r="I694" s="501">
        <v>16.57</v>
      </c>
      <c r="J694" s="502">
        <v>0.25</v>
      </c>
      <c r="K694" s="502">
        <f t="shared" si="172"/>
        <v>11598.75</v>
      </c>
      <c r="L694" s="500"/>
      <c r="M694" s="502"/>
    </row>
    <row r="695" spans="1:13" x14ac:dyDescent="0.25">
      <c r="A695" s="500"/>
      <c r="B695" s="549">
        <v>42691</v>
      </c>
      <c r="C695" s="500">
        <v>300</v>
      </c>
      <c r="D695" s="501">
        <v>15.48</v>
      </c>
      <c r="E695" s="502">
        <v>0</v>
      </c>
      <c r="F695" s="502">
        <f t="shared" si="175"/>
        <v>4644</v>
      </c>
      <c r="G695" s="499">
        <v>42768</v>
      </c>
      <c r="H695" s="517">
        <v>200</v>
      </c>
      <c r="I695" s="501">
        <v>16.7</v>
      </c>
      <c r="J695" s="502">
        <v>7.0000000000000007E-2</v>
      </c>
      <c r="K695" s="502">
        <f t="shared" si="172"/>
        <v>3339.93</v>
      </c>
      <c r="L695" s="500"/>
      <c r="M695" s="502"/>
    </row>
    <row r="696" spans="1:13" x14ac:dyDescent="0.25">
      <c r="A696" s="500"/>
      <c r="B696" s="549">
        <v>42696</v>
      </c>
      <c r="C696" s="500">
        <v>1000</v>
      </c>
      <c r="D696" s="501">
        <v>16.12</v>
      </c>
      <c r="E696" s="502">
        <v>0</v>
      </c>
      <c r="F696" s="502">
        <f t="shared" si="175"/>
        <v>16120.000000000002</v>
      </c>
      <c r="G696" s="499">
        <v>42768</v>
      </c>
      <c r="H696" s="517">
        <v>500</v>
      </c>
      <c r="I696" s="501">
        <v>16.600000000000001</v>
      </c>
      <c r="J696" s="502">
        <v>-1.82</v>
      </c>
      <c r="K696" s="502">
        <f t="shared" si="172"/>
        <v>8301.82</v>
      </c>
      <c r="L696" s="500"/>
      <c r="M696" s="502"/>
    </row>
    <row r="697" spans="1:13" x14ac:dyDescent="0.25">
      <c r="A697" s="500"/>
      <c r="B697" s="549">
        <v>42699</v>
      </c>
      <c r="C697" s="500">
        <v>200</v>
      </c>
      <c r="D697" s="501">
        <v>16.28</v>
      </c>
      <c r="E697" s="502">
        <v>0</v>
      </c>
      <c r="F697" s="502">
        <f t="shared" si="175"/>
        <v>3256</v>
      </c>
      <c r="G697" s="499">
        <v>42768</v>
      </c>
      <c r="H697" s="517">
        <v>500</v>
      </c>
      <c r="I697" s="501">
        <v>16.75</v>
      </c>
      <c r="J697" s="502">
        <v>0.18</v>
      </c>
      <c r="K697" s="502">
        <f t="shared" si="172"/>
        <v>8374.82</v>
      </c>
      <c r="L697" s="500"/>
      <c r="M697" s="502"/>
    </row>
    <row r="698" spans="1:13" x14ac:dyDescent="0.25">
      <c r="A698" s="604"/>
      <c r="B698" s="549">
        <v>42699</v>
      </c>
      <c r="C698" s="500">
        <v>500</v>
      </c>
      <c r="D698" s="501">
        <v>16.16</v>
      </c>
      <c r="E698" s="502">
        <v>0</v>
      </c>
      <c r="F698" s="502">
        <f t="shared" si="175"/>
        <v>8080</v>
      </c>
      <c r="G698" s="499">
        <v>42769</v>
      </c>
      <c r="H698" s="605">
        <v>400</v>
      </c>
      <c r="I698" s="606">
        <v>16.95</v>
      </c>
      <c r="J698" s="607">
        <v>0.15</v>
      </c>
      <c r="K698" s="607">
        <f t="shared" si="172"/>
        <v>6779.85</v>
      </c>
      <c r="L698" s="500"/>
      <c r="M698" s="502"/>
    </row>
    <row r="699" spans="1:13" x14ac:dyDescent="0.25">
      <c r="A699" s="604"/>
      <c r="B699" s="549">
        <v>42702</v>
      </c>
      <c r="C699" s="500">
        <v>500</v>
      </c>
      <c r="D699" s="501">
        <v>16.059999999999999</v>
      </c>
      <c r="E699" s="502">
        <v>0</v>
      </c>
      <c r="F699" s="502">
        <f t="shared" si="175"/>
        <v>8029.9999999999991</v>
      </c>
      <c r="G699" s="499">
        <v>42769</v>
      </c>
      <c r="H699" s="605">
        <v>300</v>
      </c>
      <c r="I699" s="606">
        <v>17.32</v>
      </c>
      <c r="J699" s="607">
        <v>0.11</v>
      </c>
      <c r="K699" s="607">
        <f t="shared" si="172"/>
        <v>5195.8900000000003</v>
      </c>
      <c r="L699" s="500"/>
      <c r="M699" s="502"/>
    </row>
    <row r="700" spans="1:13" x14ac:dyDescent="0.25">
      <c r="A700" s="604"/>
      <c r="B700" s="549">
        <v>42702</v>
      </c>
      <c r="C700" s="500">
        <v>200</v>
      </c>
      <c r="D700" s="501">
        <v>15.8</v>
      </c>
      <c r="E700" s="502">
        <v>0</v>
      </c>
      <c r="F700" s="502">
        <f t="shared" si="175"/>
        <v>3160</v>
      </c>
      <c r="G700" s="499">
        <v>42781</v>
      </c>
      <c r="H700" s="517">
        <v>600</v>
      </c>
      <c r="I700" s="501">
        <v>16.52</v>
      </c>
      <c r="J700" s="502">
        <v>0.22</v>
      </c>
      <c r="K700" s="502">
        <f t="shared" si="172"/>
        <v>9911.7800000000007</v>
      </c>
      <c r="L700" s="500"/>
      <c r="M700" s="502"/>
    </row>
    <row r="701" spans="1:13" x14ac:dyDescent="0.25">
      <c r="A701" s="604"/>
      <c r="B701" s="549">
        <v>42702</v>
      </c>
      <c r="C701" s="500">
        <v>300</v>
      </c>
      <c r="D701" s="501">
        <v>15.65</v>
      </c>
      <c r="E701" s="502">
        <v>0</v>
      </c>
      <c r="F701" s="502">
        <f t="shared" si="175"/>
        <v>4695</v>
      </c>
      <c r="G701" s="499">
        <v>42781</v>
      </c>
      <c r="H701" s="517">
        <v>300</v>
      </c>
      <c r="I701" s="501">
        <v>16.440000000000001</v>
      </c>
      <c r="J701" s="502">
        <v>0.11</v>
      </c>
      <c r="K701" s="502">
        <f t="shared" si="172"/>
        <v>4931.8900000000003</v>
      </c>
      <c r="L701" s="500"/>
      <c r="M701" s="502"/>
    </row>
    <row r="702" spans="1:13" x14ac:dyDescent="0.25">
      <c r="A702" s="500"/>
      <c r="B702" s="549">
        <v>42703</v>
      </c>
      <c r="C702" s="500">
        <v>300</v>
      </c>
      <c r="D702" s="501">
        <v>14.78</v>
      </c>
      <c r="E702" s="502">
        <v>0</v>
      </c>
      <c r="F702" s="502">
        <f t="shared" si="175"/>
        <v>4434</v>
      </c>
      <c r="G702" s="499">
        <v>42782</v>
      </c>
      <c r="H702" s="517">
        <v>300</v>
      </c>
      <c r="I702" s="501">
        <v>17</v>
      </c>
      <c r="J702" s="502">
        <v>0.11</v>
      </c>
      <c r="K702" s="502">
        <f t="shared" si="172"/>
        <v>5099.8900000000003</v>
      </c>
      <c r="L702" s="500"/>
      <c r="M702" s="502"/>
    </row>
    <row r="703" spans="1:13" x14ac:dyDescent="0.25">
      <c r="A703" s="500"/>
      <c r="B703" s="549">
        <v>42705</v>
      </c>
      <c r="C703" s="500">
        <v>350</v>
      </c>
      <c r="D703" s="501">
        <v>17.600000000000001</v>
      </c>
      <c r="E703" s="502">
        <v>0</v>
      </c>
      <c r="F703" s="502">
        <f t="shared" si="175"/>
        <v>6160.0000000000009</v>
      </c>
      <c r="G703" s="500"/>
      <c r="H703" s="517"/>
      <c r="I703" s="501"/>
      <c r="J703" s="502"/>
      <c r="K703" s="502"/>
      <c r="L703" s="500"/>
      <c r="M703" s="502"/>
    </row>
    <row r="704" spans="1:13" x14ac:dyDescent="0.25">
      <c r="A704" s="500"/>
      <c r="B704" s="549">
        <v>42711</v>
      </c>
      <c r="C704" s="500">
        <v>500</v>
      </c>
      <c r="D704" s="501">
        <v>18.12</v>
      </c>
      <c r="E704" s="502">
        <v>0</v>
      </c>
      <c r="F704" s="502">
        <f t="shared" si="175"/>
        <v>9060</v>
      </c>
      <c r="G704" s="500"/>
      <c r="H704" s="517"/>
      <c r="I704" s="501"/>
      <c r="J704" s="502"/>
      <c r="K704" s="502"/>
      <c r="L704" s="500"/>
      <c r="M704" s="502"/>
    </row>
    <row r="705" spans="1:13" x14ac:dyDescent="0.25">
      <c r="A705" s="500"/>
      <c r="B705" s="549">
        <v>42713</v>
      </c>
      <c r="C705" s="500">
        <v>500</v>
      </c>
      <c r="D705" s="501">
        <v>18.12</v>
      </c>
      <c r="E705" s="502">
        <v>0</v>
      </c>
      <c r="F705" s="502">
        <f t="shared" si="175"/>
        <v>9060</v>
      </c>
      <c r="G705" s="500"/>
      <c r="H705" s="517"/>
      <c r="I705" s="501"/>
      <c r="J705" s="502"/>
      <c r="K705" s="502"/>
      <c r="L705" s="500"/>
      <c r="M705" s="502"/>
    </row>
    <row r="706" spans="1:13" x14ac:dyDescent="0.25">
      <c r="A706" s="500"/>
      <c r="B706" s="549">
        <v>42718</v>
      </c>
      <c r="C706" s="500">
        <v>200</v>
      </c>
      <c r="D706" s="501">
        <v>18.73</v>
      </c>
      <c r="E706" s="502">
        <v>-1</v>
      </c>
      <c r="F706" s="502">
        <f t="shared" si="175"/>
        <v>3745</v>
      </c>
      <c r="G706" s="500"/>
      <c r="H706" s="517"/>
      <c r="I706" s="501"/>
      <c r="J706" s="502"/>
      <c r="K706" s="502"/>
      <c r="L706" s="500"/>
      <c r="M706" s="502"/>
    </row>
    <row r="707" spans="1:13" x14ac:dyDescent="0.25">
      <c r="A707" s="500"/>
      <c r="B707" s="549">
        <v>42733</v>
      </c>
      <c r="C707" s="500">
        <v>1000</v>
      </c>
      <c r="D707" s="501">
        <v>17.64</v>
      </c>
      <c r="E707" s="502">
        <v>-1.5</v>
      </c>
      <c r="F707" s="502">
        <f t="shared" si="175"/>
        <v>17638.5</v>
      </c>
      <c r="G707" s="500"/>
      <c r="H707" s="517"/>
      <c r="I707" s="501"/>
      <c r="J707" s="502"/>
      <c r="K707" s="502"/>
      <c r="L707" s="500"/>
      <c r="M707" s="502"/>
    </row>
    <row r="708" spans="1:13" x14ac:dyDescent="0.25">
      <c r="A708" s="500"/>
      <c r="B708" s="549">
        <v>42734</v>
      </c>
      <c r="C708" s="500">
        <v>1000</v>
      </c>
      <c r="D708" s="501">
        <v>17.329999999999998</v>
      </c>
      <c r="E708" s="502">
        <v>0</v>
      </c>
      <c r="F708" s="502">
        <f t="shared" si="175"/>
        <v>17330</v>
      </c>
      <c r="G708" s="500"/>
      <c r="H708" s="517"/>
      <c r="I708" s="501"/>
      <c r="J708" s="502"/>
      <c r="K708" s="502"/>
      <c r="L708" s="500"/>
      <c r="M708" s="502"/>
    </row>
    <row r="709" spans="1:13" x14ac:dyDescent="0.25">
      <c r="A709" s="500"/>
      <c r="B709" s="549">
        <v>42741</v>
      </c>
      <c r="C709" s="500">
        <v>500</v>
      </c>
      <c r="D709" s="501">
        <v>17.88</v>
      </c>
      <c r="E709" s="502">
        <v>0</v>
      </c>
      <c r="F709" s="502">
        <f t="shared" si="175"/>
        <v>8940</v>
      </c>
      <c r="G709" s="500"/>
      <c r="H709" s="517"/>
      <c r="I709" s="501"/>
      <c r="J709" s="502"/>
      <c r="K709" s="502"/>
      <c r="L709" s="500"/>
      <c r="M709" s="502"/>
    </row>
    <row r="710" spans="1:13" x14ac:dyDescent="0.25">
      <c r="A710" s="500"/>
      <c r="B710" s="549">
        <v>42748</v>
      </c>
      <c r="C710" s="500">
        <v>500</v>
      </c>
      <c r="D710" s="501">
        <v>17.260000000000002</v>
      </c>
      <c r="E710" s="502">
        <v>0</v>
      </c>
      <c r="F710" s="502">
        <f t="shared" si="175"/>
        <v>8630</v>
      </c>
      <c r="G710" s="500"/>
      <c r="H710" s="517"/>
      <c r="I710" s="501"/>
      <c r="J710" s="502"/>
      <c r="K710" s="502"/>
      <c r="L710" s="500"/>
      <c r="M710" s="502"/>
    </row>
    <row r="711" spans="1:13" x14ac:dyDescent="0.25">
      <c r="A711" s="500"/>
      <c r="B711" s="549"/>
      <c r="C711" s="500"/>
      <c r="D711" s="501"/>
      <c r="E711" s="502"/>
      <c r="F711" s="502"/>
      <c r="G711" s="500"/>
      <c r="H711" s="517"/>
      <c r="I711" s="501"/>
      <c r="J711" s="502"/>
      <c r="K711" s="502"/>
      <c r="L711" s="500"/>
      <c r="M711" s="502"/>
    </row>
    <row r="712" spans="1:13" x14ac:dyDescent="0.25">
      <c r="A712" s="500"/>
      <c r="B712" s="549"/>
      <c r="C712" s="500"/>
      <c r="D712" s="501"/>
      <c r="E712" s="502"/>
      <c r="F712" s="502"/>
      <c r="G712" s="500"/>
      <c r="H712" s="517"/>
      <c r="I712" s="501"/>
      <c r="J712" s="502"/>
      <c r="K712" s="502"/>
      <c r="L712" s="500"/>
      <c r="M712" s="502"/>
    </row>
    <row r="713" spans="1:13" x14ac:dyDescent="0.25">
      <c r="A713" s="603"/>
      <c r="B713" s="549"/>
      <c r="C713" s="500"/>
      <c r="D713" s="501"/>
      <c r="E713" s="502"/>
      <c r="F713" s="502"/>
      <c r="G713" s="500"/>
      <c r="H713" s="517"/>
      <c r="I713" s="501"/>
      <c r="J713" s="502"/>
      <c r="K713" s="502"/>
      <c r="L713" s="500"/>
      <c r="M713" s="502"/>
    </row>
    <row r="714" spans="1:13" x14ac:dyDescent="0.25">
      <c r="A714" s="603"/>
      <c r="B714" s="549"/>
      <c r="C714" s="500"/>
      <c r="D714" s="501"/>
      <c r="E714" s="502"/>
      <c r="F714" s="502"/>
      <c r="G714" s="500"/>
      <c r="H714" s="517"/>
      <c r="I714" s="501"/>
      <c r="J714" s="502"/>
      <c r="K714" s="502"/>
      <c r="L714" s="500"/>
      <c r="M714" s="502"/>
    </row>
    <row r="715" spans="1:13" x14ac:dyDescent="0.25">
      <c r="A715" s="603"/>
      <c r="B715" s="549"/>
      <c r="C715" s="500"/>
      <c r="D715" s="501"/>
      <c r="E715" s="502"/>
      <c r="F715" s="502"/>
      <c r="G715" s="500"/>
      <c r="H715" s="517"/>
      <c r="I715" s="501"/>
      <c r="J715" s="502"/>
      <c r="K715" s="502"/>
      <c r="L715" s="500"/>
      <c r="M715" s="502"/>
    </row>
    <row r="716" spans="1:13" x14ac:dyDescent="0.25">
      <c r="A716" s="603"/>
      <c r="B716" s="549"/>
      <c r="C716" s="500"/>
      <c r="D716" s="501"/>
      <c r="E716" s="502"/>
      <c r="F716" s="502"/>
      <c r="G716" s="500"/>
      <c r="H716" s="517"/>
      <c r="I716" s="501"/>
      <c r="J716" s="502"/>
      <c r="K716" s="502"/>
      <c r="L716" s="500"/>
      <c r="M716" s="502"/>
    </row>
    <row r="717" spans="1:13" x14ac:dyDescent="0.25">
      <c r="A717" s="500"/>
      <c r="B717" s="549"/>
      <c r="C717" s="500"/>
      <c r="D717" s="501"/>
      <c r="E717" s="502"/>
      <c r="F717" s="502"/>
      <c r="G717" s="500"/>
      <c r="H717" s="517"/>
      <c r="I717" s="501"/>
      <c r="J717" s="502"/>
      <c r="K717" s="502"/>
      <c r="L717" s="500"/>
      <c r="M717" s="502"/>
    </row>
    <row r="718" spans="1:13" x14ac:dyDescent="0.25">
      <c r="A718" s="500"/>
      <c r="B718" s="549"/>
      <c r="C718" s="500"/>
      <c r="D718" s="501"/>
      <c r="E718" s="502"/>
      <c r="F718" s="502"/>
      <c r="G718" s="500"/>
      <c r="H718" s="517"/>
      <c r="I718" s="501"/>
      <c r="J718" s="502"/>
      <c r="K718" s="502"/>
      <c r="L718" s="500"/>
      <c r="M718" s="502"/>
    </row>
    <row r="719" spans="1:13" x14ac:dyDescent="0.25">
      <c r="A719" s="500"/>
      <c r="B719" s="549"/>
      <c r="C719" s="500"/>
      <c r="D719" s="501"/>
      <c r="E719" s="502"/>
      <c r="F719" s="502"/>
      <c r="G719" s="500"/>
      <c r="H719" s="517"/>
      <c r="I719" s="501"/>
      <c r="J719" s="502"/>
      <c r="K719" s="502"/>
      <c r="L719" s="500"/>
      <c r="M719" s="502"/>
    </row>
    <row r="720" spans="1:13" x14ac:dyDescent="0.25">
      <c r="A720" s="500"/>
      <c r="B720" s="549"/>
      <c r="C720" s="500"/>
      <c r="D720" s="501"/>
      <c r="E720" s="502"/>
      <c r="F720" s="502"/>
      <c r="G720" s="500"/>
      <c r="H720" s="517"/>
      <c r="I720" s="501"/>
      <c r="J720" s="502"/>
      <c r="K720" s="502"/>
      <c r="L720" s="500"/>
      <c r="M720" s="502"/>
    </row>
    <row r="721" spans="1:13" x14ac:dyDescent="0.25">
      <c r="A721" s="500"/>
      <c r="B721" s="549"/>
      <c r="C721" s="500"/>
      <c r="D721" s="501"/>
      <c r="E721" s="502"/>
      <c r="F721" s="502"/>
      <c r="G721" s="500"/>
      <c r="H721" s="517"/>
      <c r="I721" s="501"/>
      <c r="J721" s="502"/>
      <c r="K721" s="502"/>
      <c r="L721" s="500"/>
      <c r="M721" s="502"/>
    </row>
    <row r="722" spans="1:13" x14ac:dyDescent="0.25">
      <c r="A722" s="500"/>
      <c r="B722" s="549"/>
      <c r="C722" s="500"/>
      <c r="D722" s="501"/>
      <c r="E722" s="502"/>
      <c r="F722" s="502"/>
      <c r="G722" s="500"/>
      <c r="H722" s="517"/>
      <c r="I722" s="501"/>
      <c r="J722" s="502"/>
      <c r="K722" s="502"/>
      <c r="L722" s="500"/>
      <c r="M722" s="502"/>
    </row>
    <row r="723" spans="1:13" x14ac:dyDescent="0.25">
      <c r="A723" s="500"/>
      <c r="B723" s="549"/>
      <c r="C723" s="500"/>
      <c r="D723" s="501"/>
      <c r="E723" s="502"/>
      <c r="F723" s="502"/>
      <c r="G723" s="500"/>
      <c r="H723" s="517"/>
      <c r="I723" s="501"/>
      <c r="J723" s="502"/>
      <c r="K723" s="502"/>
      <c r="L723" s="500"/>
      <c r="M723" s="502"/>
    </row>
    <row r="724" spans="1:13" x14ac:dyDescent="0.25">
      <c r="A724" s="500"/>
      <c r="B724" s="549"/>
      <c r="C724" s="500"/>
      <c r="D724" s="501"/>
      <c r="E724" s="502"/>
      <c r="F724" s="502"/>
      <c r="G724" s="500"/>
      <c r="H724" s="517"/>
      <c r="I724" s="501"/>
      <c r="J724" s="502"/>
      <c r="K724" s="502"/>
      <c r="L724" s="500"/>
      <c r="M724" s="502"/>
    </row>
    <row r="725" spans="1:13" x14ac:dyDescent="0.25">
      <c r="A725" s="500"/>
      <c r="B725" s="549"/>
      <c r="C725" s="500"/>
      <c r="D725" s="501"/>
      <c r="E725" s="502"/>
      <c r="F725" s="502"/>
      <c r="G725" s="500"/>
      <c r="H725" s="517"/>
      <c r="I725" s="501"/>
      <c r="J725" s="502"/>
      <c r="K725" s="502"/>
      <c r="L725" s="500"/>
      <c r="M725" s="502"/>
    </row>
    <row r="726" spans="1:13" x14ac:dyDescent="0.25">
      <c r="A726" s="500"/>
      <c r="B726" s="549"/>
      <c r="C726" s="500"/>
      <c r="D726" s="501"/>
      <c r="E726" s="502"/>
      <c r="F726" s="502"/>
      <c r="G726" s="500"/>
      <c r="H726" s="517"/>
      <c r="I726" s="501"/>
      <c r="J726" s="502"/>
      <c r="K726" s="502"/>
      <c r="L726" s="500"/>
      <c r="M726" s="502"/>
    </row>
    <row r="727" spans="1:13" x14ac:dyDescent="0.25">
      <c r="A727" s="500"/>
      <c r="B727" s="549"/>
      <c r="C727" s="500"/>
      <c r="D727" s="501"/>
      <c r="E727" s="502"/>
      <c r="F727" s="502"/>
      <c r="G727" s="500"/>
      <c r="H727" s="517"/>
      <c r="I727" s="501"/>
      <c r="J727" s="502"/>
      <c r="K727" s="502"/>
      <c r="L727" s="500"/>
      <c r="M727" s="502"/>
    </row>
    <row r="728" spans="1:13" x14ac:dyDescent="0.25">
      <c r="A728" s="500"/>
      <c r="B728" s="549"/>
      <c r="C728" s="500"/>
      <c r="D728" s="501"/>
      <c r="E728" s="502"/>
      <c r="F728" s="502"/>
      <c r="G728" s="500"/>
      <c r="H728" s="517"/>
      <c r="I728" s="501"/>
      <c r="J728" s="502"/>
      <c r="K728" s="502"/>
      <c r="L728" s="500"/>
      <c r="M728" s="502"/>
    </row>
    <row r="729" spans="1:13" x14ac:dyDescent="0.25">
      <c r="A729" s="500"/>
      <c r="B729" s="549"/>
      <c r="C729" s="500"/>
      <c r="D729" s="501"/>
      <c r="E729" s="502"/>
      <c r="F729" s="502"/>
      <c r="G729" s="500"/>
      <c r="H729" s="517"/>
      <c r="I729" s="501"/>
      <c r="J729" s="502"/>
      <c r="K729" s="502"/>
      <c r="L729" s="500"/>
      <c r="M729" s="502"/>
    </row>
    <row r="730" spans="1:13" x14ac:dyDescent="0.25">
      <c r="A730" s="500"/>
      <c r="B730" s="549"/>
      <c r="C730" s="500"/>
      <c r="D730" s="501"/>
      <c r="E730" s="502"/>
      <c r="F730" s="502"/>
      <c r="G730" s="500"/>
      <c r="H730" s="517"/>
      <c r="I730" s="501"/>
      <c r="J730" s="502"/>
      <c r="K730" s="502"/>
      <c r="L730" s="500"/>
      <c r="M730" s="502"/>
    </row>
    <row r="731" spans="1:13" x14ac:dyDescent="0.25">
      <c r="A731" s="500"/>
      <c r="B731" s="549"/>
      <c r="C731" s="500"/>
      <c r="D731" s="501"/>
      <c r="E731" s="502"/>
      <c r="F731" s="502"/>
      <c r="G731" s="500"/>
      <c r="H731" s="517"/>
      <c r="I731" s="501"/>
      <c r="J731" s="502"/>
      <c r="K731" s="502"/>
      <c r="L731" s="500"/>
      <c r="M731" s="502"/>
    </row>
    <row r="732" spans="1:13" x14ac:dyDescent="0.25">
      <c r="A732" s="500"/>
      <c r="B732" s="549"/>
      <c r="C732" s="500"/>
      <c r="D732" s="501"/>
      <c r="E732" s="502"/>
      <c r="F732" s="502"/>
      <c r="G732" s="500"/>
      <c r="H732" s="517"/>
      <c r="I732" s="501"/>
      <c r="J732" s="502"/>
      <c r="K732" s="502"/>
      <c r="L732" s="500"/>
      <c r="M732" s="502"/>
    </row>
    <row r="733" spans="1:13" x14ac:dyDescent="0.25">
      <c r="A733" s="500"/>
      <c r="B733" s="549"/>
      <c r="C733" s="500"/>
      <c r="D733" s="501"/>
      <c r="E733" s="502"/>
      <c r="F733" s="502"/>
      <c r="G733" s="500"/>
      <c r="H733" s="517"/>
      <c r="I733" s="501"/>
      <c r="J733" s="502"/>
      <c r="K733" s="502"/>
      <c r="L733" s="500"/>
      <c r="M733" s="502"/>
    </row>
    <row r="734" spans="1:13" x14ac:dyDescent="0.25">
      <c r="A734" s="519" t="s">
        <v>81</v>
      </c>
      <c r="B734" s="608"/>
      <c r="C734" s="542">
        <f>SUM(C473:C733)</f>
        <v>133812</v>
      </c>
      <c r="D734" s="521"/>
      <c r="E734" s="521"/>
      <c r="F734" s="521">
        <f>SUM(F473:F733)</f>
        <v>1899450.8389999999</v>
      </c>
      <c r="G734" s="520"/>
      <c r="H734" s="542">
        <f>SUM(H473:H733)</f>
        <v>133812</v>
      </c>
      <c r="I734" s="609"/>
      <c r="J734" s="521"/>
      <c r="K734" s="521">
        <f>SUM(K473:K733)</f>
        <v>1911314.2100000016</v>
      </c>
      <c r="L734" s="520"/>
      <c r="M734" s="521">
        <f>SUM(M473:M483)</f>
        <v>2752.2000000000003</v>
      </c>
    </row>
    <row r="735" spans="1:13" ht="15.75" thickBot="1" x14ac:dyDescent="0.3">
      <c r="A735" s="522" t="s">
        <v>194</v>
      </c>
      <c r="B735" s="610"/>
      <c r="C735" s="524">
        <f>SumByColor($A$82, C473:C733)</f>
        <v>0</v>
      </c>
      <c r="D735" s="524"/>
      <c r="E735" s="524"/>
      <c r="F735" s="525">
        <f>SumByColor($A$82, F473:F733)</f>
        <v>0</v>
      </c>
      <c r="G735" s="524"/>
      <c r="H735" s="524">
        <f>SumByColor($A$82, H473:H733)</f>
        <v>0</v>
      </c>
      <c r="I735" s="524"/>
      <c r="J735" s="525"/>
      <c r="K735" s="525">
        <f>SumByColor($A$82, K473:K733)</f>
        <v>0</v>
      </c>
      <c r="L735" s="524"/>
      <c r="M735" s="525">
        <f>SumByColor($A$82, M473:M733)</f>
        <v>0</v>
      </c>
    </row>
    <row r="736" spans="1:13" x14ac:dyDescent="0.25">
      <c r="A736" s="500"/>
      <c r="B736" s="549"/>
      <c r="C736" s="500"/>
      <c r="D736" s="501"/>
      <c r="E736" s="502"/>
      <c r="F736" s="502"/>
      <c r="G736" s="500"/>
      <c r="H736" s="517"/>
      <c r="I736" s="501"/>
      <c r="J736" s="502"/>
      <c r="K736" s="502"/>
      <c r="L736" s="500"/>
      <c r="M736" s="502"/>
    </row>
  </sheetData>
  <mergeCells count="3">
    <mergeCell ref="O41:P41"/>
    <mergeCell ref="Z2:AB2"/>
    <mergeCell ref="Z3:AB3"/>
  </mergeCells>
  <conditionalFormatting sqref="F219:F237 H219:H237 H372 F372 H443:H467 F443:F467 K94:K192 F104:F193 H104:H193 H208:H209 F208:F209 K208:K209 K201">
    <cfRule type="expression" dxfId="1975" priority="123">
      <formula>F94&gt;0</formula>
    </cfRule>
    <cfRule type="expression" dxfId="1974" priority="124">
      <formula>F94&lt;0</formula>
    </cfRule>
  </conditionalFormatting>
  <conditionalFormatting sqref="O42:O7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8">
      <iconSet iconSet="3Arrows">
        <cfvo type="percent" val="0"/>
        <cfvo type="num" val="0"/>
        <cfvo type="num" val="0"/>
      </iconSet>
    </cfRule>
  </conditionalFormatting>
  <conditionalFormatting sqref="F212:F218">
    <cfRule type="expression" dxfId="1973" priority="116">
      <formula>F212&gt;0</formula>
    </cfRule>
    <cfRule type="expression" dxfId="1972" priority="117">
      <formula>F212&lt;0</formula>
    </cfRule>
  </conditionalFormatting>
  <conditionalFormatting sqref="H212:H218">
    <cfRule type="expression" dxfId="1971" priority="112">
      <formula>H212&gt;0</formula>
    </cfRule>
    <cfRule type="expression" dxfId="1970" priority="113">
      <formula>H212&lt;0</formula>
    </cfRule>
  </conditionalFormatting>
  <conditionalFormatting sqref="Q8">
    <cfRule type="expression" dxfId="1969" priority="98">
      <formula>Q8&gt;0</formula>
    </cfRule>
    <cfRule type="expression" dxfId="1968" priority="99">
      <formula>Q8&lt;0</formula>
    </cfRule>
  </conditionalFormatting>
  <conditionalFormatting sqref="Q7">
    <cfRule type="expression" dxfId="1967" priority="100">
      <formula>Q7&gt;0</formula>
    </cfRule>
    <cfRule type="expression" dxfId="1966" priority="101">
      <formula>Q7&lt;0</formula>
    </cfRule>
  </conditionalFormatting>
  <conditionalFormatting sqref="F320:F326">
    <cfRule type="expression" dxfId="1965" priority="72">
      <formula>F320&gt;0</formula>
    </cfRule>
    <cfRule type="expression" dxfId="1964" priority="73">
      <formula>F320&lt;0</formula>
    </cfRule>
  </conditionalFormatting>
  <conditionalFormatting sqref="F245:F263 H245:H263">
    <cfRule type="expression" dxfId="1963" priority="94">
      <formula>F245&gt;0</formula>
    </cfRule>
    <cfRule type="expression" dxfId="1962" priority="95">
      <formula>F245&lt;0</formula>
    </cfRule>
  </conditionalFormatting>
  <conditionalFormatting sqref="F238:F244">
    <cfRule type="expression" dxfId="1961" priority="92">
      <formula>F238&gt;0</formula>
    </cfRule>
    <cfRule type="expression" dxfId="1960" priority="93">
      <formula>F238&lt;0</formula>
    </cfRule>
  </conditionalFormatting>
  <conditionalFormatting sqref="H238:H244">
    <cfRule type="expression" dxfId="1959" priority="90">
      <formula>H238&gt;0</formula>
    </cfRule>
    <cfRule type="expression" dxfId="1958" priority="91">
      <formula>H238&lt;0</formula>
    </cfRule>
  </conditionalFormatting>
  <conditionalFormatting sqref="F271:F289 H271:H289">
    <cfRule type="expression" dxfId="1957" priority="88">
      <formula>F271&gt;0</formula>
    </cfRule>
    <cfRule type="expression" dxfId="1956" priority="89">
      <formula>F271&lt;0</formula>
    </cfRule>
  </conditionalFormatting>
  <conditionalFormatting sqref="F264:F270">
    <cfRule type="expression" dxfId="1955" priority="86">
      <formula>F264&gt;0</formula>
    </cfRule>
    <cfRule type="expression" dxfId="1954" priority="87">
      <formula>F264&lt;0</formula>
    </cfRule>
  </conditionalFormatting>
  <conditionalFormatting sqref="H264:H270">
    <cfRule type="expression" dxfId="1953" priority="84">
      <formula>H264&gt;0</formula>
    </cfRule>
    <cfRule type="expression" dxfId="1952" priority="85">
      <formula>H264&lt;0</formula>
    </cfRule>
  </conditionalFormatting>
  <conditionalFormatting sqref="F297:F314 H297:H314">
    <cfRule type="expression" dxfId="1951" priority="82">
      <formula>F297&gt;0</formula>
    </cfRule>
    <cfRule type="expression" dxfId="1950" priority="83">
      <formula>F297&lt;0</formula>
    </cfRule>
  </conditionalFormatting>
  <conditionalFormatting sqref="F290:F296">
    <cfRule type="expression" dxfId="1949" priority="80">
      <formula>F290&gt;0</formula>
    </cfRule>
    <cfRule type="expression" dxfId="1948" priority="81">
      <formula>F290&lt;0</formula>
    </cfRule>
  </conditionalFormatting>
  <conditionalFormatting sqref="H290:H296">
    <cfRule type="expression" dxfId="1947" priority="78">
      <formula>H290&gt;0</formula>
    </cfRule>
    <cfRule type="expression" dxfId="1946" priority="79">
      <formula>H290&lt;0</formula>
    </cfRule>
  </conditionalFormatting>
  <conditionalFormatting sqref="F315:F319 H315:H319">
    <cfRule type="expression" dxfId="1945" priority="76">
      <formula>F315&gt;0</formula>
    </cfRule>
    <cfRule type="expression" dxfId="1944" priority="77">
      <formula>F315&lt;0</formula>
    </cfRule>
  </conditionalFormatting>
  <conditionalFormatting sqref="F327:F342 H327:H342">
    <cfRule type="expression" dxfId="1943" priority="74">
      <formula>F327&gt;0</formula>
    </cfRule>
    <cfRule type="expression" dxfId="1942" priority="75">
      <formula>F327&lt;0</formula>
    </cfRule>
  </conditionalFormatting>
  <conditionalFormatting sqref="H320:H326">
    <cfRule type="expression" dxfId="1941" priority="70">
      <formula>H320&gt;0</formula>
    </cfRule>
    <cfRule type="expression" dxfId="1940" priority="71">
      <formula>H320&lt;0</formula>
    </cfRule>
  </conditionalFormatting>
  <conditionalFormatting sqref="F343 H343">
    <cfRule type="expression" dxfId="1939" priority="68">
      <formula>F343&gt;0</formula>
    </cfRule>
    <cfRule type="expression" dxfId="1938" priority="69">
      <formula>F343&lt;0</formula>
    </cfRule>
  </conditionalFormatting>
  <conditionalFormatting sqref="F344:F348 H344:H348">
    <cfRule type="expression" dxfId="1937" priority="66">
      <formula>F344&gt;0</formula>
    </cfRule>
    <cfRule type="expression" dxfId="1936" priority="67">
      <formula>F344&lt;0</formula>
    </cfRule>
  </conditionalFormatting>
  <conditionalFormatting sqref="F356:F371 H356:H371">
    <cfRule type="expression" dxfId="1935" priority="64">
      <formula>F356&gt;0</formula>
    </cfRule>
    <cfRule type="expression" dxfId="1934" priority="65">
      <formula>F356&lt;0</formula>
    </cfRule>
  </conditionalFormatting>
  <conditionalFormatting sqref="F349:F355">
    <cfRule type="expression" dxfId="1933" priority="62">
      <formula>F349&gt;0</formula>
    </cfRule>
    <cfRule type="expression" dxfId="1932" priority="63">
      <formula>F349&lt;0</formula>
    </cfRule>
  </conditionalFormatting>
  <conditionalFormatting sqref="H349:H355">
    <cfRule type="expression" dxfId="1931" priority="60">
      <formula>H349&gt;0</formula>
    </cfRule>
    <cfRule type="expression" dxfId="1930" priority="61">
      <formula>H349&lt;0</formula>
    </cfRule>
  </conditionalFormatting>
  <conditionalFormatting sqref="F373:F378 H373:H378">
    <cfRule type="expression" dxfId="1929" priority="58">
      <formula>F373&gt;0</formula>
    </cfRule>
    <cfRule type="expression" dxfId="1928" priority="59">
      <formula>F373&lt;0</formula>
    </cfRule>
  </conditionalFormatting>
  <conditionalFormatting sqref="F379 H379">
    <cfRule type="expression" dxfId="1927" priority="56">
      <formula>F379&gt;0</formula>
    </cfRule>
    <cfRule type="expression" dxfId="1926" priority="57">
      <formula>F379&lt;0</formula>
    </cfRule>
  </conditionalFormatting>
  <conditionalFormatting sqref="F380:F384 H380:H384">
    <cfRule type="expression" dxfId="1925" priority="54">
      <formula>F380&gt;0</formula>
    </cfRule>
    <cfRule type="expression" dxfId="1924" priority="55">
      <formula>F380&lt;0</formula>
    </cfRule>
  </conditionalFormatting>
  <conditionalFormatting sqref="F392:F407 H392:H407">
    <cfRule type="expression" dxfId="1923" priority="52">
      <formula>F392&gt;0</formula>
    </cfRule>
    <cfRule type="expression" dxfId="1922" priority="53">
      <formula>F392&lt;0</formula>
    </cfRule>
  </conditionalFormatting>
  <conditionalFormatting sqref="F385:F391">
    <cfRule type="expression" dxfId="1921" priority="50">
      <formula>F385&gt;0</formula>
    </cfRule>
    <cfRule type="expression" dxfId="1920" priority="51">
      <formula>F385&lt;0</formula>
    </cfRule>
  </conditionalFormatting>
  <conditionalFormatting sqref="H385:H391">
    <cfRule type="expression" dxfId="1919" priority="48">
      <formula>H385&gt;0</formula>
    </cfRule>
    <cfRule type="expression" dxfId="1918" priority="49">
      <formula>H385&lt;0</formula>
    </cfRule>
  </conditionalFormatting>
  <conditionalFormatting sqref="F408:F413 H408:H413">
    <cfRule type="expression" dxfId="1917" priority="46">
      <formula>F408&gt;0</formula>
    </cfRule>
    <cfRule type="expression" dxfId="1916" priority="47">
      <formula>F408&lt;0</formula>
    </cfRule>
  </conditionalFormatting>
  <conditionalFormatting sqref="F414 H414">
    <cfRule type="expression" dxfId="1915" priority="44">
      <formula>F414&gt;0</formula>
    </cfRule>
    <cfRule type="expression" dxfId="1914" priority="45">
      <formula>F414&lt;0</formula>
    </cfRule>
  </conditionalFormatting>
  <conditionalFormatting sqref="F415:F419 H415:H419">
    <cfRule type="expression" dxfId="1913" priority="42">
      <formula>F415&gt;0</formula>
    </cfRule>
    <cfRule type="expression" dxfId="1912" priority="43">
      <formula>F415&lt;0</formula>
    </cfRule>
  </conditionalFormatting>
  <conditionalFormatting sqref="F427:F442 H427:H442">
    <cfRule type="expression" dxfId="1911" priority="40">
      <formula>F427&gt;0</formula>
    </cfRule>
    <cfRule type="expression" dxfId="1910" priority="41">
      <formula>F427&lt;0</formula>
    </cfRule>
  </conditionalFormatting>
  <conditionalFormatting sqref="F420:F426">
    <cfRule type="expression" dxfId="1909" priority="38">
      <formula>F420&gt;0</formula>
    </cfRule>
    <cfRule type="expression" dxfId="1908" priority="39">
      <formula>F420&lt;0</formula>
    </cfRule>
  </conditionalFormatting>
  <conditionalFormatting sqref="H420:H426">
    <cfRule type="expression" dxfId="1907" priority="36">
      <formula>H420&gt;0</formula>
    </cfRule>
    <cfRule type="expression" dxfId="1906" priority="37">
      <formula>H420&lt;0</formula>
    </cfRule>
  </conditionalFormatting>
  <conditionalFormatting sqref="M471">
    <cfRule type="expression" dxfId="1905" priority="34">
      <formula>M471&gt;0</formula>
    </cfRule>
    <cfRule type="expression" dxfId="1904" priority="35">
      <formula>M471&lt;0</formula>
    </cfRule>
  </conditionalFormatting>
  <conditionalFormatting sqref="F92:F103">
    <cfRule type="expression" dxfId="1903" priority="30">
      <formula>F92&gt;0</formula>
    </cfRule>
    <cfRule type="expression" dxfId="1902" priority="31">
      <formula>F92&lt;0</formula>
    </cfRule>
  </conditionalFormatting>
  <conditionalFormatting sqref="H92:H103">
    <cfRule type="expression" dxfId="1901" priority="28">
      <formula>H92&gt;0</formula>
    </cfRule>
    <cfRule type="expression" dxfId="1900" priority="29">
      <formula>H92&lt;0</formula>
    </cfRule>
  </conditionalFormatting>
  <conditionalFormatting sqref="F86:F91 H86:H91">
    <cfRule type="expression" dxfId="1899" priority="26">
      <formula>F86&gt;0</formula>
    </cfRule>
    <cfRule type="expression" dxfId="1898" priority="27">
      <formula>F86&lt;0</formula>
    </cfRule>
  </conditionalFormatting>
  <conditionalFormatting sqref="J88:K88">
    <cfRule type="expression" dxfId="1897" priority="24">
      <formula>J88&gt;0</formula>
    </cfRule>
    <cfRule type="expression" dxfId="1896" priority="25">
      <formula>J88&lt;0</formula>
    </cfRule>
  </conditionalFormatting>
  <conditionalFormatting sqref="J89:K95">
    <cfRule type="expression" dxfId="1895" priority="22">
      <formula>J89&gt;0</formula>
    </cfRule>
    <cfRule type="expression" dxfId="1894" priority="23">
      <formula>J89&lt;0</formula>
    </cfRule>
  </conditionalFormatting>
  <conditionalFormatting sqref="L88:L170 L177 L179">
    <cfRule type="expression" dxfId="1893" priority="18">
      <formula>L88&gt;0</formula>
    </cfRule>
    <cfRule type="expression" dxfId="1892" priority="19">
      <formula>L88&lt;0</formula>
    </cfRule>
  </conditionalFormatting>
  <conditionalFormatting sqref="Q10">
    <cfRule type="expression" dxfId="1891" priority="16">
      <formula>Q10&gt;0</formula>
    </cfRule>
    <cfRule type="expression" dxfId="1890" priority="17">
      <formula>Q10&lt;0</formula>
    </cfRule>
  </conditionalFormatting>
  <conditionalFormatting sqref="W14:W25">
    <cfRule type="iconSet" priority="15">
      <iconSet iconSet="3Arrows">
        <cfvo type="percent" val="0"/>
        <cfvo type="num" val="0"/>
        <cfvo type="num" val="0"/>
      </iconSet>
    </cfRule>
  </conditionalFormatting>
  <conditionalFormatting sqref="K199:K200 H199:H201 F199:F201">
    <cfRule type="expression" dxfId="1889" priority="13">
      <formula>F199&gt;0</formula>
    </cfRule>
    <cfRule type="expression" dxfId="1888" priority="14">
      <formula>F199&lt;0</formula>
    </cfRule>
  </conditionalFormatting>
  <conditionalFormatting sqref="K195:K197 H195:H197 F195:F197">
    <cfRule type="expression" dxfId="1887" priority="11">
      <formula>F195&gt;0</formula>
    </cfRule>
    <cfRule type="expression" dxfId="1886" priority="12">
      <formula>F195&lt;0</formula>
    </cfRule>
  </conditionalFormatting>
  <conditionalFormatting sqref="K193:K194 H194 F194">
    <cfRule type="expression" dxfId="1885" priority="9">
      <formula>F193&gt;0</formula>
    </cfRule>
    <cfRule type="expression" dxfId="1884" priority="10">
      <formula>F193&lt;0</formula>
    </cfRule>
  </conditionalFormatting>
  <conditionalFormatting sqref="K198 H198 F198">
    <cfRule type="expression" dxfId="1883" priority="7">
      <formula>F198&gt;0</formula>
    </cfRule>
    <cfRule type="expression" dxfId="1882" priority="8">
      <formula>F198&lt;0</formula>
    </cfRule>
  </conditionalFormatting>
  <conditionalFormatting sqref="H206:H207 F206:F207 K206:K207">
    <cfRule type="expression" dxfId="1881" priority="5">
      <formula>F206&gt;0</formula>
    </cfRule>
    <cfRule type="expression" dxfId="1880" priority="6">
      <formula>F206&lt;0</formula>
    </cfRule>
  </conditionalFormatting>
  <conditionalFormatting sqref="H204:H205 F204:F205 K204:K205">
    <cfRule type="expression" dxfId="1879" priority="3">
      <formula>F204&gt;0</formula>
    </cfRule>
    <cfRule type="expression" dxfId="1878" priority="4">
      <formula>F204&lt;0</formula>
    </cfRule>
  </conditionalFormatting>
  <conditionalFormatting sqref="H202:H203 F202:F203 K202:K203">
    <cfRule type="expression" dxfId="1877" priority="1">
      <formula>F202&gt;0</formula>
    </cfRule>
    <cfRule type="expression" dxfId="1876" priority="2">
      <formula>F202&lt;0</formula>
    </cfRule>
  </conditionalFormatting>
  <hyperlinks>
    <hyperlink ref="A3" location="ACTIVE!A1" display="Back"/>
    <hyperlink ref="A47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861</v>
      </c>
      <c r="W2" s="134"/>
    </row>
    <row r="3" spans="1:23" x14ac:dyDescent="0.25">
      <c r="A3" s="22" t="s">
        <v>71</v>
      </c>
      <c r="B3" s="477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15.74</v>
      </c>
      <c r="T3" s="1"/>
      <c r="U3" t="s">
        <v>862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13.66</v>
      </c>
      <c r="R4" s="498">
        <v>-9.4000000000000004E-3</v>
      </c>
      <c r="T4" s="158"/>
      <c r="U4" s="1" t="s">
        <v>910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5464</v>
      </c>
      <c r="T5" s="1">
        <v>43112</v>
      </c>
      <c r="U5" t="s">
        <v>908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-832</v>
      </c>
      <c r="R7">
        <v>200</v>
      </c>
      <c r="T7" s="1">
        <v>43117</v>
      </c>
      <c r="U7" t="s">
        <v>915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-832</v>
      </c>
      <c r="U8" t="s">
        <v>916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-0.13214739517153748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3.5139092240117131E-2</v>
      </c>
      <c r="R11">
        <f>0.12</f>
        <v>0.12</v>
      </c>
      <c r="T11" s="158">
        <v>43124</v>
      </c>
      <c r="U11" t="s">
        <v>909</v>
      </c>
      <c r="W11" s="134"/>
    </row>
    <row r="12" spans="1:23" x14ac:dyDescent="0.25">
      <c r="H12" s="70"/>
      <c r="O12" s="11" t="s">
        <v>82</v>
      </c>
      <c r="Q12" s="1" t="s">
        <v>1032</v>
      </c>
      <c r="W12" s="134"/>
    </row>
    <row r="13" spans="1:23" x14ac:dyDescent="0.25">
      <c r="H13" s="70"/>
      <c r="O13" s="11" t="s">
        <v>997</v>
      </c>
      <c r="Q13">
        <f>Q4/0.95</f>
        <v>14.378947368421054</v>
      </c>
      <c r="T13" s="1">
        <v>43210</v>
      </c>
      <c r="U13" t="s">
        <v>1011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4"/>
    </row>
    <row r="20" spans="1:23" ht="20.25" thickBot="1" x14ac:dyDescent="0.35">
      <c r="O20" s="847" t="s">
        <v>78</v>
      </c>
      <c r="P20" s="847"/>
      <c r="W20" s="134"/>
    </row>
    <row r="21" spans="1:23" ht="15.75" thickTop="1" x14ac:dyDescent="0.25">
      <c r="O21" s="81">
        <v>1.1000000000000001</v>
      </c>
      <c r="P21" s="81">
        <f>O21*$Q$4</f>
        <v>15.026000000000002</v>
      </c>
      <c r="W21" s="134"/>
    </row>
    <row r="22" spans="1:23" x14ac:dyDescent="0.25">
      <c r="O22" s="81">
        <v>1.0900000000000001</v>
      </c>
      <c r="P22" s="81">
        <f t="shared" ref="P22:P41" si="0">O22*$Q$4</f>
        <v>14.889400000000002</v>
      </c>
      <c r="W22" s="134"/>
    </row>
    <row r="23" spans="1:23" x14ac:dyDescent="0.25">
      <c r="O23" s="81">
        <v>1.08</v>
      </c>
      <c r="P23" s="81">
        <f t="shared" si="0"/>
        <v>14.752800000000001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1.07</v>
      </c>
      <c r="P24" s="81">
        <f t="shared" si="0"/>
        <v>14.616200000000001</v>
      </c>
      <c r="W24" s="134"/>
    </row>
    <row r="25" spans="1:23" x14ac:dyDescent="0.25">
      <c r="B25" s="187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5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14.479600000000001</v>
      </c>
      <c r="W25" s="134"/>
    </row>
    <row r="26" spans="1:23" x14ac:dyDescent="0.25">
      <c r="B26" s="187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5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14.343</v>
      </c>
      <c r="W26" s="134"/>
    </row>
    <row r="27" spans="1:23" x14ac:dyDescent="0.25">
      <c r="B27" s="187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5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14.2064</v>
      </c>
      <c r="W27" s="134"/>
    </row>
    <row r="28" spans="1:23" x14ac:dyDescent="0.25">
      <c r="B28" s="187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5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14.069800000000001</v>
      </c>
      <c r="W28" s="134"/>
    </row>
    <row r="29" spans="1:23" x14ac:dyDescent="0.25">
      <c r="B29" s="187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5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13.933200000000001</v>
      </c>
      <c r="W29" s="134"/>
    </row>
    <row r="30" spans="1:23" x14ac:dyDescent="0.25">
      <c r="B30" s="187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5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13.7966</v>
      </c>
      <c r="W30" s="134"/>
    </row>
    <row r="31" spans="1:23" x14ac:dyDescent="0.25">
      <c r="B31" s="187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5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13.66</v>
      </c>
      <c r="W31" s="134"/>
    </row>
    <row r="32" spans="1:23" x14ac:dyDescent="0.25">
      <c r="A32">
        <v>200</v>
      </c>
      <c r="B32" s="187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5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13.523400000000001</v>
      </c>
      <c r="W32" s="134"/>
    </row>
    <row r="33" spans="1:23" x14ac:dyDescent="0.25">
      <c r="A33" s="29"/>
      <c r="B33" s="187">
        <v>43186</v>
      </c>
      <c r="C33" s="7">
        <v>400</v>
      </c>
      <c r="D33" s="43">
        <v>15.74</v>
      </c>
      <c r="E33" s="39">
        <v>13.44</v>
      </c>
      <c r="F33" s="39">
        <f t="shared" ref="F33" si="19">C33*(E33-D33)</f>
        <v>-920.00000000000023</v>
      </c>
      <c r="G33" s="39">
        <f t="shared" ref="G33" si="20">D33*C33</f>
        <v>6296</v>
      </c>
      <c r="H33" s="225">
        <f t="shared" ref="H33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13.386799999999999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0.97</v>
      </c>
      <c r="P34" s="81">
        <f t="shared" si="0"/>
        <v>13.2502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0.96</v>
      </c>
      <c r="P35" s="81">
        <f t="shared" si="0"/>
        <v>13.1136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0.95</v>
      </c>
      <c r="P36" s="81">
        <f t="shared" si="0"/>
        <v>12.977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0.94</v>
      </c>
      <c r="P37" s="81">
        <f t="shared" si="0"/>
        <v>12.840399999999999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0.93</v>
      </c>
      <c r="P38" s="81">
        <f t="shared" si="0"/>
        <v>12.703800000000001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0.92</v>
      </c>
      <c r="P39" s="81">
        <f t="shared" si="0"/>
        <v>12.567200000000001</v>
      </c>
      <c r="W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0.91</v>
      </c>
      <c r="P40" s="81">
        <f t="shared" si="0"/>
        <v>12.4306</v>
      </c>
      <c r="W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</v>
      </c>
      <c r="P41" s="81">
        <f t="shared" si="0"/>
        <v>12.294</v>
      </c>
      <c r="Q41" s="2"/>
      <c r="W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W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 t="s">
        <v>798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A88" s="365"/>
      <c r="B88" s="487" t="s">
        <v>113</v>
      </c>
      <c r="C88" s="487" t="s">
        <v>146</v>
      </c>
      <c r="D88" s="488" t="s">
        <v>145</v>
      </c>
      <c r="E88" s="489" t="s">
        <v>147</v>
      </c>
      <c r="F88" s="489" t="s">
        <v>65</v>
      </c>
      <c r="G88" s="491" t="s">
        <v>151</v>
      </c>
      <c r="H88" s="491" t="s">
        <v>88</v>
      </c>
      <c r="I88" s="491" t="s">
        <v>154</v>
      </c>
      <c r="J88" s="366"/>
      <c r="K88" s="366"/>
      <c r="L88" s="365"/>
      <c r="M88" s="365"/>
    </row>
    <row r="89" spans="1:13" x14ac:dyDescent="0.25">
      <c r="A89" s="365"/>
      <c r="B89" s="364"/>
      <c r="C89" s="365"/>
      <c r="D89" s="366"/>
      <c r="E89" s="366"/>
      <c r="F89" s="366"/>
      <c r="G89" s="366"/>
      <c r="H89" s="367"/>
      <c r="I89" s="366"/>
      <c r="J89" s="366"/>
      <c r="K89" s="366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6"/>
      <c r="H90" s="367"/>
      <c r="I90" s="366"/>
      <c r="J90" s="366"/>
      <c r="K90" s="366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6"/>
      <c r="H91" s="367"/>
      <c r="I91" s="366"/>
      <c r="J91" s="366"/>
      <c r="K91" s="366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6"/>
      <c r="H92" s="367"/>
      <c r="I92" s="366"/>
      <c r="J92" s="366"/>
      <c r="K92" s="366"/>
      <c r="L92" s="365"/>
      <c r="M92" s="365"/>
    </row>
    <row r="93" spans="1:13" x14ac:dyDescent="0.25">
      <c r="A93" s="365"/>
      <c r="B93" s="364"/>
      <c r="C93" s="365"/>
      <c r="D93" s="366"/>
      <c r="E93" s="366"/>
      <c r="F93" s="366"/>
      <c r="G93" s="366"/>
      <c r="H93" s="367"/>
      <c r="I93" s="366"/>
      <c r="J93" s="366"/>
      <c r="K93" s="366"/>
      <c r="L93" s="365"/>
      <c r="M93" s="365"/>
    </row>
    <row r="94" spans="1:13" x14ac:dyDescent="0.25">
      <c r="A94" s="365"/>
      <c r="B94" s="364"/>
      <c r="C94" s="365"/>
      <c r="D94" s="366"/>
      <c r="E94" s="366"/>
      <c r="F94" s="366"/>
      <c r="G94" s="366"/>
      <c r="H94" s="367"/>
      <c r="I94" s="366"/>
      <c r="J94" s="366"/>
      <c r="K94" s="366"/>
      <c r="L94" s="365"/>
      <c r="M94" s="365"/>
    </row>
    <row r="95" spans="1:13" x14ac:dyDescent="0.25">
      <c r="A95" s="365"/>
      <c r="B95" s="364"/>
      <c r="C95" s="365"/>
      <c r="D95" s="366"/>
      <c r="E95" s="366"/>
      <c r="F95" s="366"/>
      <c r="G95" s="366"/>
      <c r="H95" s="367"/>
      <c r="I95" s="366"/>
      <c r="J95" s="366"/>
      <c r="K95" s="366"/>
      <c r="L95" s="365"/>
      <c r="M95" s="365"/>
    </row>
    <row r="96" spans="1:13" x14ac:dyDescent="0.25">
      <c r="A96" s="365"/>
      <c r="B96" s="364"/>
      <c r="C96" s="365"/>
      <c r="D96" s="366"/>
      <c r="E96" s="366"/>
      <c r="F96" s="366"/>
      <c r="G96" s="366"/>
      <c r="H96" s="367"/>
      <c r="I96" s="366"/>
      <c r="J96" s="366"/>
      <c r="K96" s="366"/>
      <c r="L96" s="365"/>
      <c r="M96" s="365"/>
    </row>
    <row r="97" spans="1:13" x14ac:dyDescent="0.25">
      <c r="A97" s="365"/>
      <c r="B97" s="364"/>
      <c r="C97" s="365"/>
      <c r="D97" s="366"/>
      <c r="E97" s="366"/>
      <c r="F97" s="366"/>
      <c r="G97" s="366"/>
      <c r="H97" s="367"/>
      <c r="I97" s="366"/>
      <c r="J97" s="366"/>
      <c r="K97" s="366"/>
      <c r="L97" s="365"/>
      <c r="M97" s="365"/>
    </row>
    <row r="98" spans="1:13" x14ac:dyDescent="0.25">
      <c r="A98" s="365"/>
      <c r="B98" s="364"/>
      <c r="C98" s="365"/>
      <c r="D98" s="366"/>
      <c r="E98" s="366"/>
      <c r="F98" s="366"/>
      <c r="G98" s="366"/>
      <c r="H98" s="367"/>
      <c r="I98" s="366"/>
      <c r="J98" s="366"/>
      <c r="K98" s="366"/>
      <c r="L98" s="365"/>
      <c r="M98" s="365"/>
    </row>
    <row r="99" spans="1:13" x14ac:dyDescent="0.25">
      <c r="A99" s="365"/>
      <c r="B99" s="364"/>
      <c r="C99" s="365"/>
      <c r="D99" s="366"/>
      <c r="E99" s="366"/>
      <c r="F99" s="366"/>
      <c r="G99" s="366"/>
      <c r="H99" s="367"/>
      <c r="I99" s="366"/>
      <c r="J99" s="366"/>
      <c r="K99" s="366"/>
      <c r="L99" s="365"/>
      <c r="M99" s="365"/>
    </row>
    <row r="100" spans="1:13" x14ac:dyDescent="0.25">
      <c r="A100" s="365"/>
      <c r="B100" s="364"/>
      <c r="C100" s="365"/>
      <c r="D100" s="366"/>
      <c r="E100" s="366"/>
      <c r="F100" s="366"/>
      <c r="G100" s="366"/>
      <c r="H100" s="367"/>
      <c r="I100" s="366"/>
      <c r="J100" s="366"/>
      <c r="K100" s="366"/>
      <c r="L100" s="365"/>
      <c r="M100" s="365"/>
    </row>
    <row r="101" spans="1:13" x14ac:dyDescent="0.25">
      <c r="A101" s="365"/>
      <c r="B101" s="364"/>
      <c r="C101" s="365"/>
      <c r="D101" s="366"/>
      <c r="E101" s="366"/>
      <c r="F101" s="366"/>
      <c r="G101" s="366"/>
      <c r="H101" s="367"/>
      <c r="I101" s="366"/>
      <c r="J101" s="366"/>
      <c r="K101" s="366"/>
      <c r="L101" s="365"/>
      <c r="M101" s="365"/>
    </row>
    <row r="102" spans="1:13" x14ac:dyDescent="0.25">
      <c r="A102" s="365"/>
      <c r="B102" s="364"/>
      <c r="C102" s="365"/>
      <c r="D102" s="366"/>
      <c r="E102" s="366"/>
      <c r="F102" s="366"/>
      <c r="G102" s="366"/>
      <c r="H102" s="367"/>
      <c r="I102" s="366"/>
      <c r="J102" s="366"/>
      <c r="K102" s="366"/>
      <c r="L102" s="365"/>
      <c r="M102" s="365"/>
    </row>
    <row r="103" spans="1:13" x14ac:dyDescent="0.25">
      <c r="A103" s="365"/>
      <c r="B103" s="364"/>
      <c r="C103" s="365"/>
      <c r="D103" s="366"/>
      <c r="E103" s="366"/>
      <c r="F103" s="366"/>
      <c r="G103" s="366"/>
      <c r="H103" s="367"/>
      <c r="I103" s="366"/>
      <c r="J103" s="366"/>
      <c r="K103" s="366"/>
      <c r="L103" s="365"/>
      <c r="M103" s="365"/>
    </row>
    <row r="104" spans="1:13" x14ac:dyDescent="0.25">
      <c r="A104" s="365"/>
      <c r="B104" s="364"/>
      <c r="C104" s="365"/>
      <c r="D104" s="366"/>
      <c r="E104" s="366"/>
      <c r="F104" s="366"/>
      <c r="G104" s="366"/>
      <c r="H104" s="367"/>
      <c r="I104" s="366"/>
      <c r="J104" s="366"/>
      <c r="K104" s="366"/>
      <c r="L104" s="365"/>
      <c r="M104" s="365"/>
    </row>
    <row r="105" spans="1:13" x14ac:dyDescent="0.25">
      <c r="A105" s="365"/>
      <c r="B105" s="364"/>
      <c r="C105" s="365"/>
      <c r="D105" s="366"/>
      <c r="E105" s="366"/>
      <c r="F105" s="366"/>
      <c r="G105" s="366"/>
      <c r="H105" s="367"/>
      <c r="I105" s="366"/>
      <c r="J105" s="366"/>
      <c r="K105" s="366"/>
      <c r="L105" s="365"/>
      <c r="M105" s="365"/>
    </row>
    <row r="106" spans="1:13" x14ac:dyDescent="0.25">
      <c r="A106" s="365"/>
      <c r="B106" s="364"/>
      <c r="C106" s="365"/>
      <c r="D106" s="366"/>
      <c r="E106" s="366"/>
      <c r="F106" s="366"/>
      <c r="G106" s="366"/>
      <c r="H106" s="367"/>
      <c r="I106" s="366"/>
      <c r="J106" s="366"/>
      <c r="K106" s="366"/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6"/>
      <c r="H107" s="367"/>
      <c r="I107" s="366"/>
      <c r="J107" s="366"/>
      <c r="K107" s="366"/>
      <c r="L107" s="365"/>
      <c r="M107" s="365"/>
    </row>
    <row r="108" spans="1:13" x14ac:dyDescent="0.25">
      <c r="A108" s="365"/>
      <c r="B108" s="364"/>
      <c r="C108" s="365"/>
      <c r="D108" s="366"/>
      <c r="E108" s="366"/>
      <c r="F108" s="366"/>
      <c r="G108" s="366"/>
      <c r="H108" s="367"/>
      <c r="I108" s="366"/>
      <c r="J108" s="366"/>
      <c r="K108" s="366"/>
      <c r="L108" s="365"/>
      <c r="M108" s="365"/>
    </row>
    <row r="109" spans="1:13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  <c r="M109" s="365"/>
    </row>
    <row r="110" spans="1:13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  <c r="M110" s="365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5" priority="25">
      <formula>F47&gt;0</formula>
    </cfRule>
    <cfRule type="expression" dxfId="1874" priority="26">
      <formula>F47&lt;0</formula>
    </cfRule>
  </conditionalFormatting>
  <conditionalFormatting sqref="Q7">
    <cfRule type="expression" dxfId="1873" priority="23">
      <formula>Q7&gt;0</formula>
    </cfRule>
    <cfRule type="expression" dxfId="1872" priority="24">
      <formula>Q7&lt;0</formula>
    </cfRule>
  </conditionalFormatting>
  <conditionalFormatting sqref="Q8">
    <cfRule type="expression" dxfId="1871" priority="21">
      <formula>Q8&gt;0</formula>
    </cfRule>
    <cfRule type="expression" dxfId="1870" priority="22">
      <formula>Q8&lt;0</formula>
    </cfRule>
  </conditionalFormatting>
  <conditionalFormatting sqref="F25:F30 F34:F46">
    <cfRule type="expression" dxfId="1869" priority="19">
      <formula>F25&gt;0</formula>
    </cfRule>
    <cfRule type="expression" dxfId="1868" priority="20">
      <formula>F25&lt;0</formula>
    </cfRule>
  </conditionalFormatting>
  <conditionalFormatting sqref="H25:H30 H34:H46">
    <cfRule type="expression" dxfId="1867" priority="17">
      <formula>H25&gt;0</formula>
    </cfRule>
    <cfRule type="expression" dxfId="1866" priority="18">
      <formula>H25&lt;0</formula>
    </cfRule>
  </conditionalFormatting>
  <conditionalFormatting sqref="F89:F110">
    <cfRule type="expression" dxfId="1865" priority="15">
      <formula>F89&gt;0</formula>
    </cfRule>
    <cfRule type="expression" dxfId="1864" priority="16">
      <formula>F89&lt;0</formula>
    </cfRule>
  </conditionalFormatting>
  <conditionalFormatting sqref="H89:H110">
    <cfRule type="expression" dxfId="1863" priority="13">
      <formula>H89&gt;0</formula>
    </cfRule>
    <cfRule type="expression" dxfId="1862" priority="14">
      <formula>H89&lt;0</formula>
    </cfRule>
  </conditionalFormatting>
  <conditionalFormatting sqref="Q10">
    <cfRule type="expression" dxfId="1861" priority="11">
      <formula>Q10&gt;0</formula>
    </cfRule>
    <cfRule type="expression" dxfId="1860" priority="12">
      <formula>Q10&lt;0</formula>
    </cfRule>
  </conditionalFormatting>
  <conditionalFormatting sqref="J25:J38">
    <cfRule type="expression" dxfId="1859" priority="9">
      <formula>J25&gt;0</formula>
    </cfRule>
    <cfRule type="expression" dxfId="1858" priority="10">
      <formula>J25&lt;0</formula>
    </cfRule>
  </conditionalFormatting>
  <conditionalFormatting sqref="K25:K38">
    <cfRule type="expression" dxfId="1857" priority="7">
      <formula>K25&gt;0</formula>
    </cfRule>
    <cfRule type="expression" dxfId="1856" priority="8">
      <formula>K25&lt;0</formula>
    </cfRule>
  </conditionalFormatting>
  <conditionalFormatting sqref="L25:L38">
    <cfRule type="expression" dxfId="1855" priority="5">
      <formula>L25&gt;0</formula>
    </cfRule>
    <cfRule type="expression" dxfId="1854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53" priority="3">
      <formula>F31&gt;0</formula>
    </cfRule>
    <cfRule type="expression" dxfId="1852" priority="4">
      <formula>F31&lt;0</formula>
    </cfRule>
  </conditionalFormatting>
  <conditionalFormatting sqref="H31:H33">
    <cfRule type="expression" dxfId="1851" priority="1">
      <formula>H31&gt;0</formula>
    </cfRule>
    <cfRule type="expression" dxfId="1850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77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52.712499999999999</v>
      </c>
      <c r="T3" s="1">
        <v>43160</v>
      </c>
      <c r="U3" t="s">
        <v>1020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50.619900000000001</v>
      </c>
      <c r="R4" s="498">
        <v>7.0000000000000001E-3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5061.99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5271.25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-209.26000000000022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-209.26000000000022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-3.9698363765710259E-2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>
        <v>43228</v>
      </c>
    </row>
    <row r="13" spans="1:21" x14ac:dyDescent="0.25">
      <c r="H13" s="70"/>
      <c r="O13" s="11" t="s">
        <v>997</v>
      </c>
      <c r="Q13">
        <f>Q4/2.75</f>
        <v>18.407236363636365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9</v>
      </c>
    </row>
    <row r="22" spans="1:17" ht="20.25" thickBot="1" x14ac:dyDescent="0.35">
      <c r="O22" s="812" t="s">
        <v>78</v>
      </c>
      <c r="P22" s="812"/>
    </row>
    <row r="23" spans="1:17" ht="15.75" thickTop="1" x14ac:dyDescent="0.25">
      <c r="O23" s="81">
        <v>1.1000000000000001</v>
      </c>
      <c r="P23" s="81">
        <f>O23*$Q$4</f>
        <v>55.681890000000003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997</v>
      </c>
      <c r="L24" s="223"/>
      <c r="O24" s="81">
        <v>1.0900000000000001</v>
      </c>
      <c r="P24" s="81">
        <f t="shared" ref="P24:P43" si="1">O24*$Q$4</f>
        <v>55.175691000000008</v>
      </c>
      <c r="Q24" s="2"/>
    </row>
    <row r="25" spans="1:17" x14ac:dyDescent="0.25">
      <c r="B25" s="187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5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54.669492000000005</v>
      </c>
      <c r="Q25" s="2"/>
    </row>
    <row r="26" spans="1:17" x14ac:dyDescent="0.25">
      <c r="B26" s="187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5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54.163293000000003</v>
      </c>
      <c r="Q26" s="2"/>
    </row>
    <row r="27" spans="1:17" x14ac:dyDescent="0.25">
      <c r="B27" s="187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5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53.657094000000001</v>
      </c>
      <c r="Q27" s="2"/>
    </row>
    <row r="28" spans="1:17" x14ac:dyDescent="0.25">
      <c r="B28" s="187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5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53.150895000000006</v>
      </c>
      <c r="Q28" s="2"/>
    </row>
    <row r="29" spans="1:17" x14ac:dyDescent="0.25">
      <c r="A29">
        <v>0</v>
      </c>
      <c r="B29" s="187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5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52.644696000000003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52.138497000000001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51.632297999999999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51.126099000000004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50.619900000000001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50.113700999999999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49.607502000000004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49.101303000000001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48.595103999999999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48.088904999999997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47.582706000000002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47.076507000000007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46.570308000000004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46.064109000000002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45.55791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9" priority="31">
      <formula>F47&gt;0</formula>
    </cfRule>
    <cfRule type="expression" dxfId="1848" priority="32">
      <formula>F47&lt;0</formula>
    </cfRule>
  </conditionalFormatting>
  <conditionalFormatting sqref="Q7">
    <cfRule type="expression" dxfId="1847" priority="29">
      <formula>Q7&gt;0</formula>
    </cfRule>
    <cfRule type="expression" dxfId="1846" priority="30">
      <formula>Q7&lt;0</formula>
    </cfRule>
  </conditionalFormatting>
  <conditionalFormatting sqref="Q8">
    <cfRule type="expression" dxfId="1845" priority="27">
      <formula>Q8&gt;0</formula>
    </cfRule>
    <cfRule type="expression" dxfId="1844" priority="28">
      <formula>Q8&lt;0</formula>
    </cfRule>
  </conditionalFormatting>
  <conditionalFormatting sqref="F30:F46">
    <cfRule type="expression" dxfId="1843" priority="25">
      <formula>F30&gt;0</formula>
    </cfRule>
    <cfRule type="expression" dxfId="1842" priority="26">
      <formula>F30&lt;0</formula>
    </cfRule>
  </conditionalFormatting>
  <conditionalFormatting sqref="H30:H46">
    <cfRule type="expression" dxfId="1841" priority="23">
      <formula>H30&gt;0</formula>
    </cfRule>
    <cfRule type="expression" dxfId="1840" priority="24">
      <formula>H30&lt;0</formula>
    </cfRule>
  </conditionalFormatting>
  <conditionalFormatting sqref="Q10">
    <cfRule type="expression" dxfId="1839" priority="21">
      <formula>Q10&gt;0</formula>
    </cfRule>
    <cfRule type="expression" dxfId="1838" priority="22">
      <formula>Q10&lt;0</formula>
    </cfRule>
  </conditionalFormatting>
  <conditionalFormatting sqref="J25:J38">
    <cfRule type="expression" dxfId="1837" priority="19">
      <formula>J25&gt;0</formula>
    </cfRule>
    <cfRule type="expression" dxfId="1836" priority="20">
      <formula>J25&lt;0</formula>
    </cfRule>
  </conditionalFormatting>
  <conditionalFormatting sqref="K35:K38">
    <cfRule type="expression" dxfId="1835" priority="17">
      <formula>K35&gt;0</formula>
    </cfRule>
    <cfRule type="expression" dxfId="1834" priority="18">
      <formula>K35&lt;0</formula>
    </cfRule>
  </conditionalFormatting>
  <conditionalFormatting sqref="L25:L38">
    <cfRule type="expression" dxfId="1833" priority="15">
      <formula>L25&gt;0</formula>
    </cfRule>
    <cfRule type="expression" dxfId="1832" priority="16">
      <formula>L25&lt;0</formula>
    </cfRule>
  </conditionalFormatting>
  <conditionalFormatting sqref="F89:F110">
    <cfRule type="expression" dxfId="1831" priority="13">
      <formula>F89&gt;0</formula>
    </cfRule>
    <cfRule type="expression" dxfId="1830" priority="14">
      <formula>F89&lt;0</formula>
    </cfRule>
  </conditionalFormatting>
  <conditionalFormatting sqref="H89:H110">
    <cfRule type="expression" dxfId="1829" priority="11">
      <formula>H89&gt;0</formula>
    </cfRule>
    <cfRule type="expression" dxfId="1828" priority="12">
      <formula>H89&lt;0</formula>
    </cfRule>
  </conditionalFormatting>
  <conditionalFormatting sqref="J89:J102">
    <cfRule type="expression" dxfId="1827" priority="9">
      <formula>J89&gt;0</formula>
    </cfRule>
    <cfRule type="expression" dxfId="1826" priority="10">
      <formula>J89&lt;0</formula>
    </cfRule>
  </conditionalFormatting>
  <conditionalFormatting sqref="K89:K102">
    <cfRule type="expression" dxfId="1825" priority="7">
      <formula>K89&gt;0</formula>
    </cfRule>
    <cfRule type="expression" dxfId="1824" priority="8">
      <formula>K89&lt;0</formula>
    </cfRule>
  </conditionalFormatting>
  <conditionalFormatting sqref="L89:L102">
    <cfRule type="expression" dxfId="1823" priority="5">
      <formula>L89&gt;0</formula>
    </cfRule>
    <cfRule type="expression" dxfId="1822" priority="6">
      <formula>L89&lt;0</formula>
    </cfRule>
  </conditionalFormatting>
  <conditionalFormatting sqref="F25:F29">
    <cfRule type="expression" dxfId="1821" priority="3">
      <formula>F25&gt;0</formula>
    </cfRule>
    <cfRule type="expression" dxfId="1820" priority="4">
      <formula>F25&lt;0</formula>
    </cfRule>
  </conditionalFormatting>
  <conditionalFormatting sqref="H25:H29">
    <cfRule type="expression" dxfId="1819" priority="1">
      <formula>H25&gt;0</formula>
    </cfRule>
    <cfRule type="expression" dxfId="18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4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5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 t="s">
        <v>801</v>
      </c>
    </row>
    <row r="2" spans="1:28" x14ac:dyDescent="0.25">
      <c r="A2" s="6" t="s">
        <v>196</v>
      </c>
      <c r="B2" s="479">
        <v>42718</v>
      </c>
      <c r="C2" s="4">
        <v>200</v>
      </c>
      <c r="D2" s="234">
        <v>34.78</v>
      </c>
      <c r="E2" s="3">
        <v>0</v>
      </c>
      <c r="F2" s="3">
        <f t="shared" ref="F2:F35" si="0">D2*C2+E2</f>
        <v>6956</v>
      </c>
      <c r="G2" s="479">
        <v>42782</v>
      </c>
      <c r="H2" s="7">
        <v>200</v>
      </c>
      <c r="I2" s="43">
        <v>34.200000000000003</v>
      </c>
      <c r="J2" s="43">
        <v>0.15</v>
      </c>
      <c r="K2" s="43">
        <f t="shared" ref="K2:K2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8">
        <f>C41-H41</f>
        <v>2000</v>
      </c>
      <c r="T2" s="826" t="s">
        <v>351</v>
      </c>
      <c r="W2" s="134"/>
      <c r="AB2" s="134"/>
    </row>
    <row r="3" spans="1:28" x14ac:dyDescent="0.25">
      <c r="A3" s="22" t="s">
        <v>71</v>
      </c>
      <c r="B3" s="479">
        <v>42738</v>
      </c>
      <c r="C3" s="4">
        <v>100</v>
      </c>
      <c r="D3" s="234">
        <v>33.78</v>
      </c>
      <c r="E3" s="3">
        <v>0</v>
      </c>
      <c r="F3" s="3">
        <f t="shared" si="0"/>
        <v>3378</v>
      </c>
      <c r="G3" s="437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9">
        <f>IF(Q2=0, Q4, (F41-K41-M41)/Q2)</f>
        <v>28.557449999999992</v>
      </c>
      <c r="T3" s="83" t="s">
        <v>465</v>
      </c>
      <c r="W3" s="134"/>
      <c r="AB3" s="134"/>
    </row>
    <row r="4" spans="1:28" x14ac:dyDescent="0.25">
      <c r="B4" s="47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7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1">
        <v>24.58</v>
      </c>
      <c r="R4" s="225">
        <v>1.44E-2</v>
      </c>
      <c r="T4" s="118"/>
      <c r="W4" s="134"/>
      <c r="AB4" s="134"/>
    </row>
    <row r="5" spans="1:28" x14ac:dyDescent="0.25">
      <c r="B5" s="47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7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49160</v>
      </c>
      <c r="W5" s="134"/>
    </row>
    <row r="6" spans="1:28" x14ac:dyDescent="0.25">
      <c r="B6" s="47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37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57114.899999999987</v>
      </c>
      <c r="T6" s="825" t="s">
        <v>523</v>
      </c>
      <c r="W6" s="134"/>
    </row>
    <row r="7" spans="1:28" x14ac:dyDescent="0.25">
      <c r="B7" s="479">
        <v>42788</v>
      </c>
      <c r="C7" s="4">
        <v>200</v>
      </c>
      <c r="D7" s="234">
        <v>33.08</v>
      </c>
      <c r="E7" s="3">
        <v>0</v>
      </c>
      <c r="F7" s="3">
        <f t="shared" si="0"/>
        <v>6616</v>
      </c>
      <c r="G7" s="437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-6206.93</v>
      </c>
      <c r="R7">
        <v>1000</v>
      </c>
      <c r="W7" s="134"/>
    </row>
    <row r="8" spans="1:28" x14ac:dyDescent="0.25">
      <c r="B8" s="479">
        <v>42793</v>
      </c>
      <c r="C8" s="4">
        <v>200</v>
      </c>
      <c r="D8" s="234">
        <v>32.18</v>
      </c>
      <c r="E8" s="3">
        <v>0</v>
      </c>
      <c r="F8" s="3">
        <f t="shared" si="0"/>
        <v>6436</v>
      </c>
      <c r="G8" s="479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-7954.8999999999942</v>
      </c>
      <c r="T8" s="827">
        <v>43095</v>
      </c>
      <c r="U8" t="s">
        <v>802</v>
      </c>
      <c r="W8" s="134"/>
    </row>
    <row r="9" spans="1:28" x14ac:dyDescent="0.25">
      <c r="B9" s="479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9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5">
        <f>IF(Q2=0, 0, Q8/Q6)</f>
        <v>-0.13927889219800779</v>
      </c>
      <c r="T9" s="827"/>
      <c r="U9" t="s">
        <v>808</v>
      </c>
      <c r="W9" s="134"/>
    </row>
    <row r="10" spans="1:28" x14ac:dyDescent="0.25">
      <c r="B10" s="479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9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M211</f>
        <v>1747.9699999999939</v>
      </c>
      <c r="T10" s="827"/>
      <c r="W10" s="134"/>
    </row>
    <row r="11" spans="1:28" x14ac:dyDescent="0.25">
      <c r="B11" s="479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9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2.0341741253051264E-2</v>
      </c>
      <c r="R11">
        <f>0.125</f>
        <v>0.125</v>
      </c>
      <c r="T11" s="827">
        <v>43102</v>
      </c>
      <c r="U11" t="s">
        <v>866</v>
      </c>
      <c r="W11" s="134"/>
    </row>
    <row r="12" spans="1:28" x14ac:dyDescent="0.25">
      <c r="B12" s="479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9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968</v>
      </c>
      <c r="Q12" s="1" t="s">
        <v>1037</v>
      </c>
      <c r="T12" s="827"/>
      <c r="U12" t="s">
        <v>853</v>
      </c>
      <c r="W12" s="134"/>
    </row>
    <row r="13" spans="1:28" x14ac:dyDescent="0.25">
      <c r="B13" s="47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9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1001</v>
      </c>
      <c r="Q13" s="2">
        <f>Q4/(1.95+2.15)*2</f>
        <v>11.990243902439024</v>
      </c>
      <c r="T13" s="827"/>
      <c r="W13" s="134"/>
    </row>
    <row r="14" spans="1:28" x14ac:dyDescent="0.25">
      <c r="B14" s="479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9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88"/>
      <c r="T14" s="827">
        <v>43104</v>
      </c>
      <c r="U14" t="s">
        <v>864</v>
      </c>
      <c r="W14" s="134"/>
    </row>
    <row r="15" spans="1:28" x14ac:dyDescent="0.25">
      <c r="B15" s="479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9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9"/>
      <c r="T15" s="827"/>
      <c r="U15" t="s">
        <v>865</v>
      </c>
      <c r="W15" s="134"/>
    </row>
    <row r="16" spans="1:28" x14ac:dyDescent="0.25">
      <c r="B16" s="47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9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9"/>
      <c r="T16" s="827">
        <v>43105</v>
      </c>
      <c r="U16" t="s">
        <v>870</v>
      </c>
      <c r="W16" s="134"/>
    </row>
    <row r="17" spans="2:23" x14ac:dyDescent="0.25">
      <c r="B17" s="47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9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9"/>
      <c r="T17" s="827"/>
      <c r="W17" s="134"/>
    </row>
    <row r="18" spans="2:23" x14ac:dyDescent="0.25">
      <c r="B18" s="47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9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9"/>
      <c r="T18" s="827">
        <v>43112</v>
      </c>
      <c r="U18" t="s">
        <v>878</v>
      </c>
      <c r="W18" s="134"/>
    </row>
    <row r="19" spans="2:23" x14ac:dyDescent="0.25">
      <c r="B19" s="47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9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9"/>
      <c r="T19" s="827"/>
      <c r="U19" t="s">
        <v>879</v>
      </c>
      <c r="W19" s="134"/>
    </row>
    <row r="20" spans="2:23" x14ac:dyDescent="0.25">
      <c r="B20" s="47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9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9"/>
      <c r="T20" s="827"/>
      <c r="W20" s="134"/>
    </row>
    <row r="21" spans="2:23" x14ac:dyDescent="0.25">
      <c r="B21" s="47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9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7">
        <v>43126</v>
      </c>
      <c r="U21" t="s">
        <v>932</v>
      </c>
      <c r="W21" s="134"/>
    </row>
    <row r="22" spans="2:23" ht="20.25" thickBot="1" x14ac:dyDescent="0.35">
      <c r="B22" s="479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9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7" t="s">
        <v>78</v>
      </c>
      <c r="P22" s="847"/>
      <c r="T22" s="827"/>
      <c r="U22" t="s">
        <v>933</v>
      </c>
      <c r="W22" s="134"/>
    </row>
    <row r="23" spans="2:23" ht="15.75" thickTop="1" x14ac:dyDescent="0.25">
      <c r="B23" s="47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179"/>
      <c r="I23" s="3"/>
      <c r="J23" s="3"/>
      <c r="K23" s="3"/>
      <c r="O23" s="81">
        <v>1.1000000000000001</v>
      </c>
      <c r="P23" s="81">
        <f>O23*$Q$4</f>
        <v>27.038</v>
      </c>
      <c r="Q23" s="2"/>
      <c r="T23" s="827"/>
      <c r="W23" s="134"/>
    </row>
    <row r="24" spans="2:23" x14ac:dyDescent="0.25">
      <c r="B24" s="47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26.792200000000001</v>
      </c>
      <c r="Q24" s="2"/>
      <c r="T24" s="828">
        <v>43153</v>
      </c>
      <c r="U24" t="s">
        <v>972</v>
      </c>
      <c r="W24" s="134"/>
    </row>
    <row r="25" spans="2:23" x14ac:dyDescent="0.25">
      <c r="B25" s="479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26.546399999999998</v>
      </c>
      <c r="Q25" s="2"/>
      <c r="T25" s="828"/>
      <c r="W25" s="134"/>
    </row>
    <row r="26" spans="2:23" x14ac:dyDescent="0.25">
      <c r="B26" s="479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26.300599999999999</v>
      </c>
      <c r="Q26" s="2"/>
      <c r="T26" s="828">
        <v>43161</v>
      </c>
      <c r="U26" t="s">
        <v>971</v>
      </c>
      <c r="W26" s="134"/>
    </row>
    <row r="27" spans="2:23" x14ac:dyDescent="0.25">
      <c r="B27" s="479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26.0548</v>
      </c>
      <c r="Q27" s="2"/>
      <c r="T27" s="828"/>
      <c r="W27" s="134"/>
    </row>
    <row r="28" spans="2:23" x14ac:dyDescent="0.25">
      <c r="B28" s="479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25.809000000000001</v>
      </c>
      <c r="Q28" s="2"/>
      <c r="T28" s="828">
        <v>43167</v>
      </c>
      <c r="U28" t="s">
        <v>1000</v>
      </c>
      <c r="W28" s="134"/>
    </row>
    <row r="29" spans="2:23" x14ac:dyDescent="0.25">
      <c r="B29" s="479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25.563199999999998</v>
      </c>
      <c r="Q29" s="2"/>
      <c r="T29" s="827"/>
      <c r="W29" s="134"/>
    </row>
    <row r="30" spans="2:23" x14ac:dyDescent="0.25">
      <c r="B30" s="479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25.317399999999999</v>
      </c>
      <c r="Q30" s="2"/>
      <c r="T30" s="827">
        <v>43196</v>
      </c>
      <c r="U30" t="s">
        <v>993</v>
      </c>
      <c r="W30" s="134"/>
    </row>
    <row r="31" spans="2:23" x14ac:dyDescent="0.25">
      <c r="B31" s="480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O31" s="81">
        <v>1.02</v>
      </c>
      <c r="P31" s="81">
        <f t="shared" si="2"/>
        <v>25.0716</v>
      </c>
      <c r="Q31" s="2"/>
      <c r="U31" t="s">
        <v>1016</v>
      </c>
      <c r="W31" s="134"/>
    </row>
    <row r="32" spans="2:23" x14ac:dyDescent="0.25">
      <c r="B32" s="480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24.825799999999997</v>
      </c>
      <c r="Q32" s="2"/>
      <c r="T32" s="83">
        <v>43200</v>
      </c>
      <c r="U32" t="s">
        <v>1039</v>
      </c>
      <c r="W32" s="134"/>
    </row>
    <row r="33" spans="1:23" x14ac:dyDescent="0.25">
      <c r="B33" s="480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O33" s="81">
        <v>1</v>
      </c>
      <c r="P33" s="81">
        <f t="shared" si="2"/>
        <v>24.58</v>
      </c>
      <c r="Q33" s="2"/>
      <c r="T33" s="83">
        <v>43203</v>
      </c>
      <c r="U33" t="s">
        <v>1038</v>
      </c>
      <c r="W33" s="134"/>
    </row>
    <row r="34" spans="1:23" x14ac:dyDescent="0.25">
      <c r="B34" s="741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24.334199999999999</v>
      </c>
      <c r="Q34" s="2"/>
      <c r="W34" s="134"/>
    </row>
    <row r="35" spans="1:23" x14ac:dyDescent="0.25">
      <c r="B35" s="741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24.088399999999996</v>
      </c>
      <c r="Q35" s="2"/>
      <c r="W35" s="134"/>
    </row>
    <row r="36" spans="1:23" x14ac:dyDescent="0.25">
      <c r="B36" s="29"/>
      <c r="C36" s="4"/>
      <c r="D36" s="3"/>
      <c r="E36" s="3"/>
      <c r="F36" s="3"/>
      <c r="G36" s="4"/>
      <c r="O36" s="81">
        <v>0.97</v>
      </c>
      <c r="P36" s="81">
        <f t="shared" si="2"/>
        <v>23.842599999999997</v>
      </c>
      <c r="W36" s="134"/>
    </row>
    <row r="37" spans="1:23" x14ac:dyDescent="0.25">
      <c r="B37" s="29"/>
      <c r="C37" s="4"/>
      <c r="D37" s="3"/>
      <c r="E37" s="3"/>
      <c r="F37" s="3"/>
      <c r="G37" s="4"/>
      <c r="O37" s="81">
        <v>0.96</v>
      </c>
      <c r="P37" s="81">
        <f t="shared" si="2"/>
        <v>23.596799999999998</v>
      </c>
      <c r="W37" s="134"/>
    </row>
    <row r="38" spans="1:23" x14ac:dyDescent="0.25">
      <c r="B38" s="29"/>
      <c r="O38" s="81">
        <v>0.95</v>
      </c>
      <c r="P38" s="81">
        <f t="shared" si="2"/>
        <v>23.350999999999996</v>
      </c>
      <c r="W38" s="134"/>
    </row>
    <row r="39" spans="1:23" x14ac:dyDescent="0.25">
      <c r="B39" s="29"/>
      <c r="O39" s="81">
        <v>0.94</v>
      </c>
      <c r="P39" s="81">
        <f t="shared" si="2"/>
        <v>23.105199999999996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22.859400000000001</v>
      </c>
      <c r="W40" s="134"/>
    </row>
    <row r="41" spans="1:23" x14ac:dyDescent="0.25">
      <c r="A41" s="31" t="s">
        <v>81</v>
      </c>
      <c r="B41" s="14"/>
      <c r="C41" s="14">
        <f>SUM(C2:C36)</f>
        <v>7800</v>
      </c>
      <c r="D41" s="18"/>
      <c r="E41" s="18"/>
      <c r="F41" s="18">
        <f>SUM(F2:F40)</f>
        <v>205976.06999999998</v>
      </c>
      <c r="G41" s="14"/>
      <c r="H41" s="14">
        <f>SUM(H2:H40)</f>
        <v>5800</v>
      </c>
      <c r="I41" s="18"/>
      <c r="J41" s="18"/>
      <c r="K41" s="18">
        <f>SUM(K2:K40)</f>
        <v>147892.76999999999</v>
      </c>
      <c r="L41" s="14"/>
      <c r="M41" s="18">
        <f>SUM(M2:M40)</f>
        <v>968.4</v>
      </c>
      <c r="O41" s="81">
        <v>0.92</v>
      </c>
      <c r="P41" s="81">
        <f t="shared" si="2"/>
        <v>22.613599999999998</v>
      </c>
      <c r="W41" s="134"/>
    </row>
    <row r="42" spans="1:23" ht="15.75" thickBot="1" x14ac:dyDescent="0.3">
      <c r="A42" s="344" t="s">
        <v>194</v>
      </c>
      <c r="B42" s="345"/>
      <c r="C42" s="346">
        <f>SumByColor($A$42,C2:C40)</f>
        <v>5800</v>
      </c>
      <c r="D42" s="346"/>
      <c r="E42" s="346"/>
      <c r="F42" s="347">
        <f>SumByColor($A$42,F2:F40)</f>
        <v>144791</v>
      </c>
      <c r="G42" s="347"/>
      <c r="H42" s="753">
        <f>SumByColor($A$42,H2:H40)</f>
        <v>5800</v>
      </c>
      <c r="I42" s="346"/>
      <c r="J42" s="346"/>
      <c r="K42" s="347">
        <f>SumByColor($A$42,K2:K40)</f>
        <v>147895</v>
      </c>
      <c r="L42" s="346"/>
      <c r="M42" s="347">
        <f>SumByColor($A$42,M2:M40)</f>
        <v>969</v>
      </c>
      <c r="O42" s="81">
        <v>0.91</v>
      </c>
      <c r="P42" s="81">
        <f t="shared" si="2"/>
        <v>22.367799999999999</v>
      </c>
      <c r="W42" s="134"/>
    </row>
    <row r="43" spans="1:23" x14ac:dyDescent="0.25">
      <c r="O43" s="81">
        <v>0.9</v>
      </c>
      <c r="P43" s="81">
        <f t="shared" si="2"/>
        <v>22.122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5" t="s">
        <v>113</v>
      </c>
      <c r="C47" s="185" t="s">
        <v>146</v>
      </c>
      <c r="D47" s="186" t="s">
        <v>145</v>
      </c>
      <c r="E47" s="188" t="s">
        <v>147</v>
      </c>
      <c r="F47" s="188" t="s">
        <v>65</v>
      </c>
      <c r="G47" s="223" t="s">
        <v>151</v>
      </c>
      <c r="H47" s="223" t="s">
        <v>88</v>
      </c>
      <c r="I47" s="223" t="s">
        <v>154</v>
      </c>
      <c r="J47" s="223" t="s">
        <v>504</v>
      </c>
      <c r="K47" s="223" t="s">
        <v>150</v>
      </c>
      <c r="L47" s="223" t="s">
        <v>742</v>
      </c>
      <c r="W47" s="134"/>
    </row>
    <row r="48" spans="1:23" x14ac:dyDescent="0.25">
      <c r="A48" t="s">
        <v>339</v>
      </c>
      <c r="B48" s="187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5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681</v>
      </c>
      <c r="S48" s="22" t="s">
        <v>680</v>
      </c>
      <c r="W48" s="134"/>
    </row>
    <row r="49" spans="1:23" x14ac:dyDescent="0.25">
      <c r="A49" t="s">
        <v>339</v>
      </c>
      <c r="B49" s="187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5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370</v>
      </c>
      <c r="B50" s="187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5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396</v>
      </c>
      <c r="B51" s="187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5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412</v>
      </c>
      <c r="B52" s="187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5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371</v>
      </c>
      <c r="B53" s="187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5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436</v>
      </c>
      <c r="B54" s="187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5">
        <f t="shared" si="5"/>
        <v>2.7209959849797166E-3</v>
      </c>
      <c r="I54" s="39" t="s">
        <v>444</v>
      </c>
      <c r="J54" s="39"/>
      <c r="K54" s="39"/>
      <c r="L54" s="39"/>
    </row>
    <row r="55" spans="1:23" x14ac:dyDescent="0.25">
      <c r="A55" t="s">
        <v>340</v>
      </c>
      <c r="B55" s="187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5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468</v>
      </c>
      <c r="B56" s="187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5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473</v>
      </c>
      <c r="B57" s="187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5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7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5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7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5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7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5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7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5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7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5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7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5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7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7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5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7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5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7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5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7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5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7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5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7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5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7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5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7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5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7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5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7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5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7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5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7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5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7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5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7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5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7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5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7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5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7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5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7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5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7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5">
        <f t="shared" ref="H83" si="86">(E83-D83)/D83</f>
        <v>-0.11797313160297374</v>
      </c>
      <c r="I83" s="196" t="s">
        <v>791</v>
      </c>
      <c r="J83" s="39"/>
      <c r="K83" s="39">
        <v>-3679</v>
      </c>
      <c r="L83" s="39"/>
    </row>
    <row r="84" spans="1:13" x14ac:dyDescent="0.25">
      <c r="A84">
        <v>1400</v>
      </c>
      <c r="B84" s="187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5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7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5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7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5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7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5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7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5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7">
        <v>43104</v>
      </c>
      <c r="C89" s="468">
        <v>1500</v>
      </c>
      <c r="D89" s="470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5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7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5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7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5">
        <f t="shared" ref="H91" si="110">(E91-D91)/D91</f>
        <v>-0.1165723524656427</v>
      </c>
      <c r="I91" s="39"/>
      <c r="J91" s="39"/>
      <c r="K91" s="39">
        <v>-2938</v>
      </c>
      <c r="L91" s="39"/>
      <c r="M91" t="s">
        <v>867</v>
      </c>
    </row>
    <row r="92" spans="1:13" x14ac:dyDescent="0.25">
      <c r="A92">
        <v>800</v>
      </c>
      <c r="B92" s="187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5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7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5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7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5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7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5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7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5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7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5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7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5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7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5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7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5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7">
        <v>43133</v>
      </c>
      <c r="C101" s="468">
        <v>1500</v>
      </c>
      <c r="D101" s="470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5">
        <f t="shared" ref="H101" si="137">(E101-D101)/D101</f>
        <v>-3.6548123337602191E-2</v>
      </c>
      <c r="I101" s="196" t="s">
        <v>941</v>
      </c>
      <c r="J101" s="39"/>
      <c r="K101" s="39">
        <v>78</v>
      </c>
      <c r="L101" s="39"/>
    </row>
    <row r="102" spans="1:12" x14ac:dyDescent="0.25">
      <c r="A102">
        <v>400</v>
      </c>
      <c r="B102" s="187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5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7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5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7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5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7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5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7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5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7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5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7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5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7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5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7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5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7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5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7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5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7">
        <v>43188</v>
      </c>
      <c r="C113" s="10">
        <v>2800</v>
      </c>
      <c r="D113" s="39">
        <v>27.385000000000002</v>
      </c>
      <c r="E113" s="39">
        <v>23.94</v>
      </c>
      <c r="F113" s="39">
        <f t="shared" ref="F113" si="171">C113*(E113-D113)</f>
        <v>-9646</v>
      </c>
      <c r="G113" s="39">
        <f t="shared" ref="G113" si="172">D113*C113</f>
        <v>76678</v>
      </c>
      <c r="H113" s="225">
        <f t="shared" ref="H113" si="173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A114">
        <v>300</v>
      </c>
      <c r="B114" s="187">
        <v>43194</v>
      </c>
      <c r="C114" s="10">
        <v>2500</v>
      </c>
      <c r="D114" s="39">
        <v>27.78</v>
      </c>
      <c r="E114" s="39">
        <v>24.08</v>
      </c>
      <c r="F114" s="39">
        <f t="shared" ref="F114" si="174">C114*(E114-D114)</f>
        <v>-9250.0000000000073</v>
      </c>
      <c r="G114" s="39">
        <f t="shared" ref="G114" si="175">D114*C114</f>
        <v>69450</v>
      </c>
      <c r="H114" s="225">
        <f t="shared" ref="H114" si="176">(E114-D114)/D114</f>
        <v>-0.13318934485241191</v>
      </c>
      <c r="I114" s="39"/>
      <c r="J114" s="39"/>
      <c r="K114" s="39">
        <v>-7507</v>
      </c>
      <c r="L114" s="39"/>
    </row>
    <row r="115" spans="1:12" x14ac:dyDescent="0.25">
      <c r="A115">
        <v>1500</v>
      </c>
      <c r="B115" s="187">
        <v>43196</v>
      </c>
      <c r="C115" s="10">
        <v>2500</v>
      </c>
      <c r="D115" s="39">
        <v>27.78</v>
      </c>
      <c r="E115" s="39">
        <v>23.77</v>
      </c>
      <c r="F115" s="39">
        <f t="shared" ref="F115" si="177">C115*(E115-D115)</f>
        <v>-10025.000000000004</v>
      </c>
      <c r="G115" s="39">
        <f t="shared" ref="G115" si="178">D115*C115</f>
        <v>69450</v>
      </c>
      <c r="H115" s="225">
        <f t="shared" ref="H115" si="179">(E115-D115)/D115</f>
        <v>-0.14434845212383016</v>
      </c>
      <c r="I115" s="39"/>
      <c r="J115" s="39">
        <v>42</v>
      </c>
      <c r="K115" s="39">
        <v>-8282</v>
      </c>
      <c r="L115" s="39">
        <v>11.6</v>
      </c>
    </row>
    <row r="116" spans="1:12" x14ac:dyDescent="0.25">
      <c r="A116">
        <v>1000</v>
      </c>
      <c r="B116" s="187">
        <v>43208</v>
      </c>
      <c r="C116" s="10">
        <v>2000</v>
      </c>
      <c r="D116" s="39">
        <v>28.556999999999999</v>
      </c>
      <c r="E116" s="39">
        <v>24.58</v>
      </c>
      <c r="F116" s="39">
        <f t="shared" ref="F116" si="180">C116*(E116-D116)</f>
        <v>-7954.0000000000009</v>
      </c>
      <c r="G116" s="39">
        <f t="shared" ref="G116" si="181">D116*C116</f>
        <v>57114</v>
      </c>
      <c r="H116" s="225">
        <f t="shared" ref="H116" si="182">(E116-D116)/D116</f>
        <v>-0.13926532899114055</v>
      </c>
      <c r="I116" s="39"/>
      <c r="J116" s="39"/>
      <c r="K116" s="39">
        <v>-6207</v>
      </c>
      <c r="L116" s="39"/>
    </row>
    <row r="117" spans="1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1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19" spans="1:12" x14ac:dyDescent="0.25">
      <c r="B119" s="10"/>
      <c r="C119" s="10"/>
      <c r="D119" s="39"/>
      <c r="E119" s="39"/>
      <c r="F119" s="39"/>
      <c r="G119" s="10"/>
      <c r="H119" s="10"/>
      <c r="I119" s="39"/>
      <c r="J119" s="39"/>
      <c r="K119" s="39"/>
      <c r="L119" s="39"/>
    </row>
    <row r="120" spans="1:12" x14ac:dyDescent="0.25">
      <c r="B120" s="10"/>
      <c r="C120" s="10"/>
      <c r="D120" s="39"/>
      <c r="E120" s="39"/>
      <c r="F120" s="39"/>
      <c r="G120" s="10"/>
      <c r="H120" s="10"/>
      <c r="I120" s="39"/>
      <c r="J120" s="39"/>
      <c r="K120" s="39"/>
      <c r="L120" s="39"/>
    </row>
    <row r="121" spans="1:12" x14ac:dyDescent="0.25">
      <c r="B121" s="10"/>
      <c r="C121" s="10"/>
      <c r="D121" s="39"/>
      <c r="E121" s="39"/>
      <c r="F121" s="39"/>
      <c r="G121" s="10"/>
      <c r="H121" s="10"/>
      <c r="I121" s="39"/>
      <c r="J121" s="39"/>
      <c r="K121" s="39"/>
      <c r="L121" s="39"/>
    </row>
    <row r="123" spans="1:12" x14ac:dyDescent="0.25">
      <c r="B123" s="364">
        <v>42484</v>
      </c>
      <c r="C123" s="365">
        <v>100</v>
      </c>
      <c r="D123" s="366">
        <v>35.917999999999999</v>
      </c>
      <c r="E123" s="366">
        <v>35.58</v>
      </c>
      <c r="F123" s="366">
        <f t="shared" ref="F123:F136" si="183">C123*(E123-D123)</f>
        <v>-33.800000000000097</v>
      </c>
      <c r="G123" s="366">
        <f t="shared" ref="G123:G136" si="184">D123*C123</f>
        <v>3591.7999999999997</v>
      </c>
      <c r="H123" s="367">
        <f t="shared" ref="H123:H136" si="185">(E123-D123)/D123</f>
        <v>-9.410323514672336E-3</v>
      </c>
      <c r="I123" s="366"/>
    </row>
    <row r="124" spans="1:12" x14ac:dyDescent="0.25">
      <c r="B124" s="364">
        <v>42485</v>
      </c>
      <c r="C124" s="365">
        <v>100</v>
      </c>
      <c r="D124" s="366">
        <v>35.917999999999999</v>
      </c>
      <c r="E124" s="366">
        <v>36.770000000000003</v>
      </c>
      <c r="F124" s="366">
        <f t="shared" si="183"/>
        <v>85.200000000000387</v>
      </c>
      <c r="G124" s="366">
        <f t="shared" si="184"/>
        <v>3591.7999999999997</v>
      </c>
      <c r="H124" s="367">
        <f t="shared" si="185"/>
        <v>2.3720697143493622E-2</v>
      </c>
      <c r="I124" s="366"/>
    </row>
    <row r="125" spans="1:12" x14ac:dyDescent="0.25">
      <c r="B125" s="364">
        <v>42498</v>
      </c>
      <c r="C125" s="365">
        <v>100</v>
      </c>
      <c r="D125" s="366">
        <v>35.917999999999999</v>
      </c>
      <c r="E125" s="366">
        <v>34.549999999999997</v>
      </c>
      <c r="F125" s="366">
        <f t="shared" si="183"/>
        <v>-136.80000000000021</v>
      </c>
      <c r="G125" s="366">
        <f t="shared" si="184"/>
        <v>3591.7999999999997</v>
      </c>
      <c r="H125" s="367">
        <f t="shared" si="185"/>
        <v>-3.8086753159975562E-2</v>
      </c>
      <c r="I125" s="366"/>
    </row>
    <row r="126" spans="1:12" x14ac:dyDescent="0.25">
      <c r="B126" s="364">
        <v>42508</v>
      </c>
      <c r="C126" s="365">
        <v>140</v>
      </c>
      <c r="D126" s="366">
        <v>35.423999999999999</v>
      </c>
      <c r="E126" s="366">
        <v>34.369999999999997</v>
      </c>
      <c r="F126" s="366">
        <f t="shared" si="183"/>
        <v>-147.56000000000029</v>
      </c>
      <c r="G126" s="366">
        <f t="shared" si="184"/>
        <v>4959.3599999999997</v>
      </c>
      <c r="H126" s="367">
        <f t="shared" si="185"/>
        <v>-2.9753839205058776E-2</v>
      </c>
      <c r="I126" s="366"/>
    </row>
    <row r="127" spans="1:12" x14ac:dyDescent="0.25">
      <c r="B127" s="364">
        <v>42509</v>
      </c>
      <c r="C127" s="365">
        <v>240</v>
      </c>
      <c r="D127" s="366">
        <v>35.034999999999997</v>
      </c>
      <c r="E127" s="366">
        <v>34.83</v>
      </c>
      <c r="F127" s="366">
        <f t="shared" si="183"/>
        <v>-49.199999999999591</v>
      </c>
      <c r="G127" s="366">
        <f t="shared" si="184"/>
        <v>8408.4</v>
      </c>
      <c r="H127" s="367">
        <f t="shared" si="185"/>
        <v>-5.8512915655772315E-3</v>
      </c>
      <c r="I127" s="366"/>
    </row>
    <row r="128" spans="1:12" x14ac:dyDescent="0.25">
      <c r="B128" s="364">
        <v>42514</v>
      </c>
      <c r="C128" s="365">
        <v>200</v>
      </c>
      <c r="D128" s="366">
        <v>34.972000000000001</v>
      </c>
      <c r="E128" s="366">
        <v>35.520000000000003</v>
      </c>
      <c r="F128" s="366">
        <f t="shared" si="183"/>
        <v>109.60000000000036</v>
      </c>
      <c r="G128" s="366">
        <f t="shared" si="184"/>
        <v>6994.4000000000005</v>
      </c>
      <c r="H128" s="367">
        <f t="shared" si="185"/>
        <v>1.5669678600022927E-2</v>
      </c>
      <c r="I128" s="366"/>
    </row>
    <row r="129" spans="2:9" x14ac:dyDescent="0.25">
      <c r="B129" s="364">
        <v>42515</v>
      </c>
      <c r="C129" s="365">
        <v>200</v>
      </c>
      <c r="D129" s="366">
        <v>34.972000000000001</v>
      </c>
      <c r="E129" s="366">
        <v>34.94</v>
      </c>
      <c r="F129" s="366">
        <f t="shared" si="183"/>
        <v>-6.4000000000007162</v>
      </c>
      <c r="G129" s="366">
        <f t="shared" si="184"/>
        <v>6994.4000000000005</v>
      </c>
      <c r="H129" s="367">
        <f t="shared" si="185"/>
        <v>-9.150177284685914E-4</v>
      </c>
      <c r="I129" s="366"/>
    </row>
    <row r="130" spans="2:9" x14ac:dyDescent="0.25">
      <c r="B130" s="364">
        <v>42521</v>
      </c>
      <c r="C130" s="365">
        <v>160</v>
      </c>
      <c r="D130" s="366">
        <v>34.718000000000004</v>
      </c>
      <c r="E130" s="366">
        <v>35.76</v>
      </c>
      <c r="F130" s="366">
        <f t="shared" si="183"/>
        <v>166.71999999999912</v>
      </c>
      <c r="G130" s="366">
        <f t="shared" si="184"/>
        <v>5554.880000000001</v>
      </c>
      <c r="H130" s="367">
        <f t="shared" si="185"/>
        <v>3.0013249611152554E-2</v>
      </c>
      <c r="I130" s="366"/>
    </row>
    <row r="131" spans="2:9" x14ac:dyDescent="0.25">
      <c r="B131" s="364">
        <v>42527</v>
      </c>
      <c r="C131" s="365">
        <v>160</v>
      </c>
      <c r="D131" s="366">
        <v>34.652000000000001</v>
      </c>
      <c r="E131" s="366">
        <v>36.020000000000003</v>
      </c>
      <c r="F131" s="366">
        <f t="shared" si="183"/>
        <v>218.88000000000034</v>
      </c>
      <c r="G131" s="366">
        <f t="shared" si="184"/>
        <v>5544.32</v>
      </c>
      <c r="H131" s="367">
        <f t="shared" si="185"/>
        <v>3.9478240794182211E-2</v>
      </c>
      <c r="I131" s="366"/>
    </row>
    <row r="132" spans="2:9" x14ac:dyDescent="0.25">
      <c r="B132" s="364">
        <v>42498</v>
      </c>
      <c r="C132" s="365">
        <v>160</v>
      </c>
      <c r="D132" s="366">
        <v>34.652000000000001</v>
      </c>
      <c r="E132" s="366">
        <v>36.520000000000003</v>
      </c>
      <c r="F132" s="366">
        <f t="shared" si="183"/>
        <v>298.88000000000034</v>
      </c>
      <c r="G132" s="366">
        <f t="shared" si="184"/>
        <v>5544.32</v>
      </c>
      <c r="H132" s="367">
        <f t="shared" si="185"/>
        <v>5.3907422371003176E-2</v>
      </c>
      <c r="I132" s="366"/>
    </row>
    <row r="133" spans="2:9" x14ac:dyDescent="0.25">
      <c r="B133" s="364">
        <v>42531</v>
      </c>
      <c r="C133" s="365">
        <v>60</v>
      </c>
      <c r="D133" s="366">
        <v>30.757000000000001</v>
      </c>
      <c r="E133" s="366">
        <v>36.81</v>
      </c>
      <c r="F133" s="366">
        <f t="shared" si="183"/>
        <v>363.18000000000006</v>
      </c>
      <c r="G133" s="366">
        <f t="shared" si="184"/>
        <v>1845.42</v>
      </c>
      <c r="H133" s="367">
        <f t="shared" si="185"/>
        <v>0.1968007282894951</v>
      </c>
      <c r="I133" s="366"/>
    </row>
    <row r="134" spans="2:9" x14ac:dyDescent="0.25">
      <c r="B134" s="364">
        <v>42536</v>
      </c>
      <c r="C134" s="365">
        <v>160</v>
      </c>
      <c r="D134" s="366">
        <v>33.652999999999999</v>
      </c>
      <c r="E134" s="366">
        <v>35.71</v>
      </c>
      <c r="F134" s="366">
        <f t="shared" si="183"/>
        <v>329.12000000000035</v>
      </c>
      <c r="G134" s="366">
        <f t="shared" si="184"/>
        <v>5384.48</v>
      </c>
      <c r="H134" s="367">
        <f t="shared" si="185"/>
        <v>6.1123822541823976E-2</v>
      </c>
      <c r="I134" s="366"/>
    </row>
    <row r="135" spans="2:9" x14ac:dyDescent="0.25">
      <c r="B135" s="364">
        <v>42542</v>
      </c>
      <c r="C135" s="365">
        <v>160</v>
      </c>
      <c r="D135" s="366">
        <v>33.65</v>
      </c>
      <c r="E135" s="366">
        <v>34.71</v>
      </c>
      <c r="F135" s="366">
        <f t="shared" si="183"/>
        <v>169.60000000000036</v>
      </c>
      <c r="G135" s="366">
        <f t="shared" si="184"/>
        <v>5384</v>
      </c>
      <c r="H135" s="367">
        <f t="shared" si="185"/>
        <v>3.1500742942050589E-2</v>
      </c>
      <c r="I135" s="366"/>
    </row>
    <row r="136" spans="2:9" x14ac:dyDescent="0.25">
      <c r="B136" s="364">
        <v>42548</v>
      </c>
      <c r="C136" s="365">
        <v>160</v>
      </c>
      <c r="D136" s="366">
        <v>33.652999999999999</v>
      </c>
      <c r="E136" s="366">
        <v>36.619999999999997</v>
      </c>
      <c r="F136" s="366">
        <f t="shared" si="183"/>
        <v>474.7199999999998</v>
      </c>
      <c r="G136" s="366">
        <f t="shared" si="184"/>
        <v>5384.48</v>
      </c>
      <c r="H136" s="367">
        <f t="shared" si="185"/>
        <v>8.8164502421775148E-2</v>
      </c>
      <c r="I136" s="366"/>
    </row>
    <row r="137" spans="2:9" x14ac:dyDescent="0.25">
      <c r="B137" s="364">
        <v>42556</v>
      </c>
      <c r="C137" s="365">
        <v>160</v>
      </c>
      <c r="D137" s="366">
        <v>33.652999999999999</v>
      </c>
      <c r="E137" s="366">
        <v>37.33</v>
      </c>
      <c r="F137" s="366">
        <f t="shared" ref="F137:F179" si="186">C137*(E137-D137)</f>
        <v>588.31999999999994</v>
      </c>
      <c r="G137" s="366">
        <f t="shared" ref="G137:G150" si="187">D137*C137</f>
        <v>5384.48</v>
      </c>
      <c r="H137" s="367">
        <f t="shared" ref="H137:H179" si="188">(E137-D137)/D137</f>
        <v>0.10926217573470418</v>
      </c>
      <c r="I137" s="366"/>
    </row>
    <row r="138" spans="2:9" x14ac:dyDescent="0.25">
      <c r="B138" s="364">
        <v>42559</v>
      </c>
      <c r="C138" s="365">
        <v>160</v>
      </c>
      <c r="D138" s="366">
        <v>33.652999999999999</v>
      </c>
      <c r="E138" s="366">
        <v>37.86</v>
      </c>
      <c r="F138" s="366">
        <f t="shared" si="186"/>
        <v>673.12000000000012</v>
      </c>
      <c r="G138" s="366">
        <f t="shared" si="187"/>
        <v>5384.48</v>
      </c>
      <c r="H138" s="367">
        <f t="shared" si="188"/>
        <v>0.12501114313731318</v>
      </c>
      <c r="I138" s="366"/>
    </row>
    <row r="139" spans="2:9" x14ac:dyDescent="0.25">
      <c r="B139" s="364">
        <v>42563</v>
      </c>
      <c r="C139" s="365">
        <v>160</v>
      </c>
      <c r="D139" s="366">
        <v>33.652999999999999</v>
      </c>
      <c r="E139" s="366">
        <v>37.39</v>
      </c>
      <c r="F139" s="366">
        <f t="shared" si="186"/>
        <v>597.9200000000003</v>
      </c>
      <c r="G139" s="366">
        <f t="shared" si="187"/>
        <v>5384.48</v>
      </c>
      <c r="H139" s="367">
        <f t="shared" si="188"/>
        <v>0.11104507770481092</v>
      </c>
      <c r="I139" s="366"/>
    </row>
    <row r="140" spans="2:9" x14ac:dyDescent="0.25">
      <c r="B140" s="364">
        <v>42566</v>
      </c>
      <c r="C140" s="365">
        <v>160</v>
      </c>
      <c r="D140" s="366">
        <v>33.652999999999999</v>
      </c>
      <c r="E140" s="366">
        <v>36.71</v>
      </c>
      <c r="F140" s="366">
        <f t="shared" si="186"/>
        <v>489.12000000000035</v>
      </c>
      <c r="G140" s="366">
        <f t="shared" si="187"/>
        <v>5384.48</v>
      </c>
      <c r="H140" s="367">
        <f t="shared" si="188"/>
        <v>9.0838855376935257E-2</v>
      </c>
      <c r="I140" s="366"/>
    </row>
    <row r="141" spans="2:9" x14ac:dyDescent="0.25">
      <c r="B141" s="364">
        <v>42570</v>
      </c>
      <c r="C141" s="365">
        <v>160</v>
      </c>
      <c r="D141" s="366">
        <v>33.652999999999999</v>
      </c>
      <c r="E141" s="366">
        <v>36.21</v>
      </c>
      <c r="F141" s="366">
        <f t="shared" si="186"/>
        <v>409.12000000000035</v>
      </c>
      <c r="G141" s="366">
        <f t="shared" si="187"/>
        <v>5384.48</v>
      </c>
      <c r="H141" s="367">
        <f t="shared" si="188"/>
        <v>7.5981338959379613E-2</v>
      </c>
      <c r="I141" s="366"/>
    </row>
    <row r="142" spans="2:9" x14ac:dyDescent="0.25">
      <c r="B142" s="364">
        <v>42571</v>
      </c>
      <c r="C142" s="365">
        <v>160</v>
      </c>
      <c r="D142" s="366">
        <v>33.652999999999999</v>
      </c>
      <c r="E142" s="366">
        <v>36.4</v>
      </c>
      <c r="F142" s="366">
        <f t="shared" si="186"/>
        <v>439.52</v>
      </c>
      <c r="G142" s="366">
        <f t="shared" si="187"/>
        <v>5384.48</v>
      </c>
      <c r="H142" s="367">
        <f t="shared" si="188"/>
        <v>8.16271951980507E-2</v>
      </c>
      <c r="I142" s="366"/>
    </row>
    <row r="143" spans="2:9" x14ac:dyDescent="0.25">
      <c r="B143" s="364">
        <v>42572</v>
      </c>
      <c r="C143" s="365">
        <v>160</v>
      </c>
      <c r="D143" s="366">
        <v>33.652999999999999</v>
      </c>
      <c r="E143" s="366">
        <v>35.96</v>
      </c>
      <c r="F143" s="366">
        <f t="shared" si="186"/>
        <v>369.12000000000035</v>
      </c>
      <c r="G143" s="366">
        <f t="shared" si="187"/>
        <v>5384.48</v>
      </c>
      <c r="H143" s="367">
        <f t="shared" si="188"/>
        <v>6.8552580750601791E-2</v>
      </c>
      <c r="I143" s="366"/>
    </row>
    <row r="144" spans="2:9" x14ac:dyDescent="0.25">
      <c r="B144" s="364">
        <v>42576</v>
      </c>
      <c r="C144" s="365">
        <v>160</v>
      </c>
      <c r="D144" s="366">
        <v>33.652999999999999</v>
      </c>
      <c r="E144" s="366">
        <v>35.79</v>
      </c>
      <c r="F144" s="366">
        <f t="shared" si="186"/>
        <v>341.92000000000007</v>
      </c>
      <c r="G144" s="366">
        <f t="shared" si="187"/>
        <v>5384.48</v>
      </c>
      <c r="H144" s="367">
        <f t="shared" si="188"/>
        <v>6.3501025168632833E-2</v>
      </c>
      <c r="I144" s="366"/>
    </row>
    <row r="145" spans="2:9" x14ac:dyDescent="0.25">
      <c r="B145" s="364">
        <v>42577</v>
      </c>
      <c r="C145" s="365">
        <v>160</v>
      </c>
      <c r="D145" s="366">
        <v>33.652999999999999</v>
      </c>
      <c r="E145" s="366">
        <v>36.42</v>
      </c>
      <c r="F145" s="366">
        <f t="shared" si="186"/>
        <v>442.72000000000048</v>
      </c>
      <c r="G145" s="366">
        <f t="shared" si="187"/>
        <v>5384.48</v>
      </c>
      <c r="H145" s="367">
        <f t="shared" si="188"/>
        <v>8.222149585475301E-2</v>
      </c>
      <c r="I145" s="366"/>
    </row>
    <row r="146" spans="2:9" x14ac:dyDescent="0.25">
      <c r="B146" s="364">
        <v>42579</v>
      </c>
      <c r="C146" s="365">
        <v>230</v>
      </c>
      <c r="D146" s="366">
        <v>34.006</v>
      </c>
      <c r="E146" s="366">
        <v>34.4</v>
      </c>
      <c r="F146" s="366">
        <f t="shared" si="186"/>
        <v>90.619999999999621</v>
      </c>
      <c r="G146" s="366">
        <f t="shared" si="187"/>
        <v>7821.38</v>
      </c>
      <c r="H146" s="367">
        <f t="shared" si="188"/>
        <v>1.1586190672234263E-2</v>
      </c>
      <c r="I146" s="366"/>
    </row>
    <row r="147" spans="2:9" x14ac:dyDescent="0.25">
      <c r="B147" s="364">
        <v>42580</v>
      </c>
      <c r="C147" s="365">
        <v>260</v>
      </c>
      <c r="D147" s="366">
        <v>33.991999999999997</v>
      </c>
      <c r="E147" s="366">
        <v>34.19</v>
      </c>
      <c r="F147" s="366">
        <f t="shared" si="186"/>
        <v>51.480000000000103</v>
      </c>
      <c r="G147" s="366">
        <f t="shared" si="187"/>
        <v>8837.92</v>
      </c>
      <c r="H147" s="367">
        <f t="shared" si="188"/>
        <v>5.824899976465063E-3</v>
      </c>
      <c r="I147" s="366"/>
    </row>
    <row r="148" spans="2:9" x14ac:dyDescent="0.25">
      <c r="B148" s="364">
        <v>42584</v>
      </c>
      <c r="C148" s="365">
        <v>300</v>
      </c>
      <c r="D148" s="366">
        <v>33.866</v>
      </c>
      <c r="E148" s="366">
        <v>32.61</v>
      </c>
      <c r="F148" s="366">
        <f t="shared" si="186"/>
        <v>-376.80000000000007</v>
      </c>
      <c r="G148" s="366">
        <f t="shared" si="187"/>
        <v>10159.799999999999</v>
      </c>
      <c r="H148" s="367">
        <f t="shared" si="188"/>
        <v>-3.7087344239059829E-2</v>
      </c>
      <c r="I148" s="366"/>
    </row>
    <row r="149" spans="2:9" x14ac:dyDescent="0.25">
      <c r="B149" s="364">
        <v>42586</v>
      </c>
      <c r="C149" s="365">
        <v>400</v>
      </c>
      <c r="D149" s="366">
        <v>33.520000000000003</v>
      </c>
      <c r="E149" s="366">
        <v>32.549999999999997</v>
      </c>
      <c r="F149" s="366">
        <f t="shared" si="186"/>
        <v>-388.00000000000239</v>
      </c>
      <c r="G149" s="366">
        <f t="shared" si="187"/>
        <v>13408.000000000002</v>
      </c>
      <c r="H149" s="367">
        <f t="shared" si="188"/>
        <v>-2.8937947494033587E-2</v>
      </c>
      <c r="I149" s="366"/>
    </row>
    <row r="150" spans="2:9" x14ac:dyDescent="0.25">
      <c r="B150" s="364">
        <v>42587</v>
      </c>
      <c r="C150" s="365">
        <v>400</v>
      </c>
      <c r="D150" s="366">
        <v>33.387349999999998</v>
      </c>
      <c r="E150" s="366">
        <v>32.729999999999997</v>
      </c>
      <c r="F150" s="366">
        <f t="shared" si="186"/>
        <v>-262.9400000000004</v>
      </c>
      <c r="G150" s="366">
        <f t="shared" si="187"/>
        <v>13354.939999999999</v>
      </c>
      <c r="H150" s="367">
        <f t="shared" si="188"/>
        <v>-1.9688594632398231E-2</v>
      </c>
      <c r="I150" s="366"/>
    </row>
    <row r="151" spans="2:9" x14ac:dyDescent="0.25">
      <c r="B151" s="364">
        <v>42598</v>
      </c>
      <c r="C151" s="365">
        <v>400</v>
      </c>
      <c r="D151" s="366">
        <v>33.387349999999998</v>
      </c>
      <c r="E151" s="366">
        <v>32.1</v>
      </c>
      <c r="F151" s="366">
        <f t="shared" si="186"/>
        <v>-514.93999999999858</v>
      </c>
      <c r="G151" s="366">
        <f t="shared" ref="G151:G156" si="189">D151*C151</f>
        <v>13354.939999999999</v>
      </c>
      <c r="H151" s="367">
        <f t="shared" si="188"/>
        <v>-3.8558016733882636E-2</v>
      </c>
      <c r="I151" s="366"/>
    </row>
    <row r="152" spans="2:9" x14ac:dyDescent="0.25">
      <c r="B152" s="364">
        <v>42599</v>
      </c>
      <c r="C152" s="365">
        <v>500</v>
      </c>
      <c r="D152" s="366">
        <v>33.045879999999997</v>
      </c>
      <c r="E152" s="366">
        <v>31.88</v>
      </c>
      <c r="F152" s="366">
        <f t="shared" si="186"/>
        <v>-582.93999999999892</v>
      </c>
      <c r="G152" s="366">
        <f t="shared" si="189"/>
        <v>16522.939999999999</v>
      </c>
      <c r="H152" s="367">
        <f t="shared" si="188"/>
        <v>-3.5280646180401248E-2</v>
      </c>
      <c r="I152" s="366"/>
    </row>
    <row r="153" spans="2:9" x14ac:dyDescent="0.25">
      <c r="B153" s="364">
        <v>42600</v>
      </c>
      <c r="C153" s="365">
        <v>500</v>
      </c>
      <c r="D153" s="366">
        <v>33.045879999999997</v>
      </c>
      <c r="E153" s="366">
        <v>32.46</v>
      </c>
      <c r="F153" s="366">
        <f t="shared" si="186"/>
        <v>-292.93999999999801</v>
      </c>
      <c r="G153" s="366">
        <f t="shared" si="189"/>
        <v>16522.939999999999</v>
      </c>
      <c r="H153" s="367">
        <f t="shared" si="188"/>
        <v>-1.7729290307899079E-2</v>
      </c>
      <c r="I153" s="366"/>
    </row>
    <row r="154" spans="2:9" x14ac:dyDescent="0.25">
      <c r="B154" s="364">
        <v>42601</v>
      </c>
      <c r="C154" s="365">
        <v>500</v>
      </c>
      <c r="D154" s="366">
        <v>33.045879999999997</v>
      </c>
      <c r="E154" s="366">
        <v>32.61</v>
      </c>
      <c r="F154" s="366">
        <f t="shared" si="186"/>
        <v>-217.93999999999869</v>
      </c>
      <c r="G154" s="366">
        <f t="shared" si="189"/>
        <v>16522.939999999999</v>
      </c>
      <c r="H154" s="367">
        <f t="shared" si="188"/>
        <v>-1.3190146547769266E-2</v>
      </c>
      <c r="I154" s="366"/>
    </row>
    <row r="155" spans="2:9" x14ac:dyDescent="0.25">
      <c r="B155" s="364">
        <v>42604</v>
      </c>
      <c r="C155" s="365">
        <v>500</v>
      </c>
      <c r="D155" s="366">
        <v>33.045879999999997</v>
      </c>
      <c r="E155" s="366">
        <v>32.86</v>
      </c>
      <c r="F155" s="366">
        <f t="shared" si="186"/>
        <v>-92.93999999999869</v>
      </c>
      <c r="G155" s="366">
        <f t="shared" si="189"/>
        <v>16522.939999999999</v>
      </c>
      <c r="H155" s="367">
        <f t="shared" si="188"/>
        <v>-5.624906947552839E-3</v>
      </c>
      <c r="I155" s="366"/>
    </row>
    <row r="156" spans="2:9" x14ac:dyDescent="0.25">
      <c r="B156" s="364">
        <v>42605</v>
      </c>
      <c r="C156" s="365">
        <v>500</v>
      </c>
      <c r="D156" s="366">
        <v>33.045879999999997</v>
      </c>
      <c r="E156" s="366">
        <v>32.25</v>
      </c>
      <c r="F156" s="366">
        <f t="shared" si="186"/>
        <v>-397.93999999999841</v>
      </c>
      <c r="G156" s="366">
        <f t="shared" si="189"/>
        <v>16522.939999999999</v>
      </c>
      <c r="H156" s="367">
        <f t="shared" si="188"/>
        <v>-2.4084091572080902E-2</v>
      </c>
      <c r="I156" s="366"/>
    </row>
    <row r="157" spans="2:9" x14ac:dyDescent="0.25">
      <c r="B157" s="364">
        <v>42606</v>
      </c>
      <c r="C157" s="365">
        <v>500</v>
      </c>
      <c r="D157" s="366">
        <v>33.045879999999997</v>
      </c>
      <c r="E157" s="366">
        <v>32.99</v>
      </c>
      <c r="F157" s="366">
        <f t="shared" si="186"/>
        <v>-27.939999999997411</v>
      </c>
      <c r="G157" s="366">
        <f t="shared" ref="G157:G179" si="190">D157*C157</f>
        <v>16522.939999999999</v>
      </c>
      <c r="H157" s="367">
        <f t="shared" si="188"/>
        <v>-1.6909823554402191E-3</v>
      </c>
      <c r="I157" s="366"/>
    </row>
    <row r="158" spans="2:9" x14ac:dyDescent="0.25">
      <c r="B158" s="364">
        <v>42607</v>
      </c>
      <c r="C158" s="365">
        <v>500</v>
      </c>
      <c r="D158" s="366">
        <v>33.045879999999997</v>
      </c>
      <c r="E158" s="366">
        <v>32.76</v>
      </c>
      <c r="F158" s="366">
        <f t="shared" si="186"/>
        <v>-142.9399999999994</v>
      </c>
      <c r="G158" s="366">
        <f t="shared" si="190"/>
        <v>16522.939999999999</v>
      </c>
      <c r="H158" s="367">
        <f t="shared" si="188"/>
        <v>-8.6510027876394533E-3</v>
      </c>
      <c r="I158" s="366"/>
    </row>
    <row r="159" spans="2:9" x14ac:dyDescent="0.25">
      <c r="B159" s="364">
        <v>42611</v>
      </c>
      <c r="C159" s="365">
        <v>500</v>
      </c>
      <c r="D159" s="366">
        <v>33.045879999999997</v>
      </c>
      <c r="E159" s="366">
        <v>32.33</v>
      </c>
      <c r="F159" s="366">
        <f t="shared" si="186"/>
        <v>-357.93999999999926</v>
      </c>
      <c r="G159" s="366">
        <f t="shared" si="190"/>
        <v>16522.939999999999</v>
      </c>
      <c r="H159" s="367">
        <f t="shared" si="188"/>
        <v>-2.1663214900011697E-2</v>
      </c>
      <c r="I159" s="366"/>
    </row>
    <row r="160" spans="2:9" x14ac:dyDescent="0.25">
      <c r="B160" s="364">
        <v>42612</v>
      </c>
      <c r="C160" s="365">
        <v>500</v>
      </c>
      <c r="D160" s="366">
        <v>33.045879999999997</v>
      </c>
      <c r="E160" s="366">
        <v>32.159999999999997</v>
      </c>
      <c r="F160" s="366">
        <f t="shared" si="186"/>
        <v>-442.94000000000011</v>
      </c>
      <c r="G160" s="366">
        <f t="shared" si="190"/>
        <v>16522.939999999999</v>
      </c>
      <c r="H160" s="367">
        <f t="shared" si="188"/>
        <v>-2.6807577828158919E-2</v>
      </c>
      <c r="I160" s="366"/>
    </row>
    <row r="161" spans="2:9" x14ac:dyDescent="0.25">
      <c r="B161" s="364">
        <v>42614</v>
      </c>
      <c r="C161" s="365">
        <v>500</v>
      </c>
      <c r="D161" s="366">
        <v>33.045879999999997</v>
      </c>
      <c r="E161" s="366">
        <v>31.96</v>
      </c>
      <c r="F161" s="366">
        <f t="shared" si="186"/>
        <v>-542.93999999999801</v>
      </c>
      <c r="G161" s="366">
        <f t="shared" si="190"/>
        <v>16522.939999999999</v>
      </c>
      <c r="H161" s="367">
        <f t="shared" si="188"/>
        <v>-3.2859769508331936E-2</v>
      </c>
      <c r="I161" s="366"/>
    </row>
    <row r="162" spans="2:9" x14ac:dyDescent="0.25">
      <c r="B162" s="364">
        <v>42615</v>
      </c>
      <c r="C162" s="365">
        <v>500</v>
      </c>
      <c r="D162" s="366">
        <v>32.94988</v>
      </c>
      <c r="E162" s="366">
        <v>32.5</v>
      </c>
      <c r="F162" s="366">
        <f t="shared" si="186"/>
        <v>-224.94000000000014</v>
      </c>
      <c r="G162" s="366">
        <f t="shared" si="190"/>
        <v>16474.939999999999</v>
      </c>
      <c r="H162" s="367">
        <f t="shared" si="188"/>
        <v>-1.3653463988336233E-2</v>
      </c>
      <c r="I162" s="366" t="s">
        <v>185</v>
      </c>
    </row>
    <row r="163" spans="2:9" x14ac:dyDescent="0.25">
      <c r="B163" s="364">
        <v>42619</v>
      </c>
      <c r="C163" s="365">
        <v>500</v>
      </c>
      <c r="D163" s="366">
        <v>32.94988</v>
      </c>
      <c r="E163" s="366">
        <v>32.67</v>
      </c>
      <c r="F163" s="366">
        <f t="shared" si="186"/>
        <v>-139.93999999999929</v>
      </c>
      <c r="G163" s="366">
        <f t="shared" si="190"/>
        <v>16474.939999999999</v>
      </c>
      <c r="H163" s="367">
        <f t="shared" si="188"/>
        <v>-8.4941128768905548E-3</v>
      </c>
      <c r="I163" s="366"/>
    </row>
    <row r="164" spans="2:9" x14ac:dyDescent="0.25">
      <c r="B164" s="364">
        <v>42620</v>
      </c>
      <c r="C164" s="365">
        <v>600</v>
      </c>
      <c r="D164" s="366">
        <v>32.733229999999999</v>
      </c>
      <c r="E164" s="366">
        <v>31.32</v>
      </c>
      <c r="F164" s="366">
        <f t="shared" si="186"/>
        <v>-847.93799999999919</v>
      </c>
      <c r="G164" s="366">
        <f t="shared" si="190"/>
        <v>19639.937999999998</v>
      </c>
      <c r="H164" s="367">
        <f t="shared" si="188"/>
        <v>-4.3174168879759153E-2</v>
      </c>
      <c r="I164" s="366"/>
    </row>
    <row r="165" spans="2:9" x14ac:dyDescent="0.25">
      <c r="B165" s="364">
        <v>42620</v>
      </c>
      <c r="C165" s="365">
        <v>700</v>
      </c>
      <c r="D165" s="366">
        <v>32.511339999999997</v>
      </c>
      <c r="E165" s="366">
        <v>31.32</v>
      </c>
      <c r="F165" s="366">
        <f t="shared" si="186"/>
        <v>-833.93799999999771</v>
      </c>
      <c r="G165" s="366">
        <f t="shared" si="190"/>
        <v>22757.937999999998</v>
      </c>
      <c r="H165" s="367">
        <f t="shared" si="188"/>
        <v>-3.6643829506873504E-2</v>
      </c>
      <c r="I165" s="366"/>
    </row>
    <row r="166" spans="2:9" x14ac:dyDescent="0.25">
      <c r="B166" s="364">
        <v>42621</v>
      </c>
      <c r="C166" s="365">
        <v>700</v>
      </c>
      <c r="D166" s="366">
        <v>32.511339999999997</v>
      </c>
      <c r="E166" s="366">
        <v>31.31</v>
      </c>
      <c r="F166" s="366">
        <f t="shared" si="186"/>
        <v>-840.93799999999885</v>
      </c>
      <c r="G166" s="366">
        <f t="shared" si="190"/>
        <v>22757.937999999998</v>
      </c>
      <c r="H166" s="367">
        <f t="shared" si="188"/>
        <v>-3.6951414491066759E-2</v>
      </c>
      <c r="I166" s="366"/>
    </row>
    <row r="167" spans="2:9" x14ac:dyDescent="0.25">
      <c r="B167" s="364">
        <v>42622</v>
      </c>
      <c r="C167" s="365">
        <v>700</v>
      </c>
      <c r="D167" s="366">
        <v>32.511339999999997</v>
      </c>
      <c r="E167" s="366">
        <v>31.51</v>
      </c>
      <c r="F167" s="366">
        <f t="shared" si="186"/>
        <v>-700.9379999999968</v>
      </c>
      <c r="G167" s="366">
        <f t="shared" si="190"/>
        <v>22757.937999999998</v>
      </c>
      <c r="H167" s="367">
        <f t="shared" si="188"/>
        <v>-3.0799714807202519E-2</v>
      </c>
      <c r="I167" s="366"/>
    </row>
    <row r="168" spans="2:9" x14ac:dyDescent="0.25">
      <c r="B168" s="364">
        <v>42625</v>
      </c>
      <c r="C168" s="365">
        <v>800</v>
      </c>
      <c r="D168" s="366">
        <v>32.297429999999999</v>
      </c>
      <c r="E168" s="366">
        <v>30.89</v>
      </c>
      <c r="F168" s="366">
        <f t="shared" si="186"/>
        <v>-1125.9439999999984</v>
      </c>
      <c r="G168" s="366">
        <f t="shared" si="190"/>
        <v>25837.944</v>
      </c>
      <c r="H168" s="367">
        <f t="shared" si="188"/>
        <v>-4.3577151494716394E-2</v>
      </c>
      <c r="I168" s="366"/>
    </row>
    <row r="169" spans="2:9" x14ac:dyDescent="0.25">
      <c r="B169" s="364">
        <v>42632</v>
      </c>
      <c r="C169" s="365">
        <v>800</v>
      </c>
      <c r="D169" s="366">
        <v>32.297429999999999</v>
      </c>
      <c r="E169" s="366">
        <v>30.79</v>
      </c>
      <c r="F169" s="366">
        <f t="shared" si="186"/>
        <v>-1205.9439999999995</v>
      </c>
      <c r="G169" s="366">
        <f t="shared" si="190"/>
        <v>25837.944</v>
      </c>
      <c r="H169" s="367">
        <f t="shared" si="188"/>
        <v>-4.6673373082626063E-2</v>
      </c>
      <c r="I169" s="366"/>
    </row>
    <row r="170" spans="2:9" x14ac:dyDescent="0.25">
      <c r="B170" s="364">
        <v>42633</v>
      </c>
      <c r="C170" s="365">
        <v>800</v>
      </c>
      <c r="D170" s="366">
        <v>32.297429999999999</v>
      </c>
      <c r="E170" s="366">
        <v>31.09</v>
      </c>
      <c r="F170" s="366">
        <f t="shared" si="186"/>
        <v>-965.94399999999894</v>
      </c>
      <c r="G170" s="366">
        <f t="shared" si="190"/>
        <v>25837.944</v>
      </c>
      <c r="H170" s="367">
        <f t="shared" si="188"/>
        <v>-3.7384708318897161E-2</v>
      </c>
      <c r="I170" s="366"/>
    </row>
    <row r="171" spans="2:9" x14ac:dyDescent="0.25">
      <c r="B171" s="364">
        <v>42605</v>
      </c>
      <c r="C171" s="365">
        <v>800</v>
      </c>
      <c r="D171" s="366">
        <v>32.297429999999999</v>
      </c>
      <c r="E171" s="366">
        <v>30.45</v>
      </c>
      <c r="F171" s="366">
        <f t="shared" si="186"/>
        <v>-1477.9439999999995</v>
      </c>
      <c r="G171" s="366">
        <f t="shared" si="190"/>
        <v>25837.944</v>
      </c>
      <c r="H171" s="367">
        <f t="shared" si="188"/>
        <v>-5.7200526481518785E-2</v>
      </c>
      <c r="I171" s="366"/>
    </row>
    <row r="172" spans="2:9" x14ac:dyDescent="0.25">
      <c r="B172" s="364">
        <v>42639</v>
      </c>
      <c r="C172" s="365">
        <v>900</v>
      </c>
      <c r="D172" s="366">
        <v>32.05104</v>
      </c>
      <c r="E172" s="366">
        <v>30.08</v>
      </c>
      <c r="F172" s="366">
        <f t="shared" si="186"/>
        <v>-1773.936000000002</v>
      </c>
      <c r="G172" s="366">
        <f t="shared" si="190"/>
        <v>28845.936000000002</v>
      </c>
      <c r="H172" s="367">
        <f t="shared" si="188"/>
        <v>-6.14969124246827E-2</v>
      </c>
      <c r="I172" s="366"/>
    </row>
    <row r="173" spans="2:9" x14ac:dyDescent="0.25">
      <c r="B173" s="364">
        <v>42640</v>
      </c>
      <c r="C173" s="365">
        <v>900</v>
      </c>
      <c r="D173" s="366">
        <v>32.05104</v>
      </c>
      <c r="E173" s="366">
        <v>29.9</v>
      </c>
      <c r="F173" s="366">
        <f t="shared" si="186"/>
        <v>-1935.9360000000017</v>
      </c>
      <c r="G173" s="366">
        <f t="shared" si="190"/>
        <v>28845.936000000002</v>
      </c>
      <c r="H173" s="367">
        <f t="shared" si="188"/>
        <v>-6.7112954837034985E-2</v>
      </c>
      <c r="I173" s="366"/>
    </row>
    <row r="174" spans="2:9" x14ac:dyDescent="0.25">
      <c r="B174" s="364">
        <v>42641</v>
      </c>
      <c r="C174" s="365">
        <v>900</v>
      </c>
      <c r="D174" s="366">
        <v>32.05104</v>
      </c>
      <c r="E174" s="366">
        <v>29.84</v>
      </c>
      <c r="F174" s="366">
        <f t="shared" si="186"/>
        <v>-1989.9360000000006</v>
      </c>
      <c r="G174" s="366">
        <f t="shared" si="190"/>
        <v>28845.936000000002</v>
      </c>
      <c r="H174" s="367">
        <f t="shared" si="188"/>
        <v>-6.8984968974485708E-2</v>
      </c>
      <c r="I174" s="366"/>
    </row>
    <row r="175" spans="2:9" x14ac:dyDescent="0.25">
      <c r="B175" s="364">
        <v>42643</v>
      </c>
      <c r="C175" s="365">
        <v>900</v>
      </c>
      <c r="D175" s="366">
        <v>32.05104</v>
      </c>
      <c r="E175" s="366">
        <v>29.68</v>
      </c>
      <c r="F175" s="366">
        <f t="shared" si="186"/>
        <v>-2133.9360000000006</v>
      </c>
      <c r="G175" s="366">
        <f t="shared" si="190"/>
        <v>28845.936000000002</v>
      </c>
      <c r="H175" s="367">
        <f t="shared" si="188"/>
        <v>-7.3977006674354431E-2</v>
      </c>
      <c r="I175" s="366"/>
    </row>
    <row r="176" spans="2:9" x14ac:dyDescent="0.25">
      <c r="B176" s="364">
        <v>42646</v>
      </c>
      <c r="C176" s="365">
        <v>1000</v>
      </c>
      <c r="D176" s="366">
        <v>31.78594</v>
      </c>
      <c r="E176" s="366">
        <v>29.28</v>
      </c>
      <c r="F176" s="366">
        <f t="shared" si="186"/>
        <v>-2505.9399999999991</v>
      </c>
      <c r="G176" s="366">
        <f t="shared" si="190"/>
        <v>31785.94</v>
      </c>
      <c r="H176" s="367">
        <f t="shared" si="188"/>
        <v>-7.8838001959356835E-2</v>
      </c>
      <c r="I176" s="366"/>
    </row>
    <row r="177" spans="2:9" x14ac:dyDescent="0.25">
      <c r="B177" s="364">
        <v>42648</v>
      </c>
      <c r="C177" s="365">
        <v>1000</v>
      </c>
      <c r="D177" s="366">
        <v>31.78594</v>
      </c>
      <c r="E177" s="366">
        <v>28.84</v>
      </c>
      <c r="F177" s="366">
        <f t="shared" si="186"/>
        <v>-2945.94</v>
      </c>
      <c r="G177" s="366">
        <f t="shared" si="190"/>
        <v>31785.94</v>
      </c>
      <c r="H177" s="367">
        <f t="shared" si="188"/>
        <v>-9.2680600290568724E-2</v>
      </c>
      <c r="I177" s="366"/>
    </row>
    <row r="178" spans="2:9" x14ac:dyDescent="0.25">
      <c r="B178" s="364">
        <v>42649</v>
      </c>
      <c r="C178" s="365">
        <v>1000</v>
      </c>
      <c r="D178" s="366">
        <v>31.78594</v>
      </c>
      <c r="E178" s="366">
        <v>29.37</v>
      </c>
      <c r="F178" s="366">
        <f t="shared" si="186"/>
        <v>-2415.9399999999991</v>
      </c>
      <c r="G178" s="366">
        <f t="shared" si="190"/>
        <v>31785.94</v>
      </c>
      <c r="H178" s="367">
        <f t="shared" si="188"/>
        <v>-7.6006561391608968E-2</v>
      </c>
      <c r="I178" s="366"/>
    </row>
    <row r="179" spans="2:9" x14ac:dyDescent="0.25">
      <c r="B179" s="364">
        <v>42650</v>
      </c>
      <c r="C179" s="365">
        <v>1000</v>
      </c>
      <c r="D179" s="366">
        <v>31.78594</v>
      </c>
      <c r="E179" s="366">
        <v>29</v>
      </c>
      <c r="F179" s="366">
        <f t="shared" si="186"/>
        <v>-2785.94</v>
      </c>
      <c r="G179" s="366">
        <f t="shared" si="190"/>
        <v>31785.94</v>
      </c>
      <c r="H179" s="367">
        <f t="shared" si="188"/>
        <v>-8.7646928170128049E-2</v>
      </c>
      <c r="I179" s="366"/>
    </row>
    <row r="180" spans="2:9" x14ac:dyDescent="0.25">
      <c r="B180" s="364">
        <v>42661</v>
      </c>
      <c r="C180" s="365">
        <v>1000</v>
      </c>
      <c r="D180" s="366">
        <v>31.78594</v>
      </c>
      <c r="E180" s="366">
        <v>30.64</v>
      </c>
      <c r="F180" s="366">
        <f t="shared" ref="F180:F185" si="191">C180*(E180-D180)</f>
        <v>-1145.9399999999996</v>
      </c>
      <c r="G180" s="366">
        <f t="shared" ref="G180:G185" si="192">D180*C180</f>
        <v>31785.94</v>
      </c>
      <c r="H180" s="367">
        <f t="shared" ref="H180:H185" si="193">(E180-D180)/D180</f>
        <v>-3.6051788935611138E-2</v>
      </c>
      <c r="I180" s="366"/>
    </row>
    <row r="181" spans="2:9" x14ac:dyDescent="0.25">
      <c r="B181" s="364">
        <v>42671</v>
      </c>
      <c r="C181" s="365">
        <v>900</v>
      </c>
      <c r="D181" s="366">
        <v>31.837789999999998</v>
      </c>
      <c r="E181" s="366">
        <v>31.26</v>
      </c>
      <c r="F181" s="366">
        <f t="shared" si="191"/>
        <v>-520.01099999999701</v>
      </c>
      <c r="G181" s="366">
        <f t="shared" si="192"/>
        <v>28654.010999999999</v>
      </c>
      <c r="H181" s="367">
        <f t="shared" si="193"/>
        <v>-1.8147930493919232E-2</v>
      </c>
      <c r="I181" s="366"/>
    </row>
    <row r="182" spans="2:9" x14ac:dyDescent="0.25">
      <c r="B182" s="364">
        <v>42674</v>
      </c>
      <c r="C182" s="365">
        <v>1000</v>
      </c>
      <c r="D182" s="366">
        <v>31.763999999999999</v>
      </c>
      <c r="E182" s="366">
        <v>30.98</v>
      </c>
      <c r="F182" s="366">
        <f t="shared" si="191"/>
        <v>-783.99999999999886</v>
      </c>
      <c r="G182" s="366">
        <f t="shared" si="192"/>
        <v>31764</v>
      </c>
      <c r="H182" s="367">
        <f t="shared" si="193"/>
        <v>-2.468202997103636E-2</v>
      </c>
      <c r="I182" s="366"/>
    </row>
    <row r="183" spans="2:9" x14ac:dyDescent="0.25">
      <c r="B183" s="364">
        <v>42676</v>
      </c>
      <c r="C183" s="365">
        <v>500</v>
      </c>
      <c r="D183" s="366">
        <v>31.518719999999998</v>
      </c>
      <c r="E183" s="366">
        <v>32.22</v>
      </c>
      <c r="F183" s="366">
        <f t="shared" si="191"/>
        <v>350.64000000000027</v>
      </c>
      <c r="G183" s="366">
        <f t="shared" si="192"/>
        <v>15759.359999999999</v>
      </c>
      <c r="H183" s="367">
        <f t="shared" si="193"/>
        <v>2.2249634502923995E-2</v>
      </c>
      <c r="I183" s="366">
        <v>31</v>
      </c>
    </row>
    <row r="184" spans="2:9" x14ac:dyDescent="0.25">
      <c r="B184" s="364">
        <v>42677</v>
      </c>
      <c r="C184" s="365">
        <v>800</v>
      </c>
      <c r="D184" s="366">
        <v>31.51858</v>
      </c>
      <c r="E184" s="366">
        <v>31.02</v>
      </c>
      <c r="F184" s="366">
        <f t="shared" si="191"/>
        <v>-398.86400000000037</v>
      </c>
      <c r="G184" s="366">
        <f t="shared" si="192"/>
        <v>25214.864000000001</v>
      </c>
      <c r="H184" s="367">
        <f t="shared" si="193"/>
        <v>-1.5818606041262027E-2</v>
      </c>
      <c r="I184" s="366"/>
    </row>
    <row r="185" spans="2:9" x14ac:dyDescent="0.25">
      <c r="B185" s="364">
        <v>42701</v>
      </c>
      <c r="C185" s="365">
        <v>400</v>
      </c>
      <c r="D185" s="366">
        <v>30.677849999999999</v>
      </c>
      <c r="E185" s="366">
        <v>33.880000000000003</v>
      </c>
      <c r="F185" s="366">
        <f t="shared" si="191"/>
        <v>1280.8600000000013</v>
      </c>
      <c r="G185" s="366">
        <f t="shared" si="192"/>
        <v>12271.14</v>
      </c>
      <c r="H185" s="367">
        <f t="shared" si="193"/>
        <v>0.10437987016691207</v>
      </c>
      <c r="I185" s="366"/>
    </row>
    <row r="186" spans="2:9" x14ac:dyDescent="0.25">
      <c r="B186" s="364">
        <v>42704</v>
      </c>
      <c r="C186" s="365">
        <v>400</v>
      </c>
      <c r="D186" s="366">
        <v>30.677849999999999</v>
      </c>
      <c r="E186" s="366">
        <v>32.299999999999997</v>
      </c>
      <c r="F186" s="366">
        <f t="shared" ref="F186:F192" si="194">C186*(E186-D186)</f>
        <v>648.8599999999991</v>
      </c>
      <c r="G186" s="366">
        <f t="shared" ref="G186:G192" si="195">D186*C186</f>
        <v>12271.14</v>
      </c>
      <c r="H186" s="367">
        <f t="shared" ref="H186:H192" si="196">(E186-D186)/D186</f>
        <v>5.2876912821465581E-2</v>
      </c>
      <c r="I186" s="366"/>
    </row>
    <row r="187" spans="2:9" x14ac:dyDescent="0.25">
      <c r="B187" s="364">
        <v>42706</v>
      </c>
      <c r="C187" s="365">
        <v>400</v>
      </c>
      <c r="D187" s="366">
        <v>30.527850000000001</v>
      </c>
      <c r="E187" s="366">
        <v>33.299999999999997</v>
      </c>
      <c r="F187" s="366">
        <f t="shared" si="194"/>
        <v>1108.8599999999985</v>
      </c>
      <c r="G187" s="366">
        <f t="shared" si="195"/>
        <v>12211.14</v>
      </c>
      <c r="H187" s="367">
        <f t="shared" si="196"/>
        <v>9.0807246497869851E-2</v>
      </c>
      <c r="I187" s="366"/>
    </row>
    <row r="188" spans="2:9" x14ac:dyDescent="0.25">
      <c r="B188" s="364">
        <v>42712</v>
      </c>
      <c r="C188" s="365">
        <v>300</v>
      </c>
      <c r="D188" s="366">
        <v>29.297370000000001</v>
      </c>
      <c r="E188" s="366">
        <v>34.19</v>
      </c>
      <c r="F188" s="366">
        <f t="shared" si="194"/>
        <v>1467.7889999999991</v>
      </c>
      <c r="G188" s="366">
        <f t="shared" si="195"/>
        <v>8789.2109999999993</v>
      </c>
      <c r="H188" s="367">
        <f t="shared" si="196"/>
        <v>0.16699894905242338</v>
      </c>
      <c r="I188" s="366"/>
    </row>
    <row r="189" spans="2:9" x14ac:dyDescent="0.25">
      <c r="B189" s="364">
        <v>42713</v>
      </c>
      <c r="C189" s="365">
        <v>200</v>
      </c>
      <c r="D189" s="366">
        <v>26.551449999999999</v>
      </c>
      <c r="E189" s="366">
        <v>34.78</v>
      </c>
      <c r="F189" s="366">
        <f t="shared" si="194"/>
        <v>1645.7100000000005</v>
      </c>
      <c r="G189" s="366">
        <f t="shared" si="195"/>
        <v>5310.29</v>
      </c>
      <c r="H189" s="367">
        <f t="shared" si="196"/>
        <v>0.30990962828772073</v>
      </c>
      <c r="I189" s="366"/>
    </row>
    <row r="190" spans="2:9" x14ac:dyDescent="0.25">
      <c r="B190" s="364">
        <v>42716</v>
      </c>
      <c r="C190" s="365">
        <v>300</v>
      </c>
      <c r="D190" s="366">
        <v>29.0943</v>
      </c>
      <c r="E190" s="366">
        <v>34.22</v>
      </c>
      <c r="F190" s="366">
        <f t="shared" si="194"/>
        <v>1537.7099999999996</v>
      </c>
      <c r="G190" s="366">
        <f t="shared" si="195"/>
        <v>8728.2900000000009</v>
      </c>
      <c r="H190" s="367">
        <f t="shared" si="196"/>
        <v>0.17617540205469795</v>
      </c>
      <c r="I190" s="366"/>
    </row>
    <row r="191" spans="2:9" x14ac:dyDescent="0.25">
      <c r="B191" s="364">
        <v>42718</v>
      </c>
      <c r="C191" s="365">
        <v>100</v>
      </c>
      <c r="D191" s="366">
        <v>17.179500000000001</v>
      </c>
      <c r="E191" s="366">
        <v>34.72</v>
      </c>
      <c r="F191" s="366">
        <f t="shared" si="194"/>
        <v>1754.0499999999997</v>
      </c>
      <c r="G191" s="366">
        <f t="shared" si="195"/>
        <v>1717.95</v>
      </c>
      <c r="H191" s="367">
        <f t="shared" si="196"/>
        <v>1.021013417154166</v>
      </c>
      <c r="I191" s="366"/>
    </row>
    <row r="192" spans="2:9" x14ac:dyDescent="0.25">
      <c r="B192" s="364">
        <v>42718</v>
      </c>
      <c r="C192" s="365">
        <v>300</v>
      </c>
      <c r="D192" s="366">
        <v>28.9132</v>
      </c>
      <c r="E192" s="366">
        <v>34.72</v>
      </c>
      <c r="F192" s="366">
        <f t="shared" si="194"/>
        <v>1742.0399999999997</v>
      </c>
      <c r="G192" s="366">
        <f t="shared" si="195"/>
        <v>8673.9599999999991</v>
      </c>
      <c r="H192" s="367">
        <f t="shared" si="196"/>
        <v>0.20083560449898313</v>
      </c>
      <c r="I192" s="366"/>
    </row>
    <row r="193" spans="2:9" x14ac:dyDescent="0.25">
      <c r="B193" s="364">
        <v>42729</v>
      </c>
      <c r="C193" s="365">
        <v>300</v>
      </c>
      <c r="D193" s="366">
        <v>28.9132</v>
      </c>
      <c r="E193" s="366">
        <v>35.08</v>
      </c>
      <c r="F193" s="366">
        <f>C193*(E193-D193)</f>
        <v>1850.0399999999995</v>
      </c>
      <c r="G193" s="366">
        <f>D193*C193</f>
        <v>8673.9599999999991</v>
      </c>
      <c r="H193" s="367">
        <f>(E193-D193)/D193</f>
        <v>0.21328666491429515</v>
      </c>
      <c r="I193" s="366"/>
    </row>
    <row r="194" spans="2:9" x14ac:dyDescent="0.25">
      <c r="B194" s="364">
        <v>42745</v>
      </c>
      <c r="C194" s="365">
        <v>400</v>
      </c>
      <c r="D194" s="366">
        <v>30.12988</v>
      </c>
      <c r="E194" s="366">
        <v>33.19</v>
      </c>
      <c r="F194" s="366">
        <f>C194*(E194-D194)</f>
        <v>1224.0479999999991</v>
      </c>
      <c r="G194" s="366">
        <f>D194*C194</f>
        <v>12051.951999999999</v>
      </c>
      <c r="H194" s="367">
        <f>(E194-D194)/D194</f>
        <v>0.1015642943151449</v>
      </c>
      <c r="I194" s="366"/>
    </row>
    <row r="195" spans="2:9" x14ac:dyDescent="0.25">
      <c r="B195" s="364">
        <v>42752</v>
      </c>
      <c r="C195" s="365">
        <v>300</v>
      </c>
      <c r="D195" s="366">
        <v>28.620100000000001</v>
      </c>
      <c r="E195" s="366">
        <v>34.840000000000003</v>
      </c>
      <c r="F195" s="366">
        <f>C195*(E195-D195)</f>
        <v>1865.9700000000007</v>
      </c>
      <c r="G195" s="366">
        <f>D195*C195</f>
        <v>8586.0300000000007</v>
      </c>
      <c r="H195" s="367">
        <f>(E195-D195)/D195</f>
        <v>0.21732628467405782</v>
      </c>
      <c r="I195" s="366">
        <v>28.25</v>
      </c>
    </row>
    <row r="196" spans="2:9" x14ac:dyDescent="0.25">
      <c r="B196" s="364">
        <v>42754</v>
      </c>
      <c r="C196" s="365">
        <v>400</v>
      </c>
      <c r="D196" s="366">
        <v>30.032579999999999</v>
      </c>
      <c r="E196" s="366">
        <v>34.26</v>
      </c>
      <c r="F196" s="366">
        <f>C196*(E196-D196)</f>
        <v>1690.9679999999994</v>
      </c>
      <c r="G196" s="366">
        <f>D196*C196</f>
        <v>12013.031999999999</v>
      </c>
      <c r="H196" s="367">
        <f>(E196-D196)/D196</f>
        <v>0.14076113340911767</v>
      </c>
      <c r="I196" s="366"/>
    </row>
    <row r="211" spans="1:13" x14ac:dyDescent="0.25">
      <c r="M211" s="2">
        <f>M239+K242-F242</f>
        <v>1747.9699999999939</v>
      </c>
    </row>
    <row r="212" spans="1:13" x14ac:dyDescent="0.25">
      <c r="M212" s="255" t="s">
        <v>38</v>
      </c>
    </row>
    <row r="213" spans="1:13" x14ac:dyDescent="0.25">
      <c r="M213" s="254">
        <v>10.5</v>
      </c>
    </row>
    <row r="214" spans="1:13" x14ac:dyDescent="0.25">
      <c r="L214" t="s">
        <v>65</v>
      </c>
      <c r="M214" s="254">
        <v>48</v>
      </c>
    </row>
    <row r="215" spans="1:13" x14ac:dyDescent="0.25">
      <c r="A215" s="255" t="s">
        <v>1</v>
      </c>
      <c r="B215" s="255" t="s">
        <v>2</v>
      </c>
      <c r="C215" s="255" t="s">
        <v>4</v>
      </c>
      <c r="D215" s="256" t="s">
        <v>5</v>
      </c>
      <c r="E215" s="256" t="s">
        <v>94</v>
      </c>
      <c r="F215" s="256" t="s">
        <v>60</v>
      </c>
      <c r="G215" s="255" t="s">
        <v>3</v>
      </c>
      <c r="H215" s="255" t="s">
        <v>6</v>
      </c>
      <c r="I215" s="256" t="s">
        <v>7</v>
      </c>
      <c r="J215" s="256" t="s">
        <v>95</v>
      </c>
      <c r="K215" s="256" t="s">
        <v>61</v>
      </c>
      <c r="L215" s="255" t="s">
        <v>37</v>
      </c>
      <c r="M215" s="254">
        <v>60</v>
      </c>
    </row>
    <row r="216" spans="1:13" x14ac:dyDescent="0.25">
      <c r="A216" s="257" t="s">
        <v>196</v>
      </c>
      <c r="B216" s="258">
        <v>42482</v>
      </c>
      <c r="C216" s="253">
        <v>80</v>
      </c>
      <c r="D216" s="254">
        <v>36.01</v>
      </c>
      <c r="E216" s="254">
        <v>0</v>
      </c>
      <c r="F216" s="254">
        <f t="shared" ref="F216:F236" si="197">D216*C216+E216</f>
        <v>2880.7999999999997</v>
      </c>
      <c r="G216" s="258">
        <v>42514</v>
      </c>
      <c r="H216" s="253">
        <v>40</v>
      </c>
      <c r="I216" s="254">
        <v>35.35</v>
      </c>
      <c r="J216" s="254">
        <v>0.03</v>
      </c>
      <c r="K216" s="254">
        <f>I216*H216-J216</f>
        <v>1413.97</v>
      </c>
      <c r="L216" s="258">
        <v>42522</v>
      </c>
      <c r="M216" s="253"/>
    </row>
    <row r="217" spans="1:13" x14ac:dyDescent="0.25">
      <c r="A217" s="260" t="s">
        <v>71</v>
      </c>
      <c r="B217" s="258">
        <v>42482</v>
      </c>
      <c r="C217" s="253">
        <v>20</v>
      </c>
      <c r="D217" s="254">
        <v>35.549999999999997</v>
      </c>
      <c r="E217" s="254">
        <v>0</v>
      </c>
      <c r="F217" s="254">
        <f t="shared" si="197"/>
        <v>711</v>
      </c>
      <c r="G217" s="253"/>
      <c r="H217" s="253"/>
      <c r="I217" s="254"/>
      <c r="J217" s="254"/>
      <c r="K217" s="254"/>
      <c r="L217" s="258">
        <v>42614</v>
      </c>
      <c r="M217" s="253"/>
    </row>
    <row r="218" spans="1:13" x14ac:dyDescent="0.25">
      <c r="A218" s="253"/>
      <c r="B218" s="258">
        <v>42508</v>
      </c>
      <c r="C218" s="253">
        <v>40</v>
      </c>
      <c r="D218" s="254">
        <v>34.19</v>
      </c>
      <c r="E218" s="254">
        <v>0</v>
      </c>
      <c r="F218" s="254">
        <f t="shared" si="197"/>
        <v>1367.6</v>
      </c>
      <c r="G218" s="258">
        <v>42521</v>
      </c>
      <c r="H218" s="259">
        <v>40</v>
      </c>
      <c r="I218" s="254">
        <v>35.99</v>
      </c>
      <c r="J218" s="254">
        <v>0.03</v>
      </c>
      <c r="K218" s="254">
        <f t="shared" ref="K218:K233" si="198">I218*H218-J218</f>
        <v>1439.5700000000002</v>
      </c>
      <c r="L218" s="258">
        <v>42706</v>
      </c>
      <c r="M218" s="253"/>
    </row>
    <row r="219" spans="1:13" x14ac:dyDescent="0.25">
      <c r="A219" s="253"/>
      <c r="B219" s="258">
        <v>42509</v>
      </c>
      <c r="C219" s="253">
        <v>100</v>
      </c>
      <c r="D219" s="254">
        <v>34.49</v>
      </c>
      <c r="E219" s="254">
        <v>0</v>
      </c>
      <c r="F219" s="254">
        <f t="shared" si="197"/>
        <v>3449</v>
      </c>
      <c r="G219" s="258">
        <v>42531</v>
      </c>
      <c r="H219" s="259">
        <v>100</v>
      </c>
      <c r="I219" s="254">
        <v>36.99</v>
      </c>
      <c r="J219" s="254">
        <v>0.08</v>
      </c>
      <c r="K219" s="254">
        <f t="shared" si="198"/>
        <v>3698.92</v>
      </c>
      <c r="L219" s="253"/>
      <c r="M219" s="253"/>
    </row>
    <row r="220" spans="1:13" x14ac:dyDescent="0.25">
      <c r="A220" s="253"/>
      <c r="B220" s="258">
        <v>42536</v>
      </c>
      <c r="C220" s="253">
        <v>100</v>
      </c>
      <c r="D220" s="254">
        <v>35.39</v>
      </c>
      <c r="E220" s="254">
        <v>0</v>
      </c>
      <c r="F220" s="254">
        <f t="shared" si="197"/>
        <v>3539</v>
      </c>
      <c r="G220" s="258">
        <v>42594</v>
      </c>
      <c r="H220" s="259">
        <v>100</v>
      </c>
      <c r="I220" s="254">
        <v>32.58</v>
      </c>
      <c r="J220" s="254">
        <v>7.0000000000000007E-2</v>
      </c>
      <c r="K220" s="254">
        <f t="shared" si="198"/>
        <v>3257.93</v>
      </c>
      <c r="L220" s="253"/>
      <c r="M220" s="253"/>
    </row>
    <row r="221" spans="1:13" x14ac:dyDescent="0.25">
      <c r="A221" s="253"/>
      <c r="B221" s="258">
        <v>42579</v>
      </c>
      <c r="C221" s="253">
        <v>40</v>
      </c>
      <c r="D221" s="254">
        <v>35</v>
      </c>
      <c r="E221" s="254">
        <v>0</v>
      </c>
      <c r="F221" s="254">
        <f t="shared" si="197"/>
        <v>1400</v>
      </c>
      <c r="G221" s="258">
        <v>42671</v>
      </c>
      <c r="H221" s="259">
        <v>100</v>
      </c>
      <c r="I221" s="254">
        <v>31.32</v>
      </c>
      <c r="J221" s="254">
        <v>7.0000000000000007E-2</v>
      </c>
      <c r="K221" s="254">
        <f t="shared" si="198"/>
        <v>3131.93</v>
      </c>
      <c r="L221" s="253"/>
      <c r="M221" s="253"/>
    </row>
    <row r="222" spans="1:13" x14ac:dyDescent="0.25">
      <c r="A222" s="253"/>
      <c r="B222" s="258">
        <v>42579</v>
      </c>
      <c r="C222" s="253">
        <v>30</v>
      </c>
      <c r="D222" s="254">
        <v>34.57</v>
      </c>
      <c r="E222" s="254">
        <v>-7.0000000000000007E-2</v>
      </c>
      <c r="F222" s="254">
        <f t="shared" si="197"/>
        <v>1037.03</v>
      </c>
      <c r="G222" s="258">
        <v>42676</v>
      </c>
      <c r="H222" s="259">
        <v>200</v>
      </c>
      <c r="I222" s="254">
        <v>31.83</v>
      </c>
      <c r="J222" s="254">
        <v>0.14000000000000001</v>
      </c>
      <c r="K222" s="254">
        <f t="shared" si="198"/>
        <v>6365.86</v>
      </c>
      <c r="L222" s="253"/>
      <c r="M222" s="253"/>
    </row>
    <row r="223" spans="1:13" x14ac:dyDescent="0.25">
      <c r="A223" s="253"/>
      <c r="B223" s="258">
        <v>42580</v>
      </c>
      <c r="C223" s="253">
        <v>30</v>
      </c>
      <c r="D223" s="254">
        <v>33.880000000000003</v>
      </c>
      <c r="E223" s="254">
        <v>0</v>
      </c>
      <c r="F223" s="254">
        <f t="shared" si="197"/>
        <v>1016.4000000000001</v>
      </c>
      <c r="G223" s="258">
        <v>42676</v>
      </c>
      <c r="H223" s="259">
        <v>100</v>
      </c>
      <c r="I223" s="254">
        <v>31.98</v>
      </c>
      <c r="J223" s="254">
        <v>7.0000000000000007E-2</v>
      </c>
      <c r="K223" s="254">
        <f t="shared" si="198"/>
        <v>3197.93</v>
      </c>
      <c r="L223" s="253"/>
      <c r="M223" s="253"/>
    </row>
    <row r="224" spans="1:13" x14ac:dyDescent="0.25">
      <c r="A224" s="253"/>
      <c r="B224" s="258">
        <v>42584</v>
      </c>
      <c r="C224" s="253">
        <v>40</v>
      </c>
      <c r="D224" s="254">
        <v>33.049999999999997</v>
      </c>
      <c r="E224" s="254">
        <v>0</v>
      </c>
      <c r="F224" s="254">
        <f t="shared" si="197"/>
        <v>1322</v>
      </c>
      <c r="G224" s="258">
        <v>42676</v>
      </c>
      <c r="H224" s="259">
        <v>100</v>
      </c>
      <c r="I224" s="254">
        <v>32.18</v>
      </c>
      <c r="J224" s="254">
        <v>7.0000000000000007E-2</v>
      </c>
      <c r="K224" s="254">
        <f t="shared" si="198"/>
        <v>3217.93</v>
      </c>
      <c r="L224" s="253"/>
      <c r="M224" s="253"/>
    </row>
    <row r="225" spans="1:13" x14ac:dyDescent="0.25">
      <c r="A225" s="253"/>
      <c r="B225" s="258">
        <v>42586</v>
      </c>
      <c r="C225" s="253">
        <v>100</v>
      </c>
      <c r="D225" s="254">
        <v>32.479999999999997</v>
      </c>
      <c r="E225" s="254">
        <v>0</v>
      </c>
      <c r="F225" s="254">
        <f t="shared" si="197"/>
        <v>3247.9999999999995</v>
      </c>
      <c r="G225" s="258">
        <v>42676</v>
      </c>
      <c r="H225" s="259">
        <v>100</v>
      </c>
      <c r="I225" s="254">
        <v>32.229999999999997</v>
      </c>
      <c r="J225" s="254">
        <v>7.0000000000000007E-2</v>
      </c>
      <c r="K225" s="254">
        <f t="shared" si="198"/>
        <v>3222.9299999999994</v>
      </c>
      <c r="L225" s="253"/>
      <c r="M225" s="253"/>
    </row>
    <row r="226" spans="1:13" x14ac:dyDescent="0.25">
      <c r="A226" s="253"/>
      <c r="B226" s="258">
        <v>42593</v>
      </c>
      <c r="C226" s="253">
        <v>100</v>
      </c>
      <c r="D226" s="254">
        <v>32.049999999999997</v>
      </c>
      <c r="E226" s="254">
        <v>0</v>
      </c>
      <c r="F226" s="254">
        <f t="shared" si="197"/>
        <v>3204.9999999999995</v>
      </c>
      <c r="G226" s="258">
        <v>42683</v>
      </c>
      <c r="H226" s="259">
        <v>100</v>
      </c>
      <c r="I226" s="254">
        <v>32.33</v>
      </c>
      <c r="J226" s="254">
        <v>7.0000000000000007E-2</v>
      </c>
      <c r="K226" s="254">
        <f t="shared" si="198"/>
        <v>3232.93</v>
      </c>
      <c r="L226" s="253"/>
      <c r="M226" s="253"/>
    </row>
    <row r="227" spans="1:13" x14ac:dyDescent="0.25">
      <c r="A227" s="253"/>
      <c r="B227" s="258">
        <v>42599</v>
      </c>
      <c r="C227" s="253">
        <v>100</v>
      </c>
      <c r="D227" s="254">
        <v>31.68</v>
      </c>
      <c r="E227" s="254">
        <v>0</v>
      </c>
      <c r="F227" s="254">
        <f t="shared" si="197"/>
        <v>3168</v>
      </c>
      <c r="G227" s="258">
        <v>42683</v>
      </c>
      <c r="H227" s="259">
        <v>200</v>
      </c>
      <c r="I227" s="254">
        <v>32.08</v>
      </c>
      <c r="J227" s="254">
        <v>0.14000000000000001</v>
      </c>
      <c r="K227" s="254">
        <f t="shared" si="198"/>
        <v>6415.86</v>
      </c>
      <c r="L227" s="253"/>
      <c r="M227" s="253"/>
    </row>
    <row r="228" spans="1:13" x14ac:dyDescent="0.25">
      <c r="A228" s="253"/>
      <c r="B228" s="258">
        <v>42620</v>
      </c>
      <c r="C228" s="253">
        <v>100</v>
      </c>
      <c r="D228" s="254">
        <v>31.65</v>
      </c>
      <c r="E228" s="254">
        <v>0</v>
      </c>
      <c r="F228" s="254">
        <f t="shared" si="197"/>
        <v>3165</v>
      </c>
      <c r="G228" s="258">
        <v>42684</v>
      </c>
      <c r="H228" s="259">
        <v>100</v>
      </c>
      <c r="I228" s="254">
        <v>32.950000000000003</v>
      </c>
      <c r="J228" s="254">
        <v>7.0000000000000007E-2</v>
      </c>
      <c r="K228" s="254">
        <f t="shared" si="198"/>
        <v>3294.9300000000003</v>
      </c>
      <c r="L228" s="253"/>
      <c r="M228" s="253"/>
    </row>
    <row r="229" spans="1:13" x14ac:dyDescent="0.25">
      <c r="A229" s="253"/>
      <c r="B229" s="258">
        <v>42620</v>
      </c>
      <c r="C229" s="253">
        <v>100</v>
      </c>
      <c r="D229" s="254">
        <v>31.18</v>
      </c>
      <c r="E229" s="254">
        <v>0</v>
      </c>
      <c r="F229" s="254">
        <f t="shared" si="197"/>
        <v>3118</v>
      </c>
      <c r="G229" s="258">
        <v>42712</v>
      </c>
      <c r="H229" s="259">
        <v>100</v>
      </c>
      <c r="I229" s="254">
        <v>34.22</v>
      </c>
      <c r="J229" s="254">
        <v>7.0000000000000007E-2</v>
      </c>
      <c r="K229" s="254">
        <f t="shared" si="198"/>
        <v>3421.93</v>
      </c>
      <c r="L229" s="253"/>
      <c r="M229" s="253"/>
    </row>
    <row r="230" spans="1:13" x14ac:dyDescent="0.25">
      <c r="A230" s="253"/>
      <c r="B230" s="258">
        <v>42625</v>
      </c>
      <c r="C230" s="253">
        <v>100</v>
      </c>
      <c r="D230" s="254">
        <v>30.8</v>
      </c>
      <c r="E230" s="254">
        <v>0</v>
      </c>
      <c r="F230" s="254">
        <f t="shared" si="197"/>
        <v>3080</v>
      </c>
      <c r="G230" s="258">
        <v>42713</v>
      </c>
      <c r="H230" s="259">
        <v>100</v>
      </c>
      <c r="I230" s="254">
        <v>34.79</v>
      </c>
      <c r="J230" s="254">
        <v>0.08</v>
      </c>
      <c r="K230" s="254">
        <f t="shared" si="198"/>
        <v>3478.92</v>
      </c>
      <c r="L230" s="253"/>
      <c r="M230" s="253"/>
    </row>
    <row r="231" spans="1:13" x14ac:dyDescent="0.25">
      <c r="A231" s="253"/>
      <c r="B231" s="258">
        <v>42639</v>
      </c>
      <c r="C231" s="253">
        <v>100</v>
      </c>
      <c r="D231" s="254">
        <v>30.08</v>
      </c>
      <c r="E231" s="254">
        <v>0</v>
      </c>
      <c r="F231" s="254">
        <f t="shared" si="197"/>
        <v>3008</v>
      </c>
      <c r="G231" s="258">
        <v>42718</v>
      </c>
      <c r="H231" s="259">
        <v>100</v>
      </c>
      <c r="I231" s="254">
        <v>35.21</v>
      </c>
      <c r="J231" s="254">
        <v>0.57999999999999996</v>
      </c>
      <c r="K231" s="254">
        <f t="shared" si="198"/>
        <v>3520.42</v>
      </c>
      <c r="L231" s="253"/>
      <c r="M231" s="253"/>
    </row>
    <row r="232" spans="1:13" x14ac:dyDescent="0.25">
      <c r="A232" s="253"/>
      <c r="B232" s="258">
        <v>42646</v>
      </c>
      <c r="C232" s="253">
        <v>100</v>
      </c>
      <c r="D232" s="254">
        <v>29.4</v>
      </c>
      <c r="E232" s="254">
        <v>0</v>
      </c>
      <c r="F232" s="254">
        <f t="shared" si="197"/>
        <v>2940</v>
      </c>
      <c r="G232" s="258">
        <v>42718</v>
      </c>
      <c r="H232" s="259">
        <v>100</v>
      </c>
      <c r="I232" s="254">
        <v>34.9</v>
      </c>
      <c r="J232" s="254">
        <v>0.08</v>
      </c>
      <c r="K232" s="254">
        <f t="shared" si="198"/>
        <v>3489.92</v>
      </c>
      <c r="L232" s="253"/>
      <c r="M232" s="253"/>
    </row>
    <row r="233" spans="1:13" x14ac:dyDescent="0.25">
      <c r="A233" s="253"/>
      <c r="B233" s="258">
        <v>42674</v>
      </c>
      <c r="C233" s="253">
        <v>100</v>
      </c>
      <c r="D233" s="254">
        <v>31.1</v>
      </c>
      <c r="E233" s="254">
        <v>0</v>
      </c>
      <c r="F233" s="254">
        <f t="shared" si="197"/>
        <v>3110</v>
      </c>
      <c r="G233" s="258">
        <v>42752</v>
      </c>
      <c r="H233" s="259">
        <v>100</v>
      </c>
      <c r="I233" s="254">
        <v>34.659999999999997</v>
      </c>
      <c r="J233" s="254">
        <v>0.08</v>
      </c>
      <c r="K233" s="254">
        <f t="shared" si="198"/>
        <v>3465.9199999999996</v>
      </c>
      <c r="L233" s="253"/>
      <c r="M233" s="253"/>
    </row>
    <row r="234" spans="1:13" x14ac:dyDescent="0.25">
      <c r="A234" s="253"/>
      <c r="B234" s="258">
        <v>42677</v>
      </c>
      <c r="C234" s="253">
        <v>200</v>
      </c>
      <c r="D234" s="254">
        <v>31.68</v>
      </c>
      <c r="E234" s="254">
        <v>0</v>
      </c>
      <c r="F234" s="254">
        <f t="shared" si="197"/>
        <v>6336</v>
      </c>
      <c r="G234" s="253"/>
      <c r="H234" s="253"/>
      <c r="I234" s="254"/>
      <c r="J234" s="254"/>
      <c r="K234" s="254"/>
      <c r="L234" s="253"/>
      <c r="M234" s="253"/>
    </row>
    <row r="235" spans="1:13" x14ac:dyDescent="0.25">
      <c r="A235" s="253"/>
      <c r="B235" s="258">
        <v>42677</v>
      </c>
      <c r="C235" s="253">
        <v>100</v>
      </c>
      <c r="D235" s="254">
        <v>31.2</v>
      </c>
      <c r="E235" s="254">
        <v>-0.5</v>
      </c>
      <c r="F235" s="254">
        <f t="shared" si="197"/>
        <v>3119.5</v>
      </c>
      <c r="G235" s="253"/>
      <c r="H235" s="253"/>
      <c r="I235" s="254"/>
      <c r="J235" s="254"/>
      <c r="K235" s="254"/>
      <c r="L235" s="253"/>
      <c r="M235" s="253"/>
    </row>
    <row r="236" spans="1:13" x14ac:dyDescent="0.25">
      <c r="A236" s="253"/>
      <c r="B236" s="258">
        <v>42716</v>
      </c>
      <c r="C236" s="253">
        <v>100</v>
      </c>
      <c r="D236" s="254">
        <v>34.18</v>
      </c>
      <c r="E236" s="254">
        <v>0</v>
      </c>
      <c r="F236" s="254">
        <f t="shared" si="197"/>
        <v>3418</v>
      </c>
      <c r="G236" s="253"/>
      <c r="H236" s="253"/>
      <c r="I236" s="254"/>
      <c r="J236" s="254"/>
      <c r="K236" s="254"/>
      <c r="L236" s="253"/>
      <c r="M236" s="253"/>
    </row>
    <row r="237" spans="1:13" x14ac:dyDescent="0.25">
      <c r="A237" s="253"/>
      <c r="B237" s="258"/>
      <c r="C237" s="253"/>
      <c r="D237" s="254"/>
      <c r="E237" s="254"/>
      <c r="F237" s="254"/>
      <c r="G237" s="253"/>
      <c r="H237" s="253"/>
      <c r="I237" s="254"/>
      <c r="J237" s="254"/>
      <c r="K237" s="254"/>
      <c r="L237" s="253"/>
      <c r="M237" s="253"/>
    </row>
    <row r="238" spans="1:13" x14ac:dyDescent="0.25">
      <c r="A238" s="253"/>
      <c r="B238" s="258"/>
      <c r="C238" s="253"/>
      <c r="D238" s="254"/>
      <c r="E238" s="254"/>
      <c r="F238" s="254"/>
      <c r="G238" s="253"/>
      <c r="H238" s="253"/>
      <c r="I238" s="254"/>
      <c r="J238" s="254"/>
      <c r="K238" s="254"/>
      <c r="L238" s="253"/>
      <c r="M238" s="253"/>
    </row>
    <row r="239" spans="1:13" x14ac:dyDescent="0.25">
      <c r="A239" s="253"/>
      <c r="B239" s="258"/>
      <c r="C239" s="253"/>
      <c r="D239" s="254"/>
      <c r="E239" s="254"/>
      <c r="F239" s="254"/>
      <c r="G239" s="253"/>
      <c r="H239" s="253"/>
      <c r="I239" s="254"/>
      <c r="J239" s="254"/>
      <c r="K239" s="254"/>
      <c r="L239" s="253"/>
      <c r="M239" s="18">
        <f>SUM(M213:M238)</f>
        <v>118.5</v>
      </c>
    </row>
    <row r="240" spans="1:13" x14ac:dyDescent="0.25">
      <c r="A240" s="253"/>
      <c r="B240" s="253"/>
      <c r="C240" s="253"/>
      <c r="D240" s="254"/>
      <c r="E240" s="254"/>
      <c r="F240" s="254"/>
      <c r="G240" s="253"/>
      <c r="H240" s="253"/>
      <c r="I240" s="254"/>
      <c r="J240" s="254"/>
      <c r="K240" s="254"/>
      <c r="L240" s="253"/>
    </row>
    <row r="241" spans="1:12" x14ac:dyDescent="0.25">
      <c r="A241" s="253"/>
      <c r="B241" s="253"/>
      <c r="C241" s="253"/>
      <c r="D241" s="254"/>
      <c r="E241" s="254"/>
      <c r="F241" s="254"/>
      <c r="G241" s="253"/>
      <c r="H241" s="253"/>
      <c r="I241" s="254"/>
      <c r="J241" s="254"/>
      <c r="K241" s="254"/>
      <c r="L241" s="253"/>
    </row>
    <row r="242" spans="1:12" x14ac:dyDescent="0.25">
      <c r="A242" s="31" t="s">
        <v>81</v>
      </c>
      <c r="B242" s="14"/>
      <c r="C242" s="14">
        <f>SUM(C216:C239)</f>
        <v>1780</v>
      </c>
      <c r="D242" s="18"/>
      <c r="E242" s="18"/>
      <c r="F242" s="18">
        <f>SUM(F216:F239)</f>
        <v>57638.33</v>
      </c>
      <c r="G242" s="14"/>
      <c r="H242" s="14">
        <f>SUM(H216:H241)</f>
        <v>1780</v>
      </c>
      <c r="I242" s="18"/>
      <c r="J242" s="18"/>
      <c r="K242" s="18">
        <f>SUM(K216:K241)</f>
        <v>59267.799999999996</v>
      </c>
      <c r="L242" s="14"/>
    </row>
  </sheetData>
  <mergeCells count="1">
    <mergeCell ref="O22:P22"/>
  </mergeCells>
  <conditionalFormatting sqref="O23:O4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7:F131 K78:K112 K116 K120:K121">
    <cfRule type="expression" dxfId="1817" priority="73">
      <formula>F78&gt;0</formula>
    </cfRule>
    <cfRule type="expression" dxfId="1816" priority="74">
      <formula>F78&lt;0</formula>
    </cfRule>
  </conditionalFormatting>
  <conditionalFormatting sqref="F132:F145 F148:F192 F195:F196">
    <cfRule type="expression" dxfId="1815" priority="69">
      <formula>F132&gt;0</formula>
    </cfRule>
    <cfRule type="expression" dxfId="1814" priority="70">
      <formula>F132&lt;0</formula>
    </cfRule>
  </conditionalFormatting>
  <conditionalFormatting sqref="F132:F145 F148:F192 F195:F196">
    <cfRule type="expression" dxfId="1813" priority="71">
      <formula>F132&gt;0</formula>
    </cfRule>
    <cfRule type="expression" dxfId="1812" priority="72">
      <formula>F132&lt;0</formula>
    </cfRule>
  </conditionalFormatting>
  <conditionalFormatting sqref="H127:H145 H148:H192 H195:H196">
    <cfRule type="expression" dxfId="1811" priority="67">
      <formula>H127&gt;0</formula>
    </cfRule>
    <cfRule type="expression" dxfId="1810" priority="68">
      <formula>H127&lt;0</formula>
    </cfRule>
  </conditionalFormatting>
  <conditionalFormatting sqref="F123:F126">
    <cfRule type="expression" dxfId="1809" priority="61">
      <formula>F123&gt;0</formula>
    </cfRule>
    <cfRule type="expression" dxfId="1808" priority="62">
      <formula>F123&lt;0</formula>
    </cfRule>
  </conditionalFormatting>
  <conditionalFormatting sqref="H123:H126">
    <cfRule type="expression" dxfId="1807" priority="59">
      <formula>H123&gt;0</formula>
    </cfRule>
    <cfRule type="expression" dxfId="1806" priority="60">
      <formula>H123&lt;0</formula>
    </cfRule>
  </conditionalFormatting>
  <conditionalFormatting sqref="Q8">
    <cfRule type="expression" dxfId="1805" priority="55">
      <formula>Q8&gt;0</formula>
    </cfRule>
    <cfRule type="expression" dxfId="1804" priority="56">
      <formula>Q8&lt;0</formula>
    </cfRule>
  </conditionalFormatting>
  <conditionalFormatting sqref="Q7">
    <cfRule type="expression" dxfId="1803" priority="57">
      <formula>Q7&gt;0</formula>
    </cfRule>
    <cfRule type="expression" dxfId="1802" priority="58">
      <formula>Q7&lt;0</formula>
    </cfRule>
  </conditionalFormatting>
  <conditionalFormatting sqref="F146">
    <cfRule type="expression" dxfId="1801" priority="51">
      <formula>F146&gt;0</formula>
    </cfRule>
    <cfRule type="expression" dxfId="1800" priority="52">
      <formula>F146&lt;0</formula>
    </cfRule>
  </conditionalFormatting>
  <conditionalFormatting sqref="F146">
    <cfRule type="expression" dxfId="1799" priority="53">
      <formula>F146&gt;0</formula>
    </cfRule>
    <cfRule type="expression" dxfId="1798" priority="54">
      <formula>F146&lt;0</formula>
    </cfRule>
  </conditionalFormatting>
  <conditionalFormatting sqref="H146">
    <cfRule type="expression" dxfId="1797" priority="49">
      <formula>H146&gt;0</formula>
    </cfRule>
    <cfRule type="expression" dxfId="1796" priority="50">
      <formula>H146&lt;0</formula>
    </cfRule>
  </conditionalFormatting>
  <conditionalFormatting sqref="F147">
    <cfRule type="expression" dxfId="1795" priority="45">
      <formula>F147&gt;0</formula>
    </cfRule>
    <cfRule type="expression" dxfId="1794" priority="46">
      <formula>F147&lt;0</formula>
    </cfRule>
  </conditionalFormatting>
  <conditionalFormatting sqref="F147">
    <cfRule type="expression" dxfId="1793" priority="47">
      <formula>F147&gt;0</formula>
    </cfRule>
    <cfRule type="expression" dxfId="1792" priority="48">
      <formula>F147&lt;0</formula>
    </cfRule>
  </conditionalFormatting>
  <conditionalFormatting sqref="H147">
    <cfRule type="expression" dxfId="1791" priority="43">
      <formula>H147&gt;0</formula>
    </cfRule>
    <cfRule type="expression" dxfId="1790" priority="44">
      <formula>H147&lt;0</formula>
    </cfRule>
  </conditionalFormatting>
  <conditionalFormatting sqref="F193:F194">
    <cfRule type="expression" dxfId="1789" priority="39">
      <formula>F193&gt;0</formula>
    </cfRule>
    <cfRule type="expression" dxfId="1788" priority="40">
      <formula>F193&lt;0</formula>
    </cfRule>
  </conditionalFormatting>
  <conditionalFormatting sqref="F193:F194">
    <cfRule type="expression" dxfId="1787" priority="41">
      <formula>F193&gt;0</formula>
    </cfRule>
    <cfRule type="expression" dxfId="1786" priority="42">
      <formula>F193&lt;0</formula>
    </cfRule>
  </conditionalFormatting>
  <conditionalFormatting sqref="H193:H194">
    <cfRule type="expression" dxfId="1785" priority="37">
      <formula>H193&gt;0</formula>
    </cfRule>
    <cfRule type="expression" dxfId="1784" priority="38">
      <formula>H193&lt;0</formula>
    </cfRule>
  </conditionalFormatting>
  <conditionalFormatting sqref="F48:F63">
    <cfRule type="expression" dxfId="1783" priority="35">
      <formula>F48&gt;0</formula>
    </cfRule>
    <cfRule type="expression" dxfId="1782" priority="36">
      <formula>F48&lt;0</formula>
    </cfRule>
  </conditionalFormatting>
  <conditionalFormatting sqref="H48:H63">
    <cfRule type="expression" dxfId="1781" priority="33">
      <formula>H48&gt;0</formula>
    </cfRule>
    <cfRule type="expression" dxfId="1780" priority="34">
      <formula>H48&lt;0</formula>
    </cfRule>
  </conditionalFormatting>
  <conditionalFormatting sqref="Q10">
    <cfRule type="expression" dxfId="1779" priority="31">
      <formula>Q10&gt;0</formula>
    </cfRule>
    <cfRule type="expression" dxfId="1778" priority="32">
      <formula>Q10&lt;0</formula>
    </cfRule>
  </conditionalFormatting>
  <conditionalFormatting sqref="J58:K58">
    <cfRule type="expression" dxfId="1777" priority="29">
      <formula>J58&gt;0</formula>
    </cfRule>
    <cfRule type="expression" dxfId="1776" priority="30">
      <formula>J58&lt;0</formula>
    </cfRule>
  </conditionalFormatting>
  <conditionalFormatting sqref="K59">
    <cfRule type="expression" dxfId="1775" priority="27">
      <formula>K59&gt;0</formula>
    </cfRule>
    <cfRule type="expression" dxfId="1774" priority="28">
      <formula>K59&lt;0</formula>
    </cfRule>
  </conditionalFormatting>
  <conditionalFormatting sqref="K60:K73">
    <cfRule type="expression" dxfId="1773" priority="25">
      <formula>K60&gt;0</formula>
    </cfRule>
    <cfRule type="expression" dxfId="1772" priority="26">
      <formula>K60&lt;0</formula>
    </cfRule>
  </conditionalFormatting>
  <conditionalFormatting sqref="F65:F73">
    <cfRule type="expression" dxfId="1771" priority="23">
      <formula>F65&gt;0</formula>
    </cfRule>
    <cfRule type="expression" dxfId="1770" priority="24">
      <formula>F65&lt;0</formula>
    </cfRule>
  </conditionalFormatting>
  <conditionalFormatting sqref="H65:H73">
    <cfRule type="expression" dxfId="1769" priority="21">
      <formula>H65&gt;0</formula>
    </cfRule>
    <cfRule type="expression" dxfId="1768" priority="22">
      <formula>H65&lt;0</formula>
    </cfRule>
  </conditionalFormatting>
  <conditionalFormatting sqref="R4">
    <cfRule type="expression" dxfId="1767" priority="19">
      <formula>R4&gt;0</formula>
    </cfRule>
    <cfRule type="expression" dxfId="1766" priority="20">
      <formula>R4&lt;0</formula>
    </cfRule>
  </conditionalFormatting>
  <conditionalFormatting sqref="Q9">
    <cfRule type="expression" dxfId="1765" priority="17">
      <formula>Q9&gt;0</formula>
    </cfRule>
    <cfRule type="expression" dxfId="1764" priority="18">
      <formula>Q9&lt;0</formula>
    </cfRule>
  </conditionalFormatting>
  <conditionalFormatting sqref="K74:K77">
    <cfRule type="expression" dxfId="1763" priority="15">
      <formula>K74&gt;0</formula>
    </cfRule>
    <cfRule type="expression" dxfId="1762" priority="16">
      <formula>K74&lt;0</formula>
    </cfRule>
  </conditionalFormatting>
  <conditionalFormatting sqref="F74:F97">
    <cfRule type="expression" dxfId="1761" priority="13">
      <formula>F74&gt;0</formula>
    </cfRule>
    <cfRule type="expression" dxfId="1760" priority="14">
      <formula>F74&lt;0</formula>
    </cfRule>
  </conditionalFormatting>
  <conditionalFormatting sqref="H74:H97">
    <cfRule type="expression" dxfId="1759" priority="11">
      <formula>H74&gt;0</formula>
    </cfRule>
    <cfRule type="expression" dxfId="1758" priority="12">
      <formula>H74&lt;0</formula>
    </cfRule>
  </conditionalFormatting>
  <conditionalFormatting sqref="W1:W6">
    <cfRule type="iconSet" priority="9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8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5">
      <iconSet iconSet="3Arrows">
        <cfvo type="percent" val="0"/>
        <cfvo type="num" val="0"/>
        <cfvo type="num" val="0"/>
      </iconSet>
    </cfRule>
  </conditionalFormatting>
  <conditionalFormatting sqref="F98:F116">
    <cfRule type="expression" dxfId="1757" priority="7">
      <formula>F98&gt;0</formula>
    </cfRule>
    <cfRule type="expression" dxfId="1756" priority="8">
      <formula>F98&lt;0</formula>
    </cfRule>
  </conditionalFormatting>
  <conditionalFormatting sqref="H98:H116">
    <cfRule type="expression" dxfId="1755" priority="5">
      <formula>H98&gt;0</formula>
    </cfRule>
    <cfRule type="expression" dxfId="1754" priority="6">
      <formula>H98&lt;0</formula>
    </cfRule>
  </conditionalFormatting>
  <conditionalFormatting sqref="K113:K115">
    <cfRule type="expression" dxfId="1753" priority="3">
      <formula>K113&gt;0</formula>
    </cfRule>
    <cfRule type="expression" dxfId="1752" priority="4">
      <formula>K113&lt;0</formula>
    </cfRule>
  </conditionalFormatting>
  <conditionalFormatting sqref="K117:K119">
    <cfRule type="expression" dxfId="5" priority="1">
      <formula>K117&gt;0</formula>
    </cfRule>
    <cfRule type="expression" dxfId="4" priority="2">
      <formula>K117&lt;0</formula>
    </cfRule>
  </conditionalFormatting>
  <hyperlinks>
    <hyperlink ref="A3" location="ACTIVE!A1" display="Back"/>
    <hyperlink ref="A217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11.33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11.33</v>
      </c>
      <c r="R4" s="478">
        <v>1.52E-2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7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7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4" t="s">
        <v>1</v>
      </c>
      <c r="B33" s="514" t="s">
        <v>2</v>
      </c>
      <c r="C33" s="514" t="s">
        <v>4</v>
      </c>
      <c r="D33" s="515" t="s">
        <v>5</v>
      </c>
      <c r="E33" s="515" t="s">
        <v>94</v>
      </c>
      <c r="F33" s="515" t="s">
        <v>60</v>
      </c>
      <c r="G33" s="514" t="s">
        <v>3</v>
      </c>
      <c r="H33" s="514" t="s">
        <v>6</v>
      </c>
      <c r="I33" s="515" t="s">
        <v>7</v>
      </c>
      <c r="J33" s="515" t="s">
        <v>95</v>
      </c>
      <c r="K33" s="515" t="s">
        <v>61</v>
      </c>
      <c r="L33" s="514" t="s">
        <v>37</v>
      </c>
      <c r="M33" s="51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6" t="s">
        <v>197</v>
      </c>
      <c r="B34" s="499">
        <v>42488</v>
      </c>
      <c r="C34" s="500">
        <v>100</v>
      </c>
      <c r="D34" s="502">
        <v>13.8</v>
      </c>
      <c r="E34" s="502">
        <v>0</v>
      </c>
      <c r="F34" s="502">
        <f t="shared" ref="F34:F40" si="2">D34*C34+E34</f>
        <v>1380</v>
      </c>
      <c r="G34" s="499">
        <v>42515</v>
      </c>
      <c r="H34" s="500">
        <v>100</v>
      </c>
      <c r="I34" s="502">
        <v>13.59</v>
      </c>
      <c r="J34" s="502">
        <v>0.03</v>
      </c>
      <c r="K34" s="502">
        <f t="shared" ref="K34:K39" si="3">I34*H34-J34</f>
        <v>1358.97</v>
      </c>
      <c r="L34" s="499">
        <v>42614</v>
      </c>
      <c r="M34" s="50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8" t="s">
        <v>71</v>
      </c>
      <c r="B35" s="499">
        <v>42507</v>
      </c>
      <c r="C35" s="500">
        <v>100</v>
      </c>
      <c r="D35" s="502">
        <v>13.08</v>
      </c>
      <c r="E35" s="502">
        <v>0</v>
      </c>
      <c r="F35" s="502">
        <f t="shared" si="2"/>
        <v>1308</v>
      </c>
      <c r="G35" s="499">
        <v>42559</v>
      </c>
      <c r="H35" s="517">
        <v>100</v>
      </c>
      <c r="I35" s="502">
        <v>13.08</v>
      </c>
      <c r="J35" s="502">
        <v>0.03</v>
      </c>
      <c r="K35" s="502">
        <f t="shared" si="3"/>
        <v>1307.97</v>
      </c>
      <c r="L35" s="499">
        <v>42705</v>
      </c>
      <c r="M35" s="50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0"/>
      <c r="B36" s="499">
        <v>42545</v>
      </c>
      <c r="C36" s="500">
        <v>50</v>
      </c>
      <c r="D36" s="502">
        <v>12.75</v>
      </c>
      <c r="E36" s="502">
        <v>0</v>
      </c>
      <c r="F36" s="502">
        <f t="shared" si="2"/>
        <v>637.5</v>
      </c>
      <c r="G36" s="499">
        <v>42577</v>
      </c>
      <c r="H36" s="517">
        <v>50</v>
      </c>
      <c r="I36" s="502">
        <v>13.78</v>
      </c>
      <c r="J36" s="502">
        <v>0.02</v>
      </c>
      <c r="K36" s="502">
        <f t="shared" si="3"/>
        <v>688.98</v>
      </c>
      <c r="L36" s="500"/>
      <c r="M36" s="50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0"/>
      <c r="B37" s="499">
        <v>42545</v>
      </c>
      <c r="C37" s="500">
        <v>100</v>
      </c>
      <c r="D37" s="502">
        <v>12.75</v>
      </c>
      <c r="E37" s="502">
        <v>0</v>
      </c>
      <c r="F37" s="502">
        <f t="shared" si="2"/>
        <v>1275</v>
      </c>
      <c r="G37" s="499">
        <v>42620</v>
      </c>
      <c r="H37" s="517">
        <v>100</v>
      </c>
      <c r="I37" s="502">
        <v>12.7</v>
      </c>
      <c r="J37" s="502">
        <v>0.53</v>
      </c>
      <c r="K37" s="502">
        <f t="shared" si="3"/>
        <v>1269.47</v>
      </c>
      <c r="L37" s="500"/>
      <c r="M37" s="50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0"/>
      <c r="B38" s="499">
        <v>42548</v>
      </c>
      <c r="C38" s="500">
        <v>150</v>
      </c>
      <c r="D38" s="502">
        <v>12.18</v>
      </c>
      <c r="E38" s="502">
        <v>0</v>
      </c>
      <c r="F38" s="502">
        <f t="shared" si="2"/>
        <v>1827</v>
      </c>
      <c r="G38" s="499">
        <v>42684</v>
      </c>
      <c r="H38" s="517">
        <v>250</v>
      </c>
      <c r="I38" s="502">
        <v>11.94</v>
      </c>
      <c r="J38" s="502">
        <v>7.0000000000000007E-2</v>
      </c>
      <c r="K38" s="502">
        <f t="shared" si="3"/>
        <v>2984.93</v>
      </c>
      <c r="L38" s="500"/>
      <c r="M38" s="50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0"/>
      <c r="B39" s="499">
        <v>42627</v>
      </c>
      <c r="C39" s="500">
        <v>100</v>
      </c>
      <c r="D39" s="502">
        <v>12.14</v>
      </c>
      <c r="E39" s="502">
        <v>0</v>
      </c>
      <c r="F39" s="502">
        <f t="shared" si="2"/>
        <v>1214</v>
      </c>
      <c r="G39" s="499">
        <v>42711</v>
      </c>
      <c r="H39" s="517">
        <v>200</v>
      </c>
      <c r="I39" s="502">
        <v>12.68</v>
      </c>
      <c r="J39" s="502">
        <v>0.06</v>
      </c>
      <c r="K39" s="502">
        <f t="shared" si="3"/>
        <v>2535.94</v>
      </c>
      <c r="L39" s="500"/>
      <c r="M39" s="50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0"/>
      <c r="B40" s="499">
        <v>42670</v>
      </c>
      <c r="C40" s="500">
        <v>200</v>
      </c>
      <c r="D40" s="502">
        <v>11.68</v>
      </c>
      <c r="E40" s="502">
        <v>0</v>
      </c>
      <c r="F40" s="502">
        <f t="shared" si="2"/>
        <v>2336</v>
      </c>
      <c r="G40" s="500"/>
      <c r="H40" s="517"/>
      <c r="I40" s="502"/>
      <c r="J40" s="502"/>
      <c r="K40" s="502"/>
      <c r="L40" s="500"/>
      <c r="M40" s="500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0"/>
      <c r="B41" s="500"/>
      <c r="C41" s="500"/>
      <c r="D41" s="502"/>
      <c r="E41" s="502"/>
      <c r="F41" s="502"/>
      <c r="G41" s="500"/>
      <c r="H41" s="517"/>
      <c r="I41" s="502"/>
      <c r="J41" s="502"/>
      <c r="K41" s="502"/>
      <c r="L41" s="500"/>
      <c r="M41" s="500"/>
      <c r="O41" s="81">
        <v>1.1000000000000001</v>
      </c>
      <c r="P41" s="81">
        <f>O41*$Q$4</f>
        <v>12.463000000000001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0"/>
      <c r="M42" s="500"/>
      <c r="O42" s="81">
        <v>1.0900000000000001</v>
      </c>
      <c r="P42" s="81">
        <f t="shared" ref="P42:P61" si="5">O42*$Q$4</f>
        <v>12.3497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0"/>
      <c r="B43" s="500"/>
      <c r="C43" s="500"/>
      <c r="D43" s="502"/>
      <c r="E43" s="502"/>
      <c r="F43" s="502"/>
      <c r="G43" s="500"/>
      <c r="H43" s="517"/>
      <c r="I43" s="502"/>
      <c r="J43" s="502"/>
      <c r="K43" s="502"/>
      <c r="L43" s="500"/>
      <c r="M43" s="500"/>
      <c r="O43" s="81">
        <v>1.08</v>
      </c>
      <c r="P43" s="81">
        <f t="shared" si="5"/>
        <v>12.236400000000001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0"/>
      <c r="B44" s="500"/>
      <c r="C44" s="500"/>
      <c r="D44" s="502"/>
      <c r="E44" s="502"/>
      <c r="F44" s="502"/>
      <c r="G44" s="500"/>
      <c r="H44" s="517"/>
      <c r="I44" s="502"/>
      <c r="J44" s="502"/>
      <c r="K44" s="502"/>
      <c r="L44" s="500"/>
      <c r="M44" s="500"/>
      <c r="O44" s="81">
        <v>1.07</v>
      </c>
      <c r="P44" s="81">
        <f t="shared" si="5"/>
        <v>12.123100000000001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0"/>
      <c r="B45" s="500"/>
      <c r="C45" s="500"/>
      <c r="D45" s="502"/>
      <c r="E45" s="502"/>
      <c r="F45" s="502"/>
      <c r="G45" s="500"/>
      <c r="H45" s="517"/>
      <c r="I45" s="502"/>
      <c r="J45" s="502"/>
      <c r="K45" s="502"/>
      <c r="L45" s="500"/>
      <c r="M45" s="500"/>
      <c r="O45" s="81">
        <v>1.06</v>
      </c>
      <c r="P45" s="81">
        <f t="shared" si="5"/>
        <v>12.0098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0"/>
      <c r="B46" s="500"/>
      <c r="C46" s="500"/>
      <c r="D46" s="502"/>
      <c r="E46" s="502"/>
      <c r="F46" s="502"/>
      <c r="G46" s="500"/>
      <c r="H46" s="517"/>
      <c r="I46" s="502"/>
      <c r="J46" s="502"/>
      <c r="K46" s="502"/>
      <c r="L46" s="500"/>
      <c r="M46" s="500"/>
      <c r="O46" s="81">
        <v>1.05</v>
      </c>
      <c r="P46" s="81">
        <f t="shared" si="5"/>
        <v>11.896500000000001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0"/>
      <c r="B47" s="500"/>
      <c r="C47" s="500"/>
      <c r="D47" s="502"/>
      <c r="E47" s="502"/>
      <c r="F47" s="502"/>
      <c r="G47" s="500"/>
      <c r="H47" s="517"/>
      <c r="I47" s="502"/>
      <c r="J47" s="502"/>
      <c r="K47" s="502"/>
      <c r="L47" s="500"/>
      <c r="M47" s="500"/>
      <c r="O47" s="81">
        <v>1.04</v>
      </c>
      <c r="P47" s="81">
        <f t="shared" si="5"/>
        <v>11.783200000000001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0"/>
      <c r="B48" s="500"/>
      <c r="C48" s="500"/>
      <c r="D48" s="502"/>
      <c r="E48" s="502"/>
      <c r="F48" s="502"/>
      <c r="G48" s="500"/>
      <c r="H48" s="517"/>
      <c r="I48" s="502"/>
      <c r="J48" s="502"/>
      <c r="K48" s="502"/>
      <c r="L48" s="500"/>
      <c r="M48" s="500"/>
      <c r="O48" s="81">
        <v>1.03</v>
      </c>
      <c r="P48" s="81">
        <f t="shared" si="5"/>
        <v>11.6699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0"/>
      <c r="B49" s="500"/>
      <c r="C49" s="500"/>
      <c r="D49" s="502"/>
      <c r="E49" s="502"/>
      <c r="F49" s="502"/>
      <c r="G49" s="500"/>
      <c r="H49" s="517"/>
      <c r="I49" s="502"/>
      <c r="J49" s="502"/>
      <c r="K49" s="502"/>
      <c r="L49" s="500"/>
      <c r="M49" s="500"/>
      <c r="O49" s="81">
        <v>1.02</v>
      </c>
      <c r="P49" s="81">
        <f t="shared" si="5"/>
        <v>11.5566</v>
      </c>
      <c r="Q49" s="2"/>
      <c r="T49" s="91" t="s">
        <v>103</v>
      </c>
      <c r="U49" s="86" t="s">
        <v>375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9" t="s">
        <v>81</v>
      </c>
      <c r="B50" s="520"/>
      <c r="C50" s="520">
        <f>SUM(C34:C40)</f>
        <v>800</v>
      </c>
      <c r="D50" s="521"/>
      <c r="E50" s="521"/>
      <c r="F50" s="521">
        <f>SUM(F34:F49)</f>
        <v>12073.5</v>
      </c>
      <c r="G50" s="520"/>
      <c r="H50" s="520">
        <f>SUM(H34:H49)</f>
        <v>1000</v>
      </c>
      <c r="I50" s="521"/>
      <c r="J50" s="521"/>
      <c r="K50" s="521">
        <f>SUM(K34:K49)</f>
        <v>12486.21</v>
      </c>
      <c r="L50" s="520"/>
      <c r="M50" s="521">
        <f>SUM(M34:M49)</f>
        <v>82.5</v>
      </c>
      <c r="O50" s="81">
        <v>1.01</v>
      </c>
      <c r="P50" s="81">
        <f t="shared" si="5"/>
        <v>11.443300000000001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2" t="s">
        <v>194</v>
      </c>
      <c r="B51" s="523"/>
      <c r="C51" s="524">
        <f>SumByColor($A$19,C34:C49)</f>
        <v>0</v>
      </c>
      <c r="D51" s="524"/>
      <c r="E51" s="524"/>
      <c r="F51" s="525">
        <f>SumByColor($A$19,F34:F49)</f>
        <v>0</v>
      </c>
      <c r="G51" s="524"/>
      <c r="H51" s="524">
        <f>SumByColor($A$19,H34:H49)</f>
        <v>0</v>
      </c>
      <c r="I51" s="524"/>
      <c r="J51" s="524"/>
      <c r="K51" s="525">
        <f>SumByColor($A$19,K34:K49)</f>
        <v>0</v>
      </c>
      <c r="L51" s="524"/>
      <c r="M51" s="525">
        <f>SumByColor($A$19,M34:M49)</f>
        <v>0</v>
      </c>
      <c r="O51" s="81">
        <v>1</v>
      </c>
      <c r="P51" s="81">
        <f t="shared" si="5"/>
        <v>11.33</v>
      </c>
      <c r="Q51" s="2"/>
      <c r="T51" s="91" t="s">
        <v>104</v>
      </c>
      <c r="U51" s="86" t="s">
        <v>597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11.216699999999999</v>
      </c>
      <c r="Q52" s="2"/>
      <c r="T52" s="91" t="s">
        <v>105</v>
      </c>
      <c r="U52" s="86" t="s">
        <v>392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11.103400000000001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10.876799999999999</v>
      </c>
      <c r="T55" s="91" t="s">
        <v>107</v>
      </c>
      <c r="U55" s="86" t="s">
        <v>598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5" t="s">
        <v>113</v>
      </c>
      <c r="C56" s="185" t="s">
        <v>146</v>
      </c>
      <c r="D56" s="186" t="s">
        <v>145</v>
      </c>
      <c r="E56" s="188" t="s">
        <v>147</v>
      </c>
      <c r="F56" s="188" t="s">
        <v>65</v>
      </c>
      <c r="G56" s="223" t="s">
        <v>151</v>
      </c>
      <c r="H56" s="223" t="s">
        <v>88</v>
      </c>
      <c r="I56" s="223" t="s">
        <v>154</v>
      </c>
      <c r="O56" s="81">
        <v>0.95</v>
      </c>
      <c r="P56" s="81">
        <f t="shared" si="5"/>
        <v>10.763499999999999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8">
        <v>42488</v>
      </c>
      <c r="C57" s="253">
        <v>100</v>
      </c>
      <c r="D57" s="254">
        <v>13.8</v>
      </c>
      <c r="E57" s="254">
        <v>13.56</v>
      </c>
      <c r="F57" s="254">
        <f>C57*(E57-D57)</f>
        <v>-24.000000000000021</v>
      </c>
      <c r="G57" s="254">
        <f>D57*C57</f>
        <v>1380</v>
      </c>
      <c r="H57" s="268">
        <f>(E57-D57)/D57</f>
        <v>-1.7391304347826101E-2</v>
      </c>
      <c r="I57" s="254"/>
      <c r="O57" s="81">
        <v>0.94</v>
      </c>
      <c r="P57" s="81">
        <f t="shared" si="5"/>
        <v>10.6502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8">
        <v>42494</v>
      </c>
      <c r="C58" s="253">
        <v>100</v>
      </c>
      <c r="D58" s="254">
        <v>13.8</v>
      </c>
      <c r="E58" s="254">
        <v>13.31</v>
      </c>
      <c r="F58" s="254">
        <f>C58*(E58-D58)</f>
        <v>-49.000000000000021</v>
      </c>
      <c r="G58" s="254">
        <f>D58*C58</f>
        <v>1380</v>
      </c>
      <c r="H58" s="268">
        <f>(E58-D58)/D58</f>
        <v>-3.5507246376811609E-2</v>
      </c>
      <c r="I58" s="254"/>
      <c r="O58" s="81">
        <v>0.93</v>
      </c>
      <c r="P58" s="81">
        <f t="shared" si="5"/>
        <v>10.536900000000001</v>
      </c>
      <c r="T58" s="91" t="s">
        <v>108</v>
      </c>
      <c r="U58" s="86" t="s">
        <v>539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8">
        <v>42507</v>
      </c>
      <c r="C59" s="253">
        <v>200</v>
      </c>
      <c r="D59" s="254">
        <v>13.44</v>
      </c>
      <c r="E59" s="254">
        <v>13.14</v>
      </c>
      <c r="F59" s="254">
        <f>C59*(E59-D59)</f>
        <v>-59.999999999999787</v>
      </c>
      <c r="G59" s="254">
        <f>D59*C59</f>
        <v>2688</v>
      </c>
      <c r="H59" s="268">
        <f>(E59-D59)/D59</f>
        <v>-2.2321428571428492E-2</v>
      </c>
      <c r="I59" s="254"/>
      <c r="O59" s="81">
        <v>0.92</v>
      </c>
      <c r="P59" s="81">
        <f t="shared" si="5"/>
        <v>10.4236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8">
        <v>42515</v>
      </c>
      <c r="C60" s="253">
        <v>100</v>
      </c>
      <c r="D60" s="254">
        <v>13.2903</v>
      </c>
      <c r="E60" s="254">
        <v>13.52</v>
      </c>
      <c r="F60" s="254">
        <f t="shared" ref="F60:F95" si="6">C60*(E60-D60)</f>
        <v>22.969999999999935</v>
      </c>
      <c r="G60" s="254">
        <f t="shared" ref="G60:G95" si="7">D60*C60</f>
        <v>1329.03</v>
      </c>
      <c r="H60" s="268">
        <f t="shared" ref="H60:H95" si="8">(E60-D60)/D60</f>
        <v>1.7283281791983577E-2</v>
      </c>
      <c r="I60" s="254"/>
      <c r="O60" s="81">
        <v>0.91</v>
      </c>
      <c r="P60" s="81">
        <f t="shared" si="5"/>
        <v>10.3103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8">
        <v>42527</v>
      </c>
      <c r="C61" s="253">
        <v>100</v>
      </c>
      <c r="D61" s="254">
        <v>13.2903</v>
      </c>
      <c r="E61" s="254">
        <v>13.18</v>
      </c>
      <c r="F61" s="254">
        <f t="shared" si="6"/>
        <v>-11.030000000000051</v>
      </c>
      <c r="G61" s="254">
        <f t="shared" si="7"/>
        <v>1329.03</v>
      </c>
      <c r="H61" s="268">
        <f t="shared" si="8"/>
        <v>-8.2992859453887811E-3</v>
      </c>
      <c r="I61" s="254"/>
      <c r="O61" s="81">
        <v>0.9</v>
      </c>
      <c r="P61" s="81">
        <f t="shared" si="5"/>
        <v>10.197000000000001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8">
        <v>42528</v>
      </c>
      <c r="C62" s="253">
        <v>100</v>
      </c>
      <c r="D62" s="254">
        <v>13.2903</v>
      </c>
      <c r="E62" s="254">
        <v>13.38</v>
      </c>
      <c r="F62" s="254">
        <f t="shared" si="6"/>
        <v>8.9700000000000557</v>
      </c>
      <c r="G62" s="254">
        <f t="shared" si="7"/>
        <v>1329.03</v>
      </c>
      <c r="H62" s="268">
        <f t="shared" si="8"/>
        <v>6.7492833118891638E-3</v>
      </c>
      <c r="I62" s="254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8">
        <v>42535</v>
      </c>
      <c r="C63" s="253">
        <v>100</v>
      </c>
      <c r="D63" s="254">
        <v>13.29</v>
      </c>
      <c r="E63" s="254">
        <v>12.84</v>
      </c>
      <c r="F63" s="254">
        <f t="shared" si="6"/>
        <v>-44.999999999999929</v>
      </c>
      <c r="G63" s="254">
        <f t="shared" si="7"/>
        <v>1329</v>
      </c>
      <c r="H63" s="268">
        <f t="shared" si="8"/>
        <v>-3.386004514672681E-2</v>
      </c>
      <c r="I63" s="254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8">
        <v>42542</v>
      </c>
      <c r="C64" s="253">
        <v>100</v>
      </c>
      <c r="D64" s="254">
        <v>13.2903</v>
      </c>
      <c r="E64" s="254">
        <v>13.42</v>
      </c>
      <c r="F64" s="254">
        <f t="shared" si="6"/>
        <v>12.96999999999997</v>
      </c>
      <c r="G64" s="254">
        <f t="shared" si="7"/>
        <v>1329.03</v>
      </c>
      <c r="H64" s="268">
        <f t="shared" si="8"/>
        <v>9.758997163344673E-3</v>
      </c>
      <c r="I64" s="254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8">
        <v>42545</v>
      </c>
      <c r="C65" s="253">
        <v>250</v>
      </c>
      <c r="D65" s="254">
        <v>12.966100000000001</v>
      </c>
      <c r="E65" s="254">
        <v>12.52</v>
      </c>
      <c r="F65" s="254">
        <f t="shared" si="6"/>
        <v>-111.52500000000032</v>
      </c>
      <c r="G65" s="254">
        <f t="shared" si="7"/>
        <v>3241.5250000000001</v>
      </c>
      <c r="H65" s="268">
        <f t="shared" si="8"/>
        <v>-3.4405102536614808E-2</v>
      </c>
      <c r="I65" s="254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8">
        <v>42548</v>
      </c>
      <c r="C66" s="253">
        <v>400</v>
      </c>
      <c r="D66" s="254">
        <v>12.6713</v>
      </c>
      <c r="E66" s="254">
        <v>12.16</v>
      </c>
      <c r="F66" s="254">
        <f t="shared" si="6"/>
        <v>-204.52000000000012</v>
      </c>
      <c r="G66" s="254">
        <f t="shared" si="7"/>
        <v>5068.5200000000004</v>
      </c>
      <c r="H66" s="268">
        <f t="shared" si="8"/>
        <v>-4.0351029491843798E-2</v>
      </c>
      <c r="I66" s="254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8">
        <v>42552</v>
      </c>
      <c r="C67" s="253">
        <v>400</v>
      </c>
      <c r="D67" s="254">
        <v>12.6713</v>
      </c>
      <c r="E67" s="254">
        <v>12.72</v>
      </c>
      <c r="F67" s="254">
        <f t="shared" si="6"/>
        <v>19.480000000000075</v>
      </c>
      <c r="G67" s="254">
        <f t="shared" si="7"/>
        <v>5068.5200000000004</v>
      </c>
      <c r="H67" s="268">
        <f t="shared" si="8"/>
        <v>3.843330992084489E-3</v>
      </c>
      <c r="I67" s="254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8">
        <v>42556</v>
      </c>
      <c r="C68" s="253">
        <v>400</v>
      </c>
      <c r="D68" s="254">
        <v>12.6713</v>
      </c>
      <c r="E68" s="254">
        <v>12.4</v>
      </c>
      <c r="F68" s="254">
        <f t="shared" si="6"/>
        <v>-108.52000000000004</v>
      </c>
      <c r="G68" s="254">
        <f t="shared" si="7"/>
        <v>5068.5200000000004</v>
      </c>
      <c r="H68" s="268">
        <f t="shared" si="8"/>
        <v>-2.1410589284445961E-2</v>
      </c>
      <c r="I68" s="55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8">
        <v>42566</v>
      </c>
      <c r="C69" s="253">
        <v>300</v>
      </c>
      <c r="D69" s="254">
        <v>12.5352</v>
      </c>
      <c r="E69" s="254">
        <v>13.57</v>
      </c>
      <c r="F69" s="254">
        <f t="shared" si="6"/>
        <v>310.44000000000017</v>
      </c>
      <c r="G69" s="254">
        <f t="shared" si="7"/>
        <v>3760.56</v>
      </c>
      <c r="H69" s="268">
        <f t="shared" si="8"/>
        <v>8.2551534877784216E-2</v>
      </c>
      <c r="I69" s="55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8">
        <v>42570</v>
      </c>
      <c r="C70" s="253">
        <v>300</v>
      </c>
      <c r="D70" s="254">
        <v>12.5352</v>
      </c>
      <c r="E70" s="254">
        <v>13.65</v>
      </c>
      <c r="F70" s="254">
        <f t="shared" si="6"/>
        <v>334.44000000000023</v>
      </c>
      <c r="G70" s="254">
        <f t="shared" si="7"/>
        <v>3760.56</v>
      </c>
      <c r="H70" s="268">
        <f t="shared" si="8"/>
        <v>8.8933563086348894E-2</v>
      </c>
      <c r="I70" s="254"/>
    </row>
    <row r="71" spans="2:31" x14ac:dyDescent="0.25">
      <c r="B71" s="258">
        <v>42571</v>
      </c>
      <c r="C71" s="253">
        <v>300</v>
      </c>
      <c r="D71" s="254">
        <v>12.5352</v>
      </c>
      <c r="E71" s="254">
        <v>13.74</v>
      </c>
      <c r="F71" s="254">
        <f t="shared" si="6"/>
        <v>361.44000000000017</v>
      </c>
      <c r="G71" s="254">
        <f t="shared" si="7"/>
        <v>3760.56</v>
      </c>
      <c r="H71" s="268">
        <f t="shared" si="8"/>
        <v>9.6113344820984159E-2</v>
      </c>
      <c r="I71" s="254"/>
    </row>
    <row r="72" spans="2:31" x14ac:dyDescent="0.25">
      <c r="B72" s="258">
        <v>42572</v>
      </c>
      <c r="C72" s="253">
        <v>300</v>
      </c>
      <c r="D72" s="254">
        <v>12.5352</v>
      </c>
      <c r="E72" s="254">
        <v>13.92</v>
      </c>
      <c r="F72" s="254">
        <f t="shared" si="6"/>
        <v>415.44000000000005</v>
      </c>
      <c r="G72" s="254">
        <f t="shared" si="7"/>
        <v>3760.56</v>
      </c>
      <c r="H72" s="268">
        <f t="shared" si="8"/>
        <v>0.11047290829025466</v>
      </c>
      <c r="I72" s="254"/>
    </row>
    <row r="73" spans="2:31" x14ac:dyDescent="0.25">
      <c r="B73" s="258">
        <v>42575</v>
      </c>
      <c r="C73" s="253">
        <v>300</v>
      </c>
      <c r="D73" s="254">
        <v>12.5352</v>
      </c>
      <c r="E73" s="254">
        <v>13.82</v>
      </c>
      <c r="F73" s="254">
        <f t="shared" si="6"/>
        <v>385.44000000000017</v>
      </c>
      <c r="G73" s="254">
        <f t="shared" si="7"/>
        <v>3760.56</v>
      </c>
      <c r="H73" s="268">
        <f t="shared" si="8"/>
        <v>0.10249537302954884</v>
      </c>
      <c r="I73" s="254"/>
    </row>
    <row r="74" spans="2:31" x14ac:dyDescent="0.25">
      <c r="B74" s="258">
        <v>42577</v>
      </c>
      <c r="C74" s="253">
        <v>250</v>
      </c>
      <c r="D74" s="254">
        <v>12.286300000000001</v>
      </c>
      <c r="E74" s="254">
        <v>13.86</v>
      </c>
      <c r="F74" s="254">
        <f t="shared" si="6"/>
        <v>393.42499999999967</v>
      </c>
      <c r="G74" s="254">
        <f t="shared" si="7"/>
        <v>3071.5750000000003</v>
      </c>
      <c r="H74" s="268">
        <f t="shared" si="8"/>
        <v>0.12808575405126024</v>
      </c>
      <c r="I74" s="554" t="s">
        <v>254</v>
      </c>
    </row>
    <row r="75" spans="2:31" x14ac:dyDescent="0.25">
      <c r="B75" s="258">
        <v>42579</v>
      </c>
      <c r="C75" s="253">
        <v>250</v>
      </c>
      <c r="D75" s="254">
        <v>12.286300000000001</v>
      </c>
      <c r="E75" s="254">
        <v>12.71</v>
      </c>
      <c r="F75" s="254">
        <f t="shared" si="6"/>
        <v>105.92500000000004</v>
      </c>
      <c r="G75" s="254">
        <f t="shared" si="7"/>
        <v>3071.5750000000003</v>
      </c>
      <c r="H75" s="268">
        <f t="shared" si="8"/>
        <v>3.4485565223053335E-2</v>
      </c>
      <c r="I75" s="254"/>
    </row>
    <row r="76" spans="2:31" x14ac:dyDescent="0.25">
      <c r="B76" s="258">
        <v>42585</v>
      </c>
      <c r="C76" s="253">
        <v>250</v>
      </c>
      <c r="D76" s="254">
        <v>12.286300000000001</v>
      </c>
      <c r="E76" s="254">
        <v>11.94</v>
      </c>
      <c r="F76" s="254">
        <f t="shared" si="6"/>
        <v>-86.575000000000287</v>
      </c>
      <c r="G76" s="254">
        <f t="shared" si="7"/>
        <v>3071.5750000000003</v>
      </c>
      <c r="H76" s="268">
        <f t="shared" si="8"/>
        <v>-2.8185865557572347E-2</v>
      </c>
      <c r="I76" s="254"/>
    </row>
    <row r="77" spans="2:31" x14ac:dyDescent="0.25">
      <c r="B77" s="258">
        <v>42593</v>
      </c>
      <c r="C77" s="253">
        <v>250</v>
      </c>
      <c r="D77" s="254">
        <v>12.286300000000001</v>
      </c>
      <c r="E77" s="254">
        <v>12.25</v>
      </c>
      <c r="F77" s="254">
        <f t="shared" si="6"/>
        <v>-9.0750000000001663</v>
      </c>
      <c r="G77" s="254">
        <f t="shared" si="7"/>
        <v>3071.5750000000003</v>
      </c>
      <c r="H77" s="268">
        <f t="shared" si="8"/>
        <v>-2.9545103082295452E-3</v>
      </c>
      <c r="I77" s="254"/>
    </row>
    <row r="78" spans="2:31" x14ac:dyDescent="0.25">
      <c r="B78" s="258">
        <v>42597</v>
      </c>
      <c r="C78" s="253">
        <v>250</v>
      </c>
      <c r="D78" s="254">
        <v>12.286300000000001</v>
      </c>
      <c r="E78" s="254">
        <v>12.43</v>
      </c>
      <c r="F78" s="254">
        <f t="shared" si="6"/>
        <v>35.924999999999763</v>
      </c>
      <c r="G78" s="254">
        <f t="shared" si="7"/>
        <v>3071.5750000000003</v>
      </c>
      <c r="H78" s="268">
        <f t="shared" si="8"/>
        <v>1.1695954030098488E-2</v>
      </c>
      <c r="I78" s="254"/>
    </row>
    <row r="79" spans="2:31" x14ac:dyDescent="0.25">
      <c r="B79" s="258">
        <v>42600</v>
      </c>
      <c r="C79" s="253">
        <v>250</v>
      </c>
      <c r="D79" s="254">
        <v>12.286300000000001</v>
      </c>
      <c r="E79" s="254">
        <v>12.33</v>
      </c>
      <c r="F79" s="254">
        <f t="shared" si="6"/>
        <v>10.924999999999851</v>
      </c>
      <c r="G79" s="254">
        <f t="shared" si="7"/>
        <v>3071.5750000000003</v>
      </c>
      <c r="H79" s="268">
        <f t="shared" si="8"/>
        <v>3.5568071754718184E-3</v>
      </c>
      <c r="I79" s="254"/>
    </row>
    <row r="80" spans="2:31" x14ac:dyDescent="0.25">
      <c r="B80" s="258">
        <v>42601</v>
      </c>
      <c r="C80" s="253">
        <v>250</v>
      </c>
      <c r="D80" s="254">
        <v>12.286300000000001</v>
      </c>
      <c r="E80" s="254">
        <v>12.39</v>
      </c>
      <c r="F80" s="254">
        <f t="shared" si="6"/>
        <v>25.924999999999976</v>
      </c>
      <c r="G80" s="254">
        <f t="shared" si="7"/>
        <v>3071.5750000000003</v>
      </c>
      <c r="H80" s="268">
        <f t="shared" si="8"/>
        <v>8.4402952882478774E-3</v>
      </c>
      <c r="I80" s="254"/>
    </row>
    <row r="81" spans="2:9" x14ac:dyDescent="0.25">
      <c r="B81" s="258">
        <v>42604</v>
      </c>
      <c r="C81" s="253">
        <v>250</v>
      </c>
      <c r="D81" s="254">
        <v>12.286300000000001</v>
      </c>
      <c r="E81" s="254">
        <v>12.36</v>
      </c>
      <c r="F81" s="254">
        <f t="shared" si="6"/>
        <v>18.424999999999692</v>
      </c>
      <c r="G81" s="254">
        <f t="shared" si="7"/>
        <v>3071.5750000000003</v>
      </c>
      <c r="H81" s="268">
        <f t="shared" si="8"/>
        <v>5.9985512318597757E-3</v>
      </c>
      <c r="I81" s="254"/>
    </row>
    <row r="82" spans="2:9" x14ac:dyDescent="0.25">
      <c r="B82" s="258">
        <v>42607</v>
      </c>
      <c r="C82" s="253">
        <v>250</v>
      </c>
      <c r="D82" s="254">
        <v>12.286300000000001</v>
      </c>
      <c r="E82" s="254">
        <v>12.47</v>
      </c>
      <c r="F82" s="254">
        <f t="shared" si="6"/>
        <v>45.924999999999997</v>
      </c>
      <c r="G82" s="254">
        <f t="shared" si="7"/>
        <v>3071.5750000000003</v>
      </c>
      <c r="H82" s="268">
        <f t="shared" si="8"/>
        <v>1.4951612771949242E-2</v>
      </c>
      <c r="I82" s="254"/>
    </row>
    <row r="83" spans="2:9" x14ac:dyDescent="0.25">
      <c r="B83" s="258">
        <v>42615</v>
      </c>
      <c r="C83" s="253">
        <v>250</v>
      </c>
      <c r="D83" s="254">
        <v>12.106299999999999</v>
      </c>
      <c r="E83" s="254">
        <v>12.5</v>
      </c>
      <c r="F83" s="254">
        <f t="shared" si="6"/>
        <v>98.42500000000021</v>
      </c>
      <c r="G83" s="254">
        <f t="shared" si="7"/>
        <v>3026.5749999999998</v>
      </c>
      <c r="H83" s="268">
        <f t="shared" si="8"/>
        <v>3.252025804746296E-2</v>
      </c>
      <c r="I83" s="407" t="s">
        <v>264</v>
      </c>
    </row>
    <row r="84" spans="2:9" x14ac:dyDescent="0.25">
      <c r="B84" s="258">
        <v>42620</v>
      </c>
      <c r="C84" s="253">
        <v>150</v>
      </c>
      <c r="D84" s="254">
        <v>11.7141</v>
      </c>
      <c r="E84" s="254">
        <v>12.7</v>
      </c>
      <c r="F84" s="254">
        <f t="shared" si="6"/>
        <v>147.88499999999988</v>
      </c>
      <c r="G84" s="254">
        <f t="shared" si="7"/>
        <v>1757.115</v>
      </c>
      <c r="H84" s="268">
        <f t="shared" si="8"/>
        <v>8.4163529421807826E-2</v>
      </c>
      <c r="I84" s="254"/>
    </row>
    <row r="85" spans="2:9" x14ac:dyDescent="0.25">
      <c r="B85" s="258">
        <v>42621</v>
      </c>
      <c r="C85" s="253">
        <v>150</v>
      </c>
      <c r="D85" s="254">
        <v>11.7141</v>
      </c>
      <c r="E85" s="254">
        <v>12.73</v>
      </c>
      <c r="F85" s="254">
        <f t="shared" si="6"/>
        <v>152.38500000000005</v>
      </c>
      <c r="G85" s="254">
        <f t="shared" si="7"/>
        <v>1757.115</v>
      </c>
      <c r="H85" s="268">
        <f t="shared" si="8"/>
        <v>8.6724545633040537E-2</v>
      </c>
      <c r="I85" s="254"/>
    </row>
    <row r="86" spans="2:9" x14ac:dyDescent="0.25">
      <c r="B86" s="258">
        <v>42622</v>
      </c>
      <c r="C86" s="253">
        <v>150</v>
      </c>
      <c r="D86" s="254">
        <v>11.7141</v>
      </c>
      <c r="E86" s="254">
        <v>12.38</v>
      </c>
      <c r="F86" s="254">
        <f t="shared" si="6"/>
        <v>99.88500000000009</v>
      </c>
      <c r="G86" s="254">
        <f t="shared" si="7"/>
        <v>1757.115</v>
      </c>
      <c r="H86" s="268">
        <f t="shared" si="8"/>
        <v>5.684602316866004E-2</v>
      </c>
      <c r="I86" s="254"/>
    </row>
    <row r="87" spans="2:9" x14ac:dyDescent="0.25">
      <c r="B87" s="258">
        <v>42625</v>
      </c>
      <c r="C87" s="253">
        <v>150</v>
      </c>
      <c r="D87" s="254">
        <v>11.7141</v>
      </c>
      <c r="E87" s="254">
        <v>12.7</v>
      </c>
      <c r="F87" s="254">
        <f t="shared" si="6"/>
        <v>147.88499999999988</v>
      </c>
      <c r="G87" s="254">
        <f t="shared" si="7"/>
        <v>1757.115</v>
      </c>
      <c r="H87" s="268">
        <f t="shared" si="8"/>
        <v>8.4163529421807826E-2</v>
      </c>
      <c r="I87" s="254"/>
    </row>
    <row r="88" spans="2:9" x14ac:dyDescent="0.25">
      <c r="B88" s="258">
        <v>42627</v>
      </c>
      <c r="C88" s="253">
        <v>250</v>
      </c>
      <c r="D88" s="254">
        <v>11.884399999999999</v>
      </c>
      <c r="E88" s="254">
        <v>12.14</v>
      </c>
      <c r="F88" s="254">
        <f t="shared" si="6"/>
        <v>63.90000000000029</v>
      </c>
      <c r="G88" s="254">
        <f t="shared" si="7"/>
        <v>2971.1</v>
      </c>
      <c r="H88" s="268">
        <f t="shared" si="8"/>
        <v>2.1507185890747633E-2</v>
      </c>
      <c r="I88" s="407" t="s">
        <v>277</v>
      </c>
    </row>
    <row r="89" spans="2:9" x14ac:dyDescent="0.25">
      <c r="B89" s="258">
        <v>42648</v>
      </c>
      <c r="C89" s="253">
        <v>250</v>
      </c>
      <c r="D89" s="254">
        <v>11.884399999999999</v>
      </c>
      <c r="E89" s="254">
        <v>12.48</v>
      </c>
      <c r="F89" s="254">
        <f t="shared" si="6"/>
        <v>148.90000000000026</v>
      </c>
      <c r="G89" s="254">
        <f t="shared" si="7"/>
        <v>2971.1</v>
      </c>
      <c r="H89" s="268">
        <f t="shared" si="8"/>
        <v>5.0116118609269379E-2</v>
      </c>
      <c r="I89" s="254"/>
    </row>
    <row r="90" spans="2:9" x14ac:dyDescent="0.25">
      <c r="B90" s="258">
        <v>42649</v>
      </c>
      <c r="C90" s="253">
        <v>250</v>
      </c>
      <c r="D90" s="254">
        <v>11.884399999999999</v>
      </c>
      <c r="E90" s="254">
        <v>12.39</v>
      </c>
      <c r="F90" s="254">
        <f t="shared" si="6"/>
        <v>126.40000000000029</v>
      </c>
      <c r="G90" s="254">
        <f t="shared" si="7"/>
        <v>2971.1</v>
      </c>
      <c r="H90" s="268">
        <f t="shared" si="8"/>
        <v>4.2543165830837164E-2</v>
      </c>
      <c r="I90" s="254"/>
    </row>
    <row r="91" spans="2:9" x14ac:dyDescent="0.25">
      <c r="B91" s="258">
        <v>42668</v>
      </c>
      <c r="C91" s="253">
        <v>250</v>
      </c>
      <c r="D91" s="254">
        <v>11.884399999999999</v>
      </c>
      <c r="E91" s="254">
        <v>11.85</v>
      </c>
      <c r="F91" s="254">
        <f t="shared" si="6"/>
        <v>-8.599999999999941</v>
      </c>
      <c r="G91" s="254">
        <f t="shared" si="7"/>
        <v>2971.1</v>
      </c>
      <c r="H91" s="268">
        <f t="shared" si="8"/>
        <v>-2.8945508397562993E-3</v>
      </c>
      <c r="I91" s="254"/>
    </row>
    <row r="92" spans="2:9" x14ac:dyDescent="0.25">
      <c r="B92" s="258">
        <v>42670</v>
      </c>
      <c r="C92" s="253">
        <v>450</v>
      </c>
      <c r="D92" s="254">
        <v>11.7936</v>
      </c>
      <c r="E92" s="254">
        <v>11.74</v>
      </c>
      <c r="F92" s="254">
        <f t="shared" si="6"/>
        <v>-24.119999999999742</v>
      </c>
      <c r="G92" s="254">
        <f t="shared" si="7"/>
        <v>5307.12</v>
      </c>
      <c r="H92" s="268">
        <f t="shared" si="8"/>
        <v>-4.5448378781711629E-3</v>
      </c>
      <c r="I92" s="254"/>
    </row>
    <row r="93" spans="2:9" x14ac:dyDescent="0.25">
      <c r="B93" s="258">
        <v>42676</v>
      </c>
      <c r="C93" s="253">
        <v>450</v>
      </c>
      <c r="D93" s="254">
        <v>11.7936</v>
      </c>
      <c r="E93" s="254">
        <v>11.4</v>
      </c>
      <c r="F93" s="254">
        <f t="shared" si="6"/>
        <v>-177.11999999999966</v>
      </c>
      <c r="G93" s="254">
        <f t="shared" si="7"/>
        <v>5307.12</v>
      </c>
      <c r="H93" s="268">
        <f t="shared" si="8"/>
        <v>-3.3374033374033316E-2</v>
      </c>
      <c r="I93" s="254"/>
    </row>
    <row r="94" spans="2:9" x14ac:dyDescent="0.25">
      <c r="B94" s="258">
        <v>42701</v>
      </c>
      <c r="C94" s="253">
        <v>200</v>
      </c>
      <c r="D94" s="254">
        <v>11.610900000000001</v>
      </c>
      <c r="E94" s="254">
        <v>12.04</v>
      </c>
      <c r="F94" s="254">
        <f t="shared" si="6"/>
        <v>85.819999999999652</v>
      </c>
      <c r="G94" s="254">
        <f t="shared" si="7"/>
        <v>2322.1800000000003</v>
      </c>
      <c r="H94" s="268">
        <f t="shared" si="8"/>
        <v>3.6956652800385695E-2</v>
      </c>
      <c r="I94" s="254"/>
    </row>
    <row r="95" spans="2:9" x14ac:dyDescent="0.25">
      <c r="B95" s="258">
        <v>42706</v>
      </c>
      <c r="C95" s="253">
        <v>200</v>
      </c>
      <c r="D95" s="254">
        <v>11.423400000000001</v>
      </c>
      <c r="E95" s="254">
        <v>12.24</v>
      </c>
      <c r="F95" s="254">
        <f t="shared" si="6"/>
        <v>163.31999999999988</v>
      </c>
      <c r="G95" s="254">
        <f t="shared" si="7"/>
        <v>2284.6800000000003</v>
      </c>
      <c r="H95" s="268">
        <f t="shared" si="8"/>
        <v>7.1484846893219114E-2</v>
      </c>
      <c r="I95" s="254"/>
    </row>
    <row r="96" spans="2:9" x14ac:dyDescent="0.25">
      <c r="B96" s="258">
        <v>42711</v>
      </c>
      <c r="C96" s="253">
        <v>0</v>
      </c>
      <c r="D96" s="254"/>
      <c r="E96" s="254"/>
      <c r="F96" s="254">
        <v>251.26</v>
      </c>
      <c r="G96" s="254"/>
      <c r="H96" s="268"/>
      <c r="I96" s="254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7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7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51" priority="31">
      <formula>Q7&gt;0</formula>
    </cfRule>
    <cfRule type="expression" dxfId="1750" priority="32">
      <formula>Q7&lt;0</formula>
    </cfRule>
  </conditionalFormatting>
  <conditionalFormatting sqref="Q8">
    <cfRule type="expression" dxfId="1749" priority="29">
      <formula>Q8&gt;0</formula>
    </cfRule>
    <cfRule type="expression" dxfId="1748" priority="30">
      <formula>Q8&lt;0</formula>
    </cfRule>
  </conditionalFormatting>
  <conditionalFormatting sqref="F62:F65">
    <cfRule type="expression" dxfId="1747" priority="21">
      <formula>F62&gt;0</formula>
    </cfRule>
    <cfRule type="expression" dxfId="1746" priority="22">
      <formula>F62&lt;0</formula>
    </cfRule>
  </conditionalFormatting>
  <conditionalFormatting sqref="F66:F74 F78:F98 F102:F106">
    <cfRule type="expression" dxfId="1745" priority="17">
      <formula>F66&gt;0</formula>
    </cfRule>
    <cfRule type="expression" dxfId="1744" priority="18">
      <formula>F66&lt;0</formula>
    </cfRule>
  </conditionalFormatting>
  <conditionalFormatting sqref="F66:F74 F78:F98 F102:F106">
    <cfRule type="expression" dxfId="1743" priority="19">
      <formula>F66&gt;0</formula>
    </cfRule>
    <cfRule type="expression" dxfId="1742" priority="20">
      <formula>F66&lt;0</formula>
    </cfRule>
  </conditionalFormatting>
  <conditionalFormatting sqref="H62:H74 H78:H98 H102:H106">
    <cfRule type="expression" dxfId="1741" priority="15">
      <formula>H62&gt;0</formula>
    </cfRule>
    <cfRule type="expression" dxfId="1740" priority="16">
      <formula>H62&lt;0</formula>
    </cfRule>
  </conditionalFormatting>
  <conditionalFormatting sqref="F57:F61">
    <cfRule type="expression" dxfId="1739" priority="13">
      <formula>F57&gt;0</formula>
    </cfRule>
    <cfRule type="expression" dxfId="1738" priority="14">
      <formula>F57&lt;0</formula>
    </cfRule>
  </conditionalFormatting>
  <conditionalFormatting sqref="H57:H61">
    <cfRule type="expression" dxfId="1737" priority="11">
      <formula>H57&gt;0</formula>
    </cfRule>
    <cfRule type="expression" dxfId="1736" priority="12">
      <formula>H57&lt;0</formula>
    </cfRule>
  </conditionalFormatting>
  <conditionalFormatting sqref="F75:F77">
    <cfRule type="expression" dxfId="1735" priority="7">
      <formula>F75&gt;0</formula>
    </cfRule>
    <cfRule type="expression" dxfId="1734" priority="8">
      <formula>F75&lt;0</formula>
    </cfRule>
  </conditionalFormatting>
  <conditionalFormatting sqref="F75:F77">
    <cfRule type="expression" dxfId="1733" priority="9">
      <formula>F75&gt;0</formula>
    </cfRule>
    <cfRule type="expression" dxfId="1732" priority="10">
      <formula>F75&lt;0</formula>
    </cfRule>
  </conditionalFormatting>
  <conditionalFormatting sqref="H75:H77">
    <cfRule type="expression" dxfId="1731" priority="5">
      <formula>H75&gt;0</formula>
    </cfRule>
    <cfRule type="expression" dxfId="1730" priority="6">
      <formula>H75&lt;0</formula>
    </cfRule>
  </conditionalFormatting>
  <conditionalFormatting sqref="F22:F30">
    <cfRule type="expression" dxfId="1729" priority="3">
      <formula>F22&gt;0</formula>
    </cfRule>
    <cfRule type="expression" dxfId="1728" priority="4">
      <formula>F22&lt;0</formula>
    </cfRule>
  </conditionalFormatting>
  <conditionalFormatting sqref="F99:F101">
    <cfRule type="expression" dxfId="1727" priority="1">
      <formula>F99&gt;0</formula>
    </cfRule>
    <cfRule type="expression" dxfId="172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0"/>
      <c r="C2" s="4"/>
      <c r="D2" s="3"/>
      <c r="E2" s="3"/>
      <c r="F2" s="3"/>
      <c r="G2" s="480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130.41</v>
      </c>
      <c r="T3" s="1" t="s">
        <v>240</v>
      </c>
    </row>
    <row r="4" spans="1:2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130.41</v>
      </c>
      <c r="R4" s="478">
        <v>1.6E-2</v>
      </c>
      <c r="T4" s="158"/>
      <c r="U4" s="1"/>
    </row>
    <row r="5" spans="1:2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5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5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5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5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5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5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5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5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5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5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5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5"/>
      <c r="I36" s="39"/>
    </row>
    <row r="37" spans="1:21" x14ac:dyDescent="0.25">
      <c r="B37" s="152"/>
      <c r="C37" s="10"/>
      <c r="D37" s="39"/>
      <c r="E37" s="39"/>
      <c r="F37" s="39"/>
      <c r="G37" s="39"/>
      <c r="H37" s="225"/>
      <c r="I37" s="39"/>
    </row>
    <row r="38" spans="1:21" x14ac:dyDescent="0.25">
      <c r="B38" s="152"/>
      <c r="C38" s="10"/>
      <c r="D38" s="39"/>
      <c r="E38" s="39"/>
      <c r="F38" s="39"/>
      <c r="G38" s="39"/>
      <c r="H38" s="225"/>
      <c r="I38" s="39"/>
    </row>
    <row r="39" spans="1:21" x14ac:dyDescent="0.25">
      <c r="B39" s="152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5"/>
      <c r="I40" s="39"/>
      <c r="O40" s="847" t="s">
        <v>78</v>
      </c>
      <c r="P40" s="847"/>
    </row>
    <row r="41" spans="1:21" ht="15.75" thickTop="1" x14ac:dyDescent="0.25">
      <c r="B41" s="152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143.45100000000002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142.14690000000002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0"/>
        <v>140.84280000000001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0"/>
        <v>139.53870000000001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0"/>
        <v>138.2346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0"/>
        <v>136.93049999999999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5"/>
      <c r="I47" s="230"/>
      <c r="O47" s="81">
        <v>1.04</v>
      </c>
      <c r="P47" s="81">
        <f t="shared" si="0"/>
        <v>135.62639999999999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0"/>
        <v>134.32230000000001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0"/>
        <v>133.01820000000001</v>
      </c>
      <c r="Q49" s="2"/>
      <c r="T49" s="91" t="s">
        <v>103</v>
      </c>
      <c r="U49" s="127" t="s">
        <v>359</v>
      </c>
    </row>
    <row r="50" spans="2:21" x14ac:dyDescent="0.25">
      <c r="B50" s="152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0"/>
        <v>131.7141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0"/>
        <v>130.41</v>
      </c>
      <c r="Q51" s="2"/>
      <c r="T51" s="91" t="s">
        <v>104</v>
      </c>
      <c r="U51" s="127" t="s">
        <v>599</v>
      </c>
    </row>
    <row r="52" spans="2:21" x14ac:dyDescent="0.25">
      <c r="B52" s="152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0"/>
        <v>129.10589999999999</v>
      </c>
      <c r="Q52" s="2"/>
      <c r="T52" s="91" t="s">
        <v>105</v>
      </c>
      <c r="U52" s="127" t="s">
        <v>600</v>
      </c>
    </row>
    <row r="53" spans="2:21" x14ac:dyDescent="0.25">
      <c r="B53" s="152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0"/>
        <v>127.8018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0"/>
        <v>126.49769999999999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0"/>
        <v>125.19359999999999</v>
      </c>
      <c r="T55" s="91" t="s">
        <v>107</v>
      </c>
      <c r="U55" s="127" t="s">
        <v>601</v>
      </c>
    </row>
    <row r="56" spans="2:21" x14ac:dyDescent="0.25">
      <c r="B56" s="152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0"/>
        <v>123.88949999999998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0"/>
        <v>122.58539999999999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0"/>
        <v>121.2813</v>
      </c>
      <c r="T58" s="91" t="s">
        <v>108</v>
      </c>
      <c r="U58" s="127" t="s">
        <v>546</v>
      </c>
    </row>
    <row r="59" spans="2:21" x14ac:dyDescent="0.25">
      <c r="B59" s="152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0"/>
        <v>119.9772</v>
      </c>
    </row>
    <row r="60" spans="2:21" x14ac:dyDescent="0.25">
      <c r="B60" s="152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0"/>
        <v>118.67310000000001</v>
      </c>
    </row>
    <row r="61" spans="2:21" x14ac:dyDescent="0.25">
      <c r="B61" s="152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0"/>
        <v>117.369</v>
      </c>
    </row>
    <row r="62" spans="2:21" x14ac:dyDescent="0.25">
      <c r="B62" s="152"/>
      <c r="C62" s="10"/>
      <c r="D62" s="39"/>
      <c r="E62" s="39"/>
      <c r="F62" s="39"/>
      <c r="G62" s="39"/>
      <c r="H62" s="225"/>
      <c r="I62" s="39"/>
    </row>
    <row r="63" spans="2:21" x14ac:dyDescent="0.25">
      <c r="B63" s="152"/>
      <c r="C63" s="10"/>
      <c r="D63" s="39"/>
      <c r="E63" s="39"/>
      <c r="F63" s="39"/>
      <c r="G63" s="39"/>
      <c r="H63" s="225"/>
      <c r="I63" s="39"/>
    </row>
    <row r="64" spans="2:21" x14ac:dyDescent="0.25">
      <c r="B64" s="152"/>
      <c r="C64" s="10"/>
      <c r="D64" s="39"/>
      <c r="E64" s="39"/>
      <c r="F64" s="39"/>
      <c r="G64" s="39"/>
      <c r="H64" s="225"/>
      <c r="I64" s="39"/>
    </row>
    <row r="65" spans="1:13" x14ac:dyDescent="0.25">
      <c r="B65" s="152"/>
      <c r="C65" s="10"/>
      <c r="D65" s="39"/>
      <c r="E65" s="39"/>
      <c r="F65" s="39"/>
      <c r="G65" s="39"/>
      <c r="H65" s="225"/>
      <c r="I65" s="39"/>
    </row>
    <row r="66" spans="1:13" x14ac:dyDescent="0.25">
      <c r="B66" s="152"/>
      <c r="C66" s="10"/>
      <c r="D66" s="39"/>
      <c r="E66" s="39"/>
      <c r="F66" s="39"/>
      <c r="G66" s="39"/>
      <c r="H66" s="225"/>
      <c r="I66" s="39"/>
    </row>
    <row r="67" spans="1:13" x14ac:dyDescent="0.25">
      <c r="B67" s="152"/>
      <c r="C67" s="10"/>
      <c r="D67" s="39"/>
      <c r="E67" s="39"/>
      <c r="F67" s="39"/>
      <c r="G67" s="39"/>
      <c r="H67" s="225"/>
      <c r="I67" s="39"/>
    </row>
    <row r="68" spans="1:13" x14ac:dyDescent="0.25">
      <c r="B68" s="152"/>
      <c r="C68" s="10"/>
      <c r="D68" s="39"/>
      <c r="E68" s="39"/>
      <c r="F68" s="39"/>
      <c r="G68" s="39"/>
      <c r="H68" s="225"/>
      <c r="I68" s="39"/>
    </row>
    <row r="69" spans="1:13" x14ac:dyDescent="0.25">
      <c r="B69" s="152"/>
      <c r="C69" s="10"/>
      <c r="D69" s="39"/>
      <c r="E69" s="39"/>
      <c r="F69" s="39"/>
      <c r="G69" s="39"/>
      <c r="H69" s="225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1" t="s">
        <v>1</v>
      </c>
      <c r="B75" s="629" t="s">
        <v>2</v>
      </c>
      <c r="C75" s="371" t="s">
        <v>4</v>
      </c>
      <c r="D75" s="373" t="s">
        <v>5</v>
      </c>
      <c r="E75" s="373" t="s">
        <v>94</v>
      </c>
      <c r="F75" s="373" t="s">
        <v>60</v>
      </c>
      <c r="G75" s="371" t="s">
        <v>3</v>
      </c>
      <c r="H75" s="371" t="s">
        <v>6</v>
      </c>
      <c r="I75" s="373" t="s">
        <v>7</v>
      </c>
      <c r="J75" s="373" t="s">
        <v>95</v>
      </c>
      <c r="K75" s="373" t="s">
        <v>61</v>
      </c>
      <c r="L75" s="371" t="s">
        <v>37</v>
      </c>
      <c r="M75" s="371" t="s">
        <v>38</v>
      </c>
    </row>
    <row r="76" spans="1:13" x14ac:dyDescent="0.25">
      <c r="A76" s="374" t="s">
        <v>271</v>
      </c>
      <c r="B76" s="624">
        <v>42622</v>
      </c>
      <c r="C76" s="365">
        <v>15</v>
      </c>
      <c r="D76" s="366">
        <v>118.5</v>
      </c>
      <c r="E76" s="366">
        <v>0</v>
      </c>
      <c r="F76" s="366">
        <f>C76*D76+E76</f>
        <v>1777.5</v>
      </c>
      <c r="G76" s="624">
        <v>42760</v>
      </c>
      <c r="H76" s="369">
        <v>15</v>
      </c>
      <c r="I76" s="366">
        <v>112.7</v>
      </c>
      <c r="J76" s="366">
        <v>0.04</v>
      </c>
      <c r="K76" s="366">
        <f>H76*I76-J76</f>
        <v>1690.46</v>
      </c>
      <c r="L76" s="364">
        <v>42710</v>
      </c>
      <c r="M76" s="366">
        <v>16</v>
      </c>
    </row>
    <row r="77" spans="1:13" x14ac:dyDescent="0.25">
      <c r="A77" s="375" t="s">
        <v>71</v>
      </c>
      <c r="B77" s="624">
        <v>42622</v>
      </c>
      <c r="C77" s="365">
        <v>5</v>
      </c>
      <c r="D77" s="366">
        <v>118.5</v>
      </c>
      <c r="E77" s="366">
        <v>0</v>
      </c>
      <c r="F77" s="366">
        <f>C77*D77+E77</f>
        <v>592.5</v>
      </c>
      <c r="G77" s="624">
        <v>42776</v>
      </c>
      <c r="H77" s="369">
        <v>15</v>
      </c>
      <c r="I77" s="366">
        <v>115.18</v>
      </c>
      <c r="J77" s="366">
        <v>0.04</v>
      </c>
      <c r="K77" s="366">
        <f>H77*I77-J77</f>
        <v>1727.66</v>
      </c>
      <c r="L77" s="365"/>
      <c r="M77" s="365"/>
    </row>
    <row r="78" spans="1:13" x14ac:dyDescent="0.25">
      <c r="A78" s="365"/>
      <c r="B78" s="624">
        <v>42704</v>
      </c>
      <c r="C78" s="365">
        <v>10</v>
      </c>
      <c r="D78" s="366">
        <v>111.48</v>
      </c>
      <c r="E78" s="366">
        <v>0</v>
      </c>
      <c r="F78" s="366">
        <f>C78*D78+E78</f>
        <v>1114.8</v>
      </c>
      <c r="G78" s="624">
        <v>42796</v>
      </c>
      <c r="H78" s="369">
        <v>15</v>
      </c>
      <c r="I78" s="366">
        <v>124.08</v>
      </c>
      <c r="J78" s="366">
        <v>0.04</v>
      </c>
      <c r="K78" s="366">
        <f>H78*I78-J78</f>
        <v>1861.16</v>
      </c>
      <c r="L78" s="365"/>
      <c r="M78" s="365"/>
    </row>
    <row r="79" spans="1:13" x14ac:dyDescent="0.25">
      <c r="A79" s="365"/>
      <c r="B79" s="624">
        <v>42759</v>
      </c>
      <c r="C79" s="365">
        <v>15</v>
      </c>
      <c r="D79" s="366">
        <v>111.18</v>
      </c>
      <c r="E79" s="366">
        <v>0</v>
      </c>
      <c r="F79" s="366">
        <f>C79*D79+E79</f>
        <v>1667.7</v>
      </c>
      <c r="G79" s="624"/>
      <c r="H79" s="369"/>
      <c r="I79" s="366"/>
      <c r="J79" s="366"/>
      <c r="K79" s="366"/>
      <c r="L79" s="364">
        <v>42808</v>
      </c>
      <c r="M79" s="365">
        <v>12</v>
      </c>
    </row>
    <row r="80" spans="1:13" x14ac:dyDescent="0.25">
      <c r="A80" s="365"/>
      <c r="B80" s="624"/>
      <c r="C80" s="365"/>
      <c r="D80" s="366"/>
      <c r="E80" s="366"/>
      <c r="F80" s="366"/>
      <c r="G80" s="624"/>
      <c r="H80" s="369"/>
      <c r="I80" s="366"/>
      <c r="J80" s="366"/>
      <c r="K80" s="366"/>
      <c r="L80" s="365"/>
      <c r="M80" s="365"/>
    </row>
    <row r="81" spans="1:13" x14ac:dyDescent="0.25">
      <c r="A81" s="365"/>
      <c r="B81" s="624"/>
      <c r="C81" s="365"/>
      <c r="D81" s="366"/>
      <c r="E81" s="366"/>
      <c r="F81" s="366"/>
      <c r="G81" s="624"/>
      <c r="H81" s="369"/>
      <c r="I81" s="366"/>
      <c r="J81" s="366"/>
      <c r="K81" s="366"/>
      <c r="L81" s="365"/>
      <c r="M81" s="365"/>
    </row>
    <row r="82" spans="1:13" x14ac:dyDescent="0.25">
      <c r="A82" s="365"/>
      <c r="B82" s="624"/>
      <c r="C82" s="365"/>
      <c r="D82" s="366"/>
      <c r="E82" s="366"/>
      <c r="F82" s="366"/>
      <c r="G82" s="624"/>
      <c r="H82" s="369"/>
      <c r="I82" s="366"/>
      <c r="J82" s="366"/>
      <c r="K82" s="366"/>
      <c r="L82" s="365"/>
      <c r="M82" s="365"/>
    </row>
    <row r="83" spans="1:13" x14ac:dyDescent="0.25">
      <c r="A83" s="365"/>
      <c r="B83" s="624"/>
      <c r="C83" s="365"/>
      <c r="D83" s="366"/>
      <c r="E83" s="366"/>
      <c r="F83" s="366"/>
      <c r="G83" s="624"/>
      <c r="H83" s="369"/>
      <c r="I83" s="366"/>
      <c r="J83" s="366"/>
      <c r="K83" s="366"/>
      <c r="L83" s="365"/>
      <c r="M83" s="365"/>
    </row>
    <row r="84" spans="1:13" x14ac:dyDescent="0.25">
      <c r="A84" s="365"/>
      <c r="B84" s="624"/>
      <c r="C84" s="365"/>
      <c r="D84" s="366"/>
      <c r="E84" s="366"/>
      <c r="F84" s="366"/>
      <c r="G84" s="624"/>
      <c r="H84" s="369"/>
      <c r="I84" s="366"/>
      <c r="J84" s="366"/>
      <c r="K84" s="366"/>
      <c r="L84" s="365"/>
      <c r="M84" s="365"/>
    </row>
    <row r="85" spans="1:13" x14ac:dyDescent="0.25">
      <c r="A85" s="365"/>
      <c r="B85" s="624"/>
      <c r="C85" s="365"/>
      <c r="D85" s="366"/>
      <c r="E85" s="366"/>
      <c r="F85" s="366"/>
      <c r="G85" s="624"/>
      <c r="H85" s="369"/>
      <c r="I85" s="366"/>
      <c r="J85" s="366"/>
      <c r="K85" s="366"/>
      <c r="L85" s="365"/>
      <c r="M85" s="365"/>
    </row>
    <row r="86" spans="1:13" x14ac:dyDescent="0.25">
      <c r="A86" s="365"/>
      <c r="B86" s="624"/>
      <c r="C86" s="365"/>
      <c r="D86" s="366"/>
      <c r="E86" s="366"/>
      <c r="F86" s="366"/>
      <c r="G86" s="624"/>
      <c r="H86" s="369"/>
      <c r="I86" s="366"/>
      <c r="J86" s="366"/>
      <c r="K86" s="366"/>
      <c r="L86" s="365"/>
      <c r="M86" s="365"/>
    </row>
    <row r="87" spans="1:13" x14ac:dyDescent="0.25">
      <c r="A87" s="365"/>
      <c r="B87" s="624"/>
      <c r="C87" s="365"/>
      <c r="D87" s="366"/>
      <c r="E87" s="366"/>
      <c r="F87" s="366"/>
      <c r="G87" s="624"/>
      <c r="H87" s="369"/>
      <c r="I87" s="366"/>
      <c r="J87" s="366"/>
      <c r="K87" s="366"/>
      <c r="L87" s="365"/>
      <c r="M87" s="365"/>
    </row>
    <row r="88" spans="1:13" x14ac:dyDescent="0.25">
      <c r="A88" s="365"/>
      <c r="B88" s="624"/>
      <c r="C88" s="365"/>
      <c r="D88" s="366"/>
      <c r="E88" s="366"/>
      <c r="F88" s="366"/>
      <c r="G88" s="624"/>
      <c r="H88" s="369"/>
      <c r="I88" s="366"/>
      <c r="J88" s="366"/>
      <c r="K88" s="366"/>
      <c r="L88" s="365"/>
      <c r="M88" s="365"/>
    </row>
    <row r="89" spans="1:13" x14ac:dyDescent="0.25">
      <c r="A89" s="365"/>
      <c r="B89" s="624"/>
      <c r="C89" s="365"/>
      <c r="D89" s="366"/>
      <c r="E89" s="366"/>
      <c r="F89" s="366"/>
      <c r="G89" s="624"/>
      <c r="H89" s="369"/>
      <c r="I89" s="366"/>
      <c r="J89" s="366"/>
      <c r="K89" s="366"/>
      <c r="L89" s="365"/>
      <c r="M89" s="365"/>
    </row>
    <row r="90" spans="1:13" x14ac:dyDescent="0.25">
      <c r="A90" s="365"/>
      <c r="B90" s="624"/>
      <c r="C90" s="365"/>
      <c r="D90" s="366"/>
      <c r="E90" s="366"/>
      <c r="F90" s="366"/>
      <c r="G90" s="624"/>
      <c r="H90" s="369"/>
      <c r="I90" s="366"/>
      <c r="J90" s="366"/>
      <c r="K90" s="366"/>
      <c r="L90" s="365"/>
      <c r="M90" s="365"/>
    </row>
    <row r="91" spans="1:13" x14ac:dyDescent="0.25">
      <c r="A91" s="365"/>
      <c r="B91" s="624"/>
      <c r="C91" s="365"/>
      <c r="D91" s="366"/>
      <c r="E91" s="366"/>
      <c r="F91" s="366"/>
      <c r="G91" s="624"/>
      <c r="H91" s="365"/>
      <c r="I91" s="366"/>
      <c r="J91" s="366"/>
      <c r="K91" s="366"/>
      <c r="L91" s="365"/>
      <c r="M91" s="365"/>
    </row>
    <row r="92" spans="1:13" x14ac:dyDescent="0.25">
      <c r="A92" s="21" t="s">
        <v>81</v>
      </c>
      <c r="B92" s="63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7" t="s">
        <v>194</v>
      </c>
      <c r="B93" s="631"/>
      <c r="C93" s="449">
        <f>SumByColor($A$19,C76:C91)</f>
        <v>0</v>
      </c>
      <c r="D93" s="449"/>
      <c r="E93" s="449"/>
      <c r="F93" s="450">
        <f>SumByColor($A$19,F76:F91)</f>
        <v>0</v>
      </c>
      <c r="G93" s="449"/>
      <c r="H93" s="449">
        <f>SumByColor($A$19,H76:H91)</f>
        <v>0</v>
      </c>
      <c r="I93" s="449"/>
      <c r="J93" s="449"/>
      <c r="K93" s="450">
        <f>SumByColor($A$19,K76:K91)</f>
        <v>0</v>
      </c>
      <c r="L93" s="449"/>
      <c r="M93" s="450">
        <f>SumByColor($A$19,M76:M91)</f>
        <v>0</v>
      </c>
    </row>
    <row r="102" spans="1:12" x14ac:dyDescent="0.25">
      <c r="A102" s="365"/>
      <c r="B102" s="624"/>
      <c r="C102" s="365"/>
      <c r="D102" s="366"/>
      <c r="E102" s="366"/>
      <c r="F102" s="366"/>
      <c r="G102" s="365"/>
      <c r="H102" s="365"/>
      <c r="I102" s="366"/>
      <c r="J102" s="366"/>
      <c r="K102" s="366"/>
      <c r="L102" s="365"/>
    </row>
    <row r="103" spans="1:12" x14ac:dyDescent="0.25">
      <c r="A103" s="365"/>
      <c r="B103" s="624"/>
      <c r="C103" s="365"/>
      <c r="D103" s="366"/>
      <c r="E103" s="366"/>
      <c r="F103" s="366"/>
      <c r="G103" s="365"/>
      <c r="H103" s="365"/>
      <c r="I103" s="366"/>
      <c r="J103" s="366"/>
      <c r="K103" s="366"/>
      <c r="L103" s="365"/>
    </row>
    <row r="104" spans="1:12" x14ac:dyDescent="0.25">
      <c r="A104" s="365"/>
      <c r="B104" s="622" t="s">
        <v>113</v>
      </c>
      <c r="C104" s="487" t="s">
        <v>146</v>
      </c>
      <c r="D104" s="488" t="s">
        <v>145</v>
      </c>
      <c r="E104" s="489" t="s">
        <v>147</v>
      </c>
      <c r="F104" s="489" t="s">
        <v>65</v>
      </c>
      <c r="G104" s="491" t="s">
        <v>151</v>
      </c>
      <c r="H104" s="491" t="s">
        <v>88</v>
      </c>
      <c r="I104" s="491" t="s">
        <v>154</v>
      </c>
      <c r="J104" s="366"/>
      <c r="K104" s="366"/>
      <c r="L104" s="365"/>
    </row>
    <row r="105" spans="1:12" x14ac:dyDescent="0.25">
      <c r="A105" s="365"/>
      <c r="B105" s="624">
        <v>42622</v>
      </c>
      <c r="C105" s="365">
        <v>20</v>
      </c>
      <c r="D105" s="366">
        <v>118.5</v>
      </c>
      <c r="E105" s="366">
        <v>118.23</v>
      </c>
      <c r="F105" s="366">
        <f t="shared" ref="F105:F117" si="1">C105*(E105-D105)</f>
        <v>-5.3999999999999204</v>
      </c>
      <c r="G105" s="366">
        <f t="shared" ref="G105:G117" si="2">D105*C105</f>
        <v>2370</v>
      </c>
      <c r="H105" s="367">
        <f t="shared" ref="H105:H117" si="3">(E105-D105)/D105</f>
        <v>-2.2784810126581941E-3</v>
      </c>
      <c r="I105" s="366"/>
      <c r="J105" s="366"/>
      <c r="K105" s="366"/>
      <c r="L105" s="365"/>
    </row>
    <row r="106" spans="1:12" x14ac:dyDescent="0.25">
      <c r="A106" s="365"/>
      <c r="B106" s="624">
        <v>42627</v>
      </c>
      <c r="C106" s="365">
        <v>20</v>
      </c>
      <c r="D106" s="366">
        <v>118.5</v>
      </c>
      <c r="E106" s="366">
        <v>117.86</v>
      </c>
      <c r="F106" s="366">
        <f t="shared" si="1"/>
        <v>-12.800000000000011</v>
      </c>
      <c r="G106" s="366">
        <f t="shared" si="2"/>
        <v>2370</v>
      </c>
      <c r="H106" s="367">
        <f t="shared" si="3"/>
        <v>-5.400843881856545E-3</v>
      </c>
      <c r="I106" s="366"/>
      <c r="J106" s="366"/>
      <c r="K106" s="366"/>
      <c r="L106" s="365"/>
    </row>
    <row r="107" spans="1:12" x14ac:dyDescent="0.25">
      <c r="A107" s="365"/>
      <c r="B107" s="624">
        <v>42634</v>
      </c>
      <c r="C107" s="365">
        <v>20</v>
      </c>
      <c r="D107" s="366">
        <v>118.5</v>
      </c>
      <c r="E107" s="366">
        <v>118.91</v>
      </c>
      <c r="F107" s="366">
        <f t="shared" si="1"/>
        <v>8.1999999999999318</v>
      </c>
      <c r="G107" s="366">
        <f t="shared" si="2"/>
        <v>2370</v>
      </c>
      <c r="H107" s="367">
        <f t="shared" si="3"/>
        <v>3.4599156118143171E-3</v>
      </c>
      <c r="I107" s="366"/>
      <c r="J107" s="366"/>
      <c r="K107" s="366"/>
      <c r="L107" s="365"/>
    </row>
    <row r="108" spans="1:12" x14ac:dyDescent="0.25">
      <c r="A108" s="365"/>
      <c r="B108" s="624">
        <v>42651</v>
      </c>
      <c r="C108" s="365">
        <v>20</v>
      </c>
      <c r="D108" s="366">
        <v>118.5</v>
      </c>
      <c r="E108" s="366">
        <v>119.24</v>
      </c>
      <c r="F108" s="366">
        <f t="shared" si="1"/>
        <v>14.799999999999898</v>
      </c>
      <c r="G108" s="366">
        <f t="shared" si="2"/>
        <v>2370</v>
      </c>
      <c r="H108" s="367">
        <f t="shared" si="3"/>
        <v>6.2447257383965813E-3</v>
      </c>
      <c r="I108" s="366"/>
      <c r="J108" s="366"/>
      <c r="K108" s="366"/>
      <c r="L108" s="365"/>
    </row>
    <row r="109" spans="1:12" x14ac:dyDescent="0.25">
      <c r="A109" s="365"/>
      <c r="B109" s="624">
        <v>42664</v>
      </c>
      <c r="C109" s="365">
        <v>20</v>
      </c>
      <c r="D109" s="366">
        <v>118.5</v>
      </c>
      <c r="E109" s="366">
        <v>113.44</v>
      </c>
      <c r="F109" s="366">
        <f t="shared" si="1"/>
        <v>-101.20000000000005</v>
      </c>
      <c r="G109" s="366">
        <f t="shared" si="2"/>
        <v>2370</v>
      </c>
      <c r="H109" s="367">
        <f t="shared" si="3"/>
        <v>-4.2700421940928289E-2</v>
      </c>
      <c r="I109" s="366"/>
      <c r="J109" s="366"/>
      <c r="K109" s="366"/>
      <c r="L109" s="365"/>
    </row>
    <row r="110" spans="1:12" x14ac:dyDescent="0.25">
      <c r="A110" s="365"/>
      <c r="B110" s="624">
        <v>42674</v>
      </c>
      <c r="C110" s="365">
        <v>20</v>
      </c>
      <c r="D110" s="366">
        <v>118.5</v>
      </c>
      <c r="E110" s="366">
        <v>115.99</v>
      </c>
      <c r="F110" s="366">
        <f t="shared" si="1"/>
        <v>-50.200000000000102</v>
      </c>
      <c r="G110" s="366">
        <f t="shared" si="2"/>
        <v>2370</v>
      </c>
      <c r="H110" s="367">
        <f t="shared" si="3"/>
        <v>-2.1181434599156161E-2</v>
      </c>
      <c r="I110" s="366"/>
      <c r="J110" s="366"/>
      <c r="K110" s="366"/>
      <c r="L110" s="365"/>
    </row>
    <row r="111" spans="1:12" x14ac:dyDescent="0.25">
      <c r="A111" s="365"/>
      <c r="B111" s="624">
        <v>42702</v>
      </c>
      <c r="C111" s="365">
        <v>20</v>
      </c>
      <c r="D111" s="366">
        <v>118.5</v>
      </c>
      <c r="E111" s="366">
        <v>114.13</v>
      </c>
      <c r="F111" s="366">
        <f t="shared" si="1"/>
        <v>-87.400000000000091</v>
      </c>
      <c r="G111" s="366">
        <f t="shared" si="2"/>
        <v>2370</v>
      </c>
      <c r="H111" s="367">
        <f t="shared" si="3"/>
        <v>-3.6877637130801728E-2</v>
      </c>
      <c r="I111" s="366"/>
      <c r="J111" s="366"/>
      <c r="K111" s="366"/>
      <c r="L111" s="365"/>
    </row>
    <row r="112" spans="1:12" x14ac:dyDescent="0.25">
      <c r="A112" s="365"/>
      <c r="B112" s="624">
        <v>42704</v>
      </c>
      <c r="C112" s="365">
        <v>30</v>
      </c>
      <c r="D112" s="366">
        <v>116.16</v>
      </c>
      <c r="E112" s="366">
        <v>111.3</v>
      </c>
      <c r="F112" s="366">
        <f t="shared" si="1"/>
        <v>-145.79999999999998</v>
      </c>
      <c r="G112" s="366">
        <f t="shared" si="2"/>
        <v>3484.7999999999997</v>
      </c>
      <c r="H112" s="367">
        <f t="shared" si="3"/>
        <v>-4.1838842975206611E-2</v>
      </c>
      <c r="I112" s="366"/>
      <c r="J112" s="366"/>
      <c r="K112" s="366"/>
      <c r="L112" s="365"/>
    </row>
    <row r="113" spans="1:12" x14ac:dyDescent="0.25">
      <c r="A113" s="365"/>
      <c r="B113" s="624">
        <v>42711</v>
      </c>
      <c r="C113" s="365">
        <v>30</v>
      </c>
      <c r="D113" s="366">
        <v>115.6267</v>
      </c>
      <c r="E113" s="366">
        <v>111.1</v>
      </c>
      <c r="F113" s="366">
        <f t="shared" si="1"/>
        <v>-135.80100000000016</v>
      </c>
      <c r="G113" s="366">
        <f t="shared" si="2"/>
        <v>3468.8009999999999</v>
      </c>
      <c r="H113" s="367">
        <f t="shared" si="3"/>
        <v>-3.9149262237874169E-2</v>
      </c>
      <c r="I113" s="446"/>
      <c r="J113" s="366"/>
      <c r="K113" s="366"/>
      <c r="L113" s="365"/>
    </row>
    <row r="114" spans="1:12" x14ac:dyDescent="0.25">
      <c r="A114" s="365"/>
      <c r="B114" s="624">
        <v>42759</v>
      </c>
      <c r="C114" s="365">
        <v>45</v>
      </c>
      <c r="D114" s="366">
        <v>114.14530000000001</v>
      </c>
      <c r="E114" s="366">
        <v>111.89</v>
      </c>
      <c r="F114" s="366">
        <f t="shared" si="1"/>
        <v>-101.48850000000024</v>
      </c>
      <c r="G114" s="366">
        <f t="shared" si="2"/>
        <v>5136.5385000000006</v>
      </c>
      <c r="H114" s="367">
        <f t="shared" si="3"/>
        <v>-1.9758150357483011E-2</v>
      </c>
      <c r="I114" s="366">
        <v>110</v>
      </c>
      <c r="J114" s="366"/>
      <c r="K114" s="366"/>
      <c r="L114" s="365"/>
    </row>
    <row r="115" spans="1:12" x14ac:dyDescent="0.25">
      <c r="A115" s="365" t="s">
        <v>363</v>
      </c>
      <c r="B115" s="624">
        <v>42760</v>
      </c>
      <c r="C115" s="365">
        <v>30</v>
      </c>
      <c r="D115" s="366">
        <v>114.86799999999999</v>
      </c>
      <c r="E115" s="366">
        <v>112.8</v>
      </c>
      <c r="F115" s="366">
        <f t="shared" si="1"/>
        <v>-62.039999999999935</v>
      </c>
      <c r="G115" s="366">
        <f t="shared" si="2"/>
        <v>3446.04</v>
      </c>
      <c r="H115" s="367">
        <f t="shared" si="3"/>
        <v>-1.8003273322422242E-2</v>
      </c>
      <c r="I115" s="366"/>
      <c r="J115" s="366"/>
      <c r="K115" s="366"/>
      <c r="L115" s="365"/>
    </row>
    <row r="116" spans="1:12" x14ac:dyDescent="0.25">
      <c r="A116" s="365" t="s">
        <v>403</v>
      </c>
      <c r="B116" s="624">
        <v>42761</v>
      </c>
      <c r="C116" s="365">
        <v>30</v>
      </c>
      <c r="D116" s="366">
        <v>114.86799999999999</v>
      </c>
      <c r="E116" s="366">
        <v>113.64</v>
      </c>
      <c r="F116" s="366">
        <f t="shared" si="1"/>
        <v>-36.839999999999833</v>
      </c>
      <c r="G116" s="366">
        <f t="shared" si="2"/>
        <v>3446.04</v>
      </c>
      <c r="H116" s="367">
        <f t="shared" si="3"/>
        <v>-1.0690531740780674E-2</v>
      </c>
      <c r="I116" s="366"/>
      <c r="J116" s="366"/>
      <c r="K116" s="366"/>
      <c r="L116" s="365"/>
    </row>
    <row r="117" spans="1:12" x14ac:dyDescent="0.25">
      <c r="A117" s="365" t="s">
        <v>420</v>
      </c>
      <c r="B117" s="624">
        <v>42776</v>
      </c>
      <c r="C117" s="365">
        <v>15</v>
      </c>
      <c r="D117" s="366">
        <v>114.5587</v>
      </c>
      <c r="E117" s="366">
        <v>115.24</v>
      </c>
      <c r="F117" s="366">
        <f t="shared" si="1"/>
        <v>10.219499999999897</v>
      </c>
      <c r="G117" s="366">
        <f t="shared" si="2"/>
        <v>1718.3805</v>
      </c>
      <c r="H117" s="367">
        <f t="shared" si="3"/>
        <v>5.9471694423906098E-3</v>
      </c>
      <c r="I117" s="366"/>
      <c r="J117" s="366"/>
      <c r="K117" s="366"/>
      <c r="L117" s="365"/>
    </row>
    <row r="118" spans="1:12" x14ac:dyDescent="0.25">
      <c r="A118" s="365"/>
      <c r="B118" s="624">
        <v>42796</v>
      </c>
      <c r="C118" s="365">
        <v>0</v>
      </c>
      <c r="D118" s="366"/>
      <c r="E118" s="366"/>
      <c r="F118" s="366">
        <v>142.78</v>
      </c>
      <c r="G118" s="366"/>
      <c r="H118" s="367"/>
      <c r="I118" s="366"/>
      <c r="J118" s="366"/>
      <c r="K118" s="366"/>
      <c r="L118" s="365"/>
    </row>
    <row r="119" spans="1:12" x14ac:dyDescent="0.25">
      <c r="A119" s="365"/>
      <c r="B119" s="624"/>
      <c r="C119" s="365"/>
      <c r="D119" s="366"/>
      <c r="E119" s="366"/>
      <c r="F119" s="366"/>
      <c r="G119" s="366"/>
      <c r="H119" s="367"/>
      <c r="I119" s="366"/>
      <c r="J119" s="366"/>
      <c r="K119" s="366"/>
      <c r="L119" s="365"/>
    </row>
    <row r="120" spans="1:12" x14ac:dyDescent="0.25">
      <c r="A120" s="365"/>
      <c r="B120" s="624"/>
      <c r="C120" s="365"/>
      <c r="D120" s="366"/>
      <c r="E120" s="366"/>
      <c r="F120" s="366"/>
      <c r="G120" s="366"/>
      <c r="H120" s="367"/>
      <c r="I120" s="366"/>
      <c r="J120" s="366"/>
      <c r="K120" s="366"/>
      <c r="L120" s="365"/>
    </row>
    <row r="121" spans="1:12" x14ac:dyDescent="0.25">
      <c r="A121" s="365"/>
      <c r="B121" s="624"/>
      <c r="C121" s="365"/>
      <c r="D121" s="366"/>
      <c r="E121" s="366"/>
      <c r="F121" s="366"/>
      <c r="G121" s="366"/>
      <c r="H121" s="367"/>
      <c r="I121" s="366"/>
      <c r="J121" s="366"/>
      <c r="K121" s="366"/>
      <c r="L121" s="365"/>
    </row>
    <row r="122" spans="1:12" x14ac:dyDescent="0.25">
      <c r="A122" s="365"/>
      <c r="B122" s="624"/>
      <c r="C122" s="365"/>
      <c r="D122" s="366"/>
      <c r="E122" s="366"/>
      <c r="F122" s="366"/>
      <c r="G122" s="366"/>
      <c r="H122" s="367"/>
      <c r="I122" s="366"/>
      <c r="J122" s="366"/>
      <c r="K122" s="366"/>
      <c r="L122" s="365"/>
    </row>
    <row r="123" spans="1:12" x14ac:dyDescent="0.25">
      <c r="A123" s="365"/>
      <c r="B123" s="624"/>
      <c r="C123" s="365"/>
      <c r="D123" s="366"/>
      <c r="E123" s="366"/>
      <c r="F123" s="366"/>
      <c r="G123" s="366"/>
      <c r="H123" s="367"/>
      <c r="I123" s="366"/>
      <c r="J123" s="366"/>
      <c r="K123" s="366"/>
      <c r="L123" s="365"/>
    </row>
    <row r="124" spans="1:12" x14ac:dyDescent="0.25">
      <c r="A124" s="365"/>
      <c r="B124" s="624"/>
      <c r="C124" s="365"/>
      <c r="D124" s="366"/>
      <c r="E124" s="366"/>
      <c r="F124" s="366"/>
      <c r="G124" s="366"/>
      <c r="H124" s="367"/>
      <c r="I124" s="366"/>
      <c r="J124" s="366"/>
      <c r="K124" s="366"/>
      <c r="L124" s="365"/>
    </row>
    <row r="125" spans="1:12" x14ac:dyDescent="0.25">
      <c r="A125" s="365"/>
      <c r="B125" s="624"/>
      <c r="C125" s="365"/>
      <c r="D125" s="366"/>
      <c r="E125" s="366"/>
      <c r="F125" s="366"/>
      <c r="G125" s="366"/>
      <c r="H125" s="367"/>
      <c r="I125" s="366"/>
      <c r="J125" s="366"/>
      <c r="K125" s="366"/>
      <c r="L125" s="365"/>
    </row>
    <row r="126" spans="1:12" x14ac:dyDescent="0.25">
      <c r="A126" s="365"/>
      <c r="B126" s="624"/>
      <c r="C126" s="365"/>
      <c r="D126" s="366"/>
      <c r="E126" s="366"/>
      <c r="F126" s="366"/>
      <c r="G126" s="366"/>
      <c r="H126" s="367"/>
      <c r="I126" s="366"/>
      <c r="J126" s="366"/>
      <c r="K126" s="366"/>
      <c r="L126" s="365"/>
    </row>
    <row r="127" spans="1:12" x14ac:dyDescent="0.25">
      <c r="A127" s="365"/>
      <c r="B127" s="624"/>
      <c r="C127" s="365"/>
      <c r="D127" s="366"/>
      <c r="E127" s="366"/>
      <c r="F127" s="366"/>
      <c r="G127" s="366"/>
      <c r="H127" s="367"/>
      <c r="I127" s="446"/>
      <c r="J127" s="366"/>
      <c r="K127" s="366"/>
      <c r="L127" s="365"/>
    </row>
    <row r="128" spans="1:12" x14ac:dyDescent="0.25">
      <c r="A128" s="365"/>
      <c r="B128" s="624"/>
      <c r="C128" s="365"/>
      <c r="D128" s="366"/>
      <c r="E128" s="366"/>
      <c r="F128" s="366"/>
      <c r="G128" s="366"/>
      <c r="H128" s="367"/>
      <c r="I128" s="366"/>
      <c r="J128" s="366"/>
      <c r="K128" s="366"/>
      <c r="L128" s="365"/>
    </row>
    <row r="129" spans="1:12" x14ac:dyDescent="0.25">
      <c r="A129" s="365"/>
      <c r="B129" s="62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</row>
    <row r="130" spans="1:12" x14ac:dyDescent="0.25">
      <c r="A130" s="365"/>
      <c r="B130" s="62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</row>
    <row r="131" spans="1:12" x14ac:dyDescent="0.25">
      <c r="A131" s="365"/>
      <c r="B131" s="624"/>
      <c r="C131" s="365"/>
      <c r="D131" s="366"/>
      <c r="E131" s="366"/>
      <c r="F131" s="366"/>
      <c r="G131" s="366"/>
      <c r="H131" s="367"/>
      <c r="I131" s="366"/>
      <c r="J131" s="366"/>
      <c r="K131" s="366"/>
      <c r="L131" s="365"/>
    </row>
    <row r="132" spans="1:12" x14ac:dyDescent="0.25">
      <c r="A132" s="365"/>
      <c r="B132" s="624"/>
      <c r="C132" s="365"/>
      <c r="D132" s="366"/>
      <c r="E132" s="366"/>
      <c r="F132" s="366"/>
      <c r="G132" s="366"/>
      <c r="H132" s="367"/>
      <c r="I132" s="366"/>
      <c r="J132" s="366"/>
      <c r="K132" s="366"/>
      <c r="L132" s="365"/>
    </row>
    <row r="133" spans="1:12" x14ac:dyDescent="0.25">
      <c r="A133" s="365"/>
      <c r="B133" s="624"/>
      <c r="C133" s="365"/>
      <c r="D133" s="366"/>
      <c r="E133" s="366"/>
      <c r="F133" s="366"/>
      <c r="G133" s="366"/>
      <c r="H133" s="367"/>
      <c r="I133" s="366"/>
      <c r="J133" s="366"/>
      <c r="K133" s="366"/>
      <c r="L133" s="365"/>
    </row>
    <row r="134" spans="1:12" x14ac:dyDescent="0.25">
      <c r="A134" s="365"/>
      <c r="B134" s="624"/>
      <c r="C134" s="365"/>
      <c r="D134" s="366"/>
      <c r="E134" s="366"/>
      <c r="F134" s="366"/>
      <c r="G134" s="366"/>
      <c r="H134" s="367"/>
      <c r="I134" s="366"/>
      <c r="J134" s="366"/>
      <c r="K134" s="366"/>
      <c r="L134" s="365"/>
    </row>
    <row r="135" spans="1:12" x14ac:dyDescent="0.25">
      <c r="A135" s="365"/>
      <c r="B135" s="624"/>
      <c r="C135" s="365"/>
      <c r="D135" s="366"/>
      <c r="E135" s="366"/>
      <c r="F135" s="366"/>
      <c r="G135" s="366"/>
      <c r="H135" s="367"/>
      <c r="I135" s="366"/>
      <c r="J135" s="366"/>
      <c r="K135" s="366"/>
      <c r="L135" s="365"/>
    </row>
    <row r="136" spans="1:12" x14ac:dyDescent="0.25">
      <c r="A136" s="365"/>
      <c r="B136" s="624"/>
      <c r="C136" s="365"/>
      <c r="D136" s="366"/>
      <c r="E136" s="366"/>
      <c r="F136" s="366"/>
      <c r="G136" s="366"/>
      <c r="H136" s="367"/>
      <c r="I136" s="366"/>
      <c r="J136" s="366"/>
      <c r="K136" s="366"/>
      <c r="L136" s="365"/>
    </row>
    <row r="137" spans="1:12" x14ac:dyDescent="0.25">
      <c r="A137" s="365"/>
      <c r="B137" s="624"/>
      <c r="C137" s="365"/>
      <c r="D137" s="366"/>
      <c r="E137" s="366"/>
      <c r="F137" s="366"/>
      <c r="G137" s="366"/>
      <c r="H137" s="367"/>
      <c r="I137" s="366"/>
      <c r="J137" s="366"/>
      <c r="K137" s="366"/>
      <c r="L137" s="365"/>
    </row>
    <row r="138" spans="1:12" x14ac:dyDescent="0.25">
      <c r="A138" s="365"/>
      <c r="B138" s="624"/>
      <c r="C138" s="365"/>
      <c r="D138" s="366"/>
      <c r="E138" s="366"/>
      <c r="F138" s="366"/>
      <c r="G138" s="366"/>
      <c r="H138" s="367"/>
      <c r="I138" s="366"/>
      <c r="J138" s="366"/>
      <c r="K138" s="366"/>
      <c r="L138" s="365"/>
    </row>
    <row r="139" spans="1:12" x14ac:dyDescent="0.25">
      <c r="A139" s="365"/>
      <c r="B139" s="624"/>
      <c r="C139" s="365"/>
      <c r="D139" s="366"/>
      <c r="E139" s="366"/>
      <c r="F139" s="366"/>
      <c r="G139" s="366"/>
      <c r="H139" s="367"/>
      <c r="I139" s="366"/>
      <c r="J139" s="366"/>
      <c r="K139" s="366"/>
      <c r="L139" s="365"/>
    </row>
    <row r="140" spans="1:12" x14ac:dyDescent="0.25">
      <c r="A140" s="365"/>
      <c r="B140" s="624"/>
      <c r="C140" s="365"/>
      <c r="D140" s="366"/>
      <c r="E140" s="366"/>
      <c r="F140" s="366"/>
      <c r="G140" s="366"/>
      <c r="H140" s="367"/>
      <c r="I140" s="366"/>
      <c r="J140" s="366"/>
      <c r="K140" s="366"/>
      <c r="L140" s="365"/>
    </row>
    <row r="141" spans="1:12" x14ac:dyDescent="0.25">
      <c r="A141" s="365"/>
      <c r="B141" s="624"/>
      <c r="C141" s="365"/>
      <c r="D141" s="366"/>
      <c r="E141" s="366"/>
      <c r="F141" s="366"/>
      <c r="G141" s="366"/>
      <c r="H141" s="367"/>
      <c r="I141" s="366"/>
      <c r="J141" s="366"/>
      <c r="K141" s="366"/>
      <c r="L141" s="365"/>
    </row>
    <row r="142" spans="1:12" x14ac:dyDescent="0.25">
      <c r="A142" s="365"/>
      <c r="B142" s="624"/>
      <c r="C142" s="365"/>
      <c r="D142" s="366"/>
      <c r="E142" s="366"/>
      <c r="F142" s="366"/>
      <c r="G142" s="366"/>
      <c r="H142" s="367"/>
      <c r="I142" s="366"/>
      <c r="J142" s="366"/>
      <c r="K142" s="366"/>
      <c r="L142" s="365"/>
    </row>
    <row r="143" spans="1:12" x14ac:dyDescent="0.25">
      <c r="A143" s="365"/>
      <c r="B143" s="624"/>
      <c r="C143" s="365"/>
      <c r="D143" s="366"/>
      <c r="E143" s="366"/>
      <c r="F143" s="366"/>
      <c r="G143" s="366"/>
      <c r="H143" s="367"/>
      <c r="I143" s="366"/>
      <c r="J143" s="366"/>
      <c r="K143" s="366"/>
      <c r="L143" s="365"/>
    </row>
    <row r="144" spans="1:12" x14ac:dyDescent="0.25">
      <c r="A144" s="365"/>
      <c r="B144" s="624"/>
      <c r="C144" s="365"/>
      <c r="D144" s="366"/>
      <c r="E144" s="366"/>
      <c r="F144" s="366"/>
      <c r="G144" s="366"/>
      <c r="H144" s="367"/>
      <c r="I144" s="366"/>
      <c r="J144" s="366"/>
      <c r="K144" s="366"/>
      <c r="L144" s="365"/>
    </row>
    <row r="145" spans="1:12" x14ac:dyDescent="0.25">
      <c r="A145" s="365"/>
      <c r="B145" s="624"/>
      <c r="C145" s="365"/>
      <c r="D145" s="366"/>
      <c r="E145" s="366"/>
      <c r="F145" s="366"/>
      <c r="G145" s="366"/>
      <c r="H145" s="367"/>
      <c r="I145" s="366"/>
      <c r="J145" s="366"/>
      <c r="K145" s="366"/>
      <c r="L145" s="365"/>
    </row>
    <row r="146" spans="1:12" x14ac:dyDescent="0.25">
      <c r="A146" s="365"/>
      <c r="B146" s="624"/>
      <c r="C146" s="365"/>
      <c r="D146" s="366"/>
      <c r="E146" s="366"/>
      <c r="F146" s="366"/>
      <c r="G146" s="366"/>
      <c r="H146" s="367"/>
      <c r="I146" s="366"/>
      <c r="J146" s="366"/>
      <c r="K146" s="366"/>
      <c r="L146" s="365"/>
    </row>
    <row r="147" spans="1:12" x14ac:dyDescent="0.25">
      <c r="A147" s="365"/>
      <c r="B147" s="624"/>
      <c r="C147" s="365"/>
      <c r="D147" s="366"/>
      <c r="E147" s="366"/>
      <c r="F147" s="366"/>
      <c r="G147" s="366"/>
      <c r="H147" s="367"/>
      <c r="I147" s="366"/>
      <c r="J147" s="366"/>
      <c r="K147" s="366"/>
      <c r="L147" s="365"/>
    </row>
    <row r="148" spans="1:12" x14ac:dyDescent="0.25">
      <c r="A148" s="365"/>
      <c r="B148" s="624"/>
      <c r="C148" s="365"/>
      <c r="D148" s="366"/>
      <c r="E148" s="366"/>
      <c r="F148" s="366"/>
      <c r="G148" s="366"/>
      <c r="H148" s="367"/>
      <c r="I148" s="366"/>
      <c r="J148" s="366"/>
      <c r="K148" s="366"/>
      <c r="L148" s="365"/>
    </row>
    <row r="149" spans="1:12" x14ac:dyDescent="0.25">
      <c r="A149" s="365"/>
      <c r="B149" s="624"/>
      <c r="C149" s="365"/>
      <c r="D149" s="366"/>
      <c r="E149" s="366"/>
      <c r="F149" s="366"/>
      <c r="G149" s="366"/>
      <c r="H149" s="367"/>
      <c r="I149" s="366"/>
      <c r="J149" s="366"/>
      <c r="K149" s="366"/>
      <c r="L149" s="365"/>
    </row>
    <row r="150" spans="1:12" x14ac:dyDescent="0.25">
      <c r="A150" s="365"/>
      <c r="B150" s="624"/>
      <c r="C150" s="365"/>
      <c r="D150" s="366"/>
      <c r="E150" s="366"/>
      <c r="F150" s="366"/>
      <c r="G150" s="365"/>
      <c r="H150" s="365"/>
      <c r="I150" s="366"/>
      <c r="J150" s="366"/>
      <c r="K150" s="366"/>
      <c r="L150" s="365"/>
    </row>
    <row r="151" spans="1:12" x14ac:dyDescent="0.25">
      <c r="A151" s="365"/>
      <c r="B151" s="624"/>
      <c r="C151" s="365"/>
      <c r="D151" s="366"/>
      <c r="E151" s="366"/>
      <c r="F151" s="366"/>
      <c r="G151" s="365"/>
      <c r="H151" s="365"/>
      <c r="I151" s="366"/>
      <c r="J151" s="366"/>
      <c r="K151" s="366"/>
      <c r="L151" s="36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25" priority="19">
      <formula>F25&gt;0</formula>
    </cfRule>
    <cfRule type="expression" dxfId="1724" priority="20">
      <formula>F25&lt;0</formula>
    </cfRule>
  </conditionalFormatting>
  <conditionalFormatting sqref="Q7">
    <cfRule type="expression" dxfId="1723" priority="17">
      <formula>Q7&gt;0</formula>
    </cfRule>
    <cfRule type="expression" dxfId="1722" priority="18">
      <formula>Q7&lt;0</formula>
    </cfRule>
  </conditionalFormatting>
  <conditionalFormatting sqref="Q8">
    <cfRule type="expression" dxfId="1721" priority="15">
      <formula>Q8&gt;0</formula>
    </cfRule>
    <cfRule type="expression" dxfId="1720" priority="16">
      <formula>Q8&lt;0</formula>
    </cfRule>
  </conditionalFormatting>
  <conditionalFormatting sqref="M74">
    <cfRule type="expression" dxfId="1719" priority="9">
      <formula>M74&gt;0</formula>
    </cfRule>
    <cfRule type="expression" dxfId="1718" priority="10">
      <formula>M74&lt;0</formula>
    </cfRule>
  </conditionalFormatting>
  <conditionalFormatting sqref="F113:F149 H113:H149">
    <cfRule type="expression" dxfId="1717" priority="7">
      <formula>F113&gt;0</formula>
    </cfRule>
    <cfRule type="expression" dxfId="1716" priority="8">
      <formula>F113&lt;0</formula>
    </cfRule>
  </conditionalFormatting>
  <conditionalFormatting sqref="F105:F112">
    <cfRule type="expression" dxfId="1715" priority="5">
      <formula>F105&gt;0</formula>
    </cfRule>
    <cfRule type="expression" dxfId="1714" priority="6">
      <formula>F105&lt;0</formula>
    </cfRule>
  </conditionalFormatting>
  <conditionalFormatting sqref="H105:H112">
    <cfRule type="expression" dxfId="1713" priority="3">
      <formula>H105&gt;0</formula>
    </cfRule>
    <cfRule type="expression" dxfId="1712" priority="4">
      <formula>H105&lt;0</formula>
    </cfRule>
  </conditionalFormatting>
  <conditionalFormatting sqref="Q10">
    <cfRule type="expression" dxfId="1711" priority="1">
      <formula>Q10&gt;0</formula>
    </cfRule>
    <cfRule type="expression" dxfId="171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706</v>
      </c>
      <c r="B2" s="437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7">
        <v>43103</v>
      </c>
      <c r="H2" s="7">
        <v>10</v>
      </c>
      <c r="I2" s="43">
        <v>238</v>
      </c>
      <c r="J2" s="43">
        <v>0.05</v>
      </c>
      <c r="K2" s="43">
        <f t="shared" ref="K2:K10" si="1">H2*I2-J2</f>
        <v>2379.9499999999998</v>
      </c>
      <c r="L2" s="72"/>
      <c r="M2" s="3"/>
      <c r="O2" s="11" t="s">
        <v>57</v>
      </c>
      <c r="Q2" s="7">
        <f>C23-H23</f>
        <v>70</v>
      </c>
      <c r="T2" s="1">
        <v>43080</v>
      </c>
      <c r="U2" t="s">
        <v>835</v>
      </c>
    </row>
    <row r="3" spans="1:21" x14ac:dyDescent="0.25">
      <c r="A3" s="22" t="s">
        <v>71</v>
      </c>
      <c r="B3" s="437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7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4">
        <f>IF(Q2=0, Q4, (F23-K23-M23)/Q2)</f>
        <v>187.94971428571432</v>
      </c>
      <c r="T3" s="1"/>
    </row>
    <row r="4" spans="1:21" x14ac:dyDescent="0.25">
      <c r="B4" s="437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7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233.04</v>
      </c>
      <c r="R4" s="498">
        <v>-2.3999999999999998E-3</v>
      </c>
      <c r="T4" s="779">
        <v>43103</v>
      </c>
      <c r="U4" s="30" t="s">
        <v>859</v>
      </c>
    </row>
    <row r="5" spans="1:21" x14ac:dyDescent="0.25">
      <c r="B5" s="437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7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16312.8</v>
      </c>
    </row>
    <row r="6" spans="1:21" x14ac:dyDescent="0.25">
      <c r="B6" s="437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7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13156.480000000003</v>
      </c>
      <c r="T6" s="1">
        <v>43140</v>
      </c>
      <c r="U6" t="s">
        <v>949</v>
      </c>
    </row>
    <row r="7" spans="1:21" x14ac:dyDescent="0.25">
      <c r="B7" s="437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7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3381.0899999999965</v>
      </c>
      <c r="R7" s="29">
        <v>43209</v>
      </c>
    </row>
    <row r="8" spans="1:21" x14ac:dyDescent="0.25">
      <c r="B8" s="437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7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3156.3199999999961</v>
      </c>
    </row>
    <row r="9" spans="1:21" x14ac:dyDescent="0.25">
      <c r="B9" s="437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7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0.23990611470545278</v>
      </c>
      <c r="T9" s="779">
        <v>43174</v>
      </c>
      <c r="U9" t="s">
        <v>82</v>
      </c>
    </row>
    <row r="10" spans="1:21" x14ac:dyDescent="0.25">
      <c r="B10" s="437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M71</f>
        <v>224.77000000000044</v>
      </c>
      <c r="U10" t="s">
        <v>1007</v>
      </c>
    </row>
    <row r="11" spans="1:21" x14ac:dyDescent="0.25">
      <c r="B11" s="437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37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968</v>
      </c>
      <c r="Q12" s="1"/>
    </row>
    <row r="13" spans="1:21" x14ac:dyDescent="0.25">
      <c r="B13" s="437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997</v>
      </c>
      <c r="Q13">
        <f>Q4/(8.16*1.2)</f>
        <v>23.799019607843135</v>
      </c>
    </row>
    <row r="14" spans="1:21" x14ac:dyDescent="0.25">
      <c r="B14" s="437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992</v>
      </c>
      <c r="B15" s="437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992</v>
      </c>
      <c r="B16" s="437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7" t="s">
        <v>78</v>
      </c>
      <c r="P16" s="847"/>
    </row>
    <row r="17" spans="1:16" ht="15.75" thickTop="1" x14ac:dyDescent="0.25">
      <c r="B17" s="477">
        <v>43178</v>
      </c>
      <c r="C17" s="4">
        <v>40</v>
      </c>
      <c r="D17" s="2">
        <v>216.88</v>
      </c>
      <c r="E17" s="2">
        <v>0</v>
      </c>
      <c r="F17" s="2">
        <f>C17*D17+E17</f>
        <v>8675.2000000000007</v>
      </c>
      <c r="O17" s="81">
        <v>1.1000000000000001</v>
      </c>
      <c r="P17" s="81">
        <f>O17*$Q$4</f>
        <v>256.34399999999999</v>
      </c>
    </row>
    <row r="18" spans="1:16" x14ac:dyDescent="0.25">
      <c r="B18" s="477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254.0136</v>
      </c>
    </row>
    <row r="19" spans="1:16" x14ac:dyDescent="0.25">
      <c r="C19" s="4"/>
      <c r="D19" s="3"/>
      <c r="E19" s="3"/>
      <c r="F19" s="3"/>
      <c r="O19" s="81">
        <v>1.08</v>
      </c>
      <c r="P19" s="81">
        <f t="shared" si="4"/>
        <v>251.6832</v>
      </c>
    </row>
    <row r="20" spans="1:16" x14ac:dyDescent="0.25">
      <c r="O20" s="81">
        <v>1.07</v>
      </c>
      <c r="P20" s="81">
        <f t="shared" si="4"/>
        <v>249.3528</v>
      </c>
    </row>
    <row r="21" spans="1:16" x14ac:dyDescent="0.25">
      <c r="C21" s="4"/>
      <c r="D21" s="3"/>
      <c r="E21" s="3"/>
      <c r="F21" s="3"/>
      <c r="O21" s="81">
        <v>1.06</v>
      </c>
      <c r="P21" s="81">
        <f t="shared" si="4"/>
        <v>247.0224</v>
      </c>
    </row>
    <row r="22" spans="1:16" x14ac:dyDescent="0.25">
      <c r="O22" s="81">
        <v>1.05</v>
      </c>
      <c r="P22" s="81">
        <f t="shared" si="4"/>
        <v>244.69200000000001</v>
      </c>
    </row>
    <row r="23" spans="1:16" x14ac:dyDescent="0.25">
      <c r="A23" s="31" t="s">
        <v>81</v>
      </c>
      <c r="B23" s="14"/>
      <c r="C23" s="14">
        <f>SUM(C2:C21)</f>
        <v>310</v>
      </c>
      <c r="D23" s="18"/>
      <c r="E23" s="18"/>
      <c r="F23" s="18">
        <f>SUM(F2:F21)</f>
        <v>65017.4</v>
      </c>
      <c r="G23" s="14"/>
      <c r="H23" s="71">
        <f>SUM(H2:H10)</f>
        <v>240</v>
      </c>
      <c r="I23" s="18"/>
      <c r="J23" s="18"/>
      <c r="K23" s="18">
        <f>SUM(K2:K10)</f>
        <v>51860.92</v>
      </c>
      <c r="L23" s="14"/>
      <c r="M23" s="18">
        <f>SUM(M2:M10)</f>
        <v>0</v>
      </c>
      <c r="O23" s="81">
        <v>1.04</v>
      </c>
      <c r="P23" s="81">
        <f t="shared" si="4"/>
        <v>242.36160000000001</v>
      </c>
    </row>
    <row r="24" spans="1:16" ht="15.75" thickBot="1" x14ac:dyDescent="0.3">
      <c r="A24" s="344" t="s">
        <v>194</v>
      </c>
      <c r="B24" s="345"/>
      <c r="C24" s="346">
        <f>SumByColor($A$24,C2:C22)</f>
        <v>240</v>
      </c>
      <c r="D24" s="346"/>
      <c r="E24" s="346"/>
      <c r="F24" s="347">
        <f>SumByColor($A$24,F2:F22)</f>
        <v>50112</v>
      </c>
      <c r="G24" s="346"/>
      <c r="H24" s="346">
        <f>SumByColor($A$24,H2:H22)</f>
        <v>240</v>
      </c>
      <c r="I24" s="346"/>
      <c r="J24" s="346"/>
      <c r="K24" s="347">
        <f>SumByColor($A$24,K2:K22)</f>
        <v>51861</v>
      </c>
      <c r="L24" s="346"/>
      <c r="M24" s="347">
        <f>SumByColor($A$24,M2:M22)</f>
        <v>0</v>
      </c>
      <c r="O24" s="81">
        <v>1.03</v>
      </c>
      <c r="P24" s="81">
        <f t="shared" si="4"/>
        <v>240.03119999999998</v>
      </c>
    </row>
    <row r="25" spans="1:16" x14ac:dyDescent="0.25">
      <c r="O25" s="81">
        <v>1.02</v>
      </c>
      <c r="P25" s="81">
        <f t="shared" si="4"/>
        <v>237.70079999999999</v>
      </c>
    </row>
    <row r="26" spans="1:16" x14ac:dyDescent="0.25">
      <c r="O26" s="81">
        <v>1.01</v>
      </c>
      <c r="P26" s="81">
        <f t="shared" si="4"/>
        <v>235.37039999999999</v>
      </c>
    </row>
    <row r="27" spans="1:16" x14ac:dyDescent="0.25">
      <c r="O27" s="81">
        <v>1</v>
      </c>
      <c r="P27" s="81">
        <f t="shared" si="4"/>
        <v>233.04</v>
      </c>
    </row>
    <row r="28" spans="1:16" x14ac:dyDescent="0.25">
      <c r="O28" s="81">
        <v>0.99</v>
      </c>
      <c r="P28" s="81">
        <f t="shared" si="4"/>
        <v>230.70959999999999</v>
      </c>
    </row>
    <row r="29" spans="1:16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8" t="s">
        <v>65</v>
      </c>
      <c r="G29" s="223" t="s">
        <v>151</v>
      </c>
      <c r="H29" s="223" t="s">
        <v>88</v>
      </c>
      <c r="I29" s="223" t="s">
        <v>154</v>
      </c>
      <c r="J29" s="223" t="s">
        <v>150</v>
      </c>
      <c r="K29" s="223" t="s">
        <v>504</v>
      </c>
      <c r="L29" s="223" t="s">
        <v>997</v>
      </c>
      <c r="O29" s="81">
        <v>0.98</v>
      </c>
      <c r="P29" s="81">
        <f t="shared" si="4"/>
        <v>228.3792</v>
      </c>
    </row>
    <row r="30" spans="1:16" x14ac:dyDescent="0.25">
      <c r="B30" s="187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5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226.0488</v>
      </c>
    </row>
    <row r="31" spans="1:16" x14ac:dyDescent="0.25">
      <c r="B31" s="187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5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223.71839999999997</v>
      </c>
    </row>
    <row r="32" spans="1:16" x14ac:dyDescent="0.25">
      <c r="B32" s="187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5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221.38799999999998</v>
      </c>
    </row>
    <row r="33" spans="1:17" x14ac:dyDescent="0.25">
      <c r="B33" s="187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5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219.05759999999998</v>
      </c>
    </row>
    <row r="34" spans="1:17" x14ac:dyDescent="0.25">
      <c r="B34" s="187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5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216.72720000000001</v>
      </c>
    </row>
    <row r="35" spans="1:17" x14ac:dyDescent="0.25">
      <c r="A35">
        <v>20</v>
      </c>
      <c r="B35" s="187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5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214.39680000000001</v>
      </c>
    </row>
    <row r="36" spans="1:17" x14ac:dyDescent="0.25">
      <c r="B36" s="187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5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212.06639999999999</v>
      </c>
    </row>
    <row r="37" spans="1:17" x14ac:dyDescent="0.25">
      <c r="A37">
        <v>5</v>
      </c>
      <c r="B37" s="187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5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209.73599999999999</v>
      </c>
    </row>
    <row r="38" spans="1:17" x14ac:dyDescent="0.25">
      <c r="A38">
        <v>5</v>
      </c>
      <c r="B38" s="187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5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7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5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7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5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7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5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7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5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7">
        <v>43140</v>
      </c>
      <c r="C43" s="231">
        <v>55</v>
      </c>
      <c r="D43" s="232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5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7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5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7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5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7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5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7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5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7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5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7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5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7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5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7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5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7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5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7">
        <v>43176</v>
      </c>
      <c r="C53" s="231">
        <v>55</v>
      </c>
      <c r="D53" s="232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5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7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5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7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5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7">
        <v>43186</v>
      </c>
      <c r="C56" s="7">
        <v>100</v>
      </c>
      <c r="D56" s="43">
        <v>195.5</v>
      </c>
      <c r="E56" s="39">
        <v>204.92</v>
      </c>
      <c r="F56" s="39">
        <f t="shared" ref="F56:F59" si="35">C56*(E56-D56)</f>
        <v>941.99999999999875</v>
      </c>
      <c r="G56" s="39">
        <f t="shared" ref="G56:G59" si="36">D56*C56</f>
        <v>19550</v>
      </c>
      <c r="H56" s="225">
        <f t="shared" ref="H56:H59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7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5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7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5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7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5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</row>
    <row r="61" spans="1:17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</row>
    <row r="62" spans="1:17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</row>
    <row r="63" spans="1:17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</row>
    <row r="64" spans="1:17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</row>
    <row r="65" spans="1:13" x14ac:dyDescent="0.25">
      <c r="A65" s="4"/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72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72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72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7"/>
      <c r="B71" s="567"/>
      <c r="C71" s="567"/>
      <c r="D71" s="568"/>
      <c r="E71" s="568"/>
      <c r="F71" s="568"/>
      <c r="G71" s="567"/>
      <c r="H71" s="567"/>
      <c r="I71" s="568"/>
      <c r="J71" s="568"/>
      <c r="K71" s="568"/>
      <c r="L71" s="567" t="s">
        <v>65</v>
      </c>
      <c r="M71" s="568">
        <f>M89+K89-F89</f>
        <v>224.77000000000044</v>
      </c>
    </row>
    <row r="72" spans="1:13" x14ac:dyDescent="0.25">
      <c r="A72" s="690" t="s">
        <v>1</v>
      </c>
      <c r="B72" s="690" t="s">
        <v>2</v>
      </c>
      <c r="C72" s="690" t="s">
        <v>4</v>
      </c>
      <c r="D72" s="691" t="s">
        <v>5</v>
      </c>
      <c r="E72" s="691" t="s">
        <v>94</v>
      </c>
      <c r="F72" s="691" t="s">
        <v>60</v>
      </c>
      <c r="G72" s="690" t="s">
        <v>3</v>
      </c>
      <c r="H72" s="690" t="s">
        <v>6</v>
      </c>
      <c r="I72" s="691" t="s">
        <v>7</v>
      </c>
      <c r="J72" s="691" t="s">
        <v>95</v>
      </c>
      <c r="K72" s="691" t="s">
        <v>61</v>
      </c>
      <c r="L72" s="690" t="s">
        <v>37</v>
      </c>
      <c r="M72" s="690" t="s">
        <v>38</v>
      </c>
    </row>
    <row r="73" spans="1:13" x14ac:dyDescent="0.25">
      <c r="A73" s="692" t="s">
        <v>706</v>
      </c>
      <c r="B73" s="570">
        <v>42972</v>
      </c>
      <c r="C73" s="567">
        <v>15</v>
      </c>
      <c r="D73" s="568">
        <v>210.01</v>
      </c>
      <c r="E73" s="568">
        <v>0</v>
      </c>
      <c r="F73" s="568">
        <f>C73*D73+E73</f>
        <v>3150.1499999999996</v>
      </c>
      <c r="G73" s="570">
        <v>43005</v>
      </c>
      <c r="H73" s="567">
        <v>15</v>
      </c>
      <c r="I73" s="568">
        <v>225</v>
      </c>
      <c r="J73" s="568">
        <v>0.08</v>
      </c>
      <c r="K73" s="568">
        <f>H73*I73-J73</f>
        <v>3374.92</v>
      </c>
      <c r="L73" s="570"/>
      <c r="M73" s="568"/>
    </row>
    <row r="74" spans="1:13" x14ac:dyDescent="0.25">
      <c r="A74" s="693"/>
      <c r="B74" s="570"/>
      <c r="C74" s="567"/>
      <c r="D74" s="568"/>
      <c r="E74" s="568"/>
      <c r="F74" s="568"/>
      <c r="G74" s="570"/>
      <c r="H74" s="569"/>
      <c r="I74" s="568"/>
      <c r="J74" s="568"/>
      <c r="K74" s="568"/>
      <c r="L74" s="567"/>
      <c r="M74" s="567"/>
    </row>
    <row r="75" spans="1:13" x14ac:dyDescent="0.25">
      <c r="A75" s="567"/>
      <c r="B75" s="570"/>
      <c r="C75" s="567"/>
      <c r="D75" s="568"/>
      <c r="E75" s="568"/>
      <c r="F75" s="568"/>
      <c r="G75" s="570"/>
      <c r="H75" s="569"/>
      <c r="I75" s="568"/>
      <c r="J75" s="568"/>
      <c r="K75" s="568"/>
      <c r="L75" s="567"/>
      <c r="M75" s="567"/>
    </row>
    <row r="76" spans="1:13" x14ac:dyDescent="0.25">
      <c r="A76" s="567"/>
      <c r="B76" s="570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70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9"/>
      <c r="I83" s="568"/>
      <c r="J83" s="568"/>
      <c r="K83" s="568"/>
      <c r="L83" s="567"/>
      <c r="M83" s="567"/>
    </row>
    <row r="84" spans="1:13" x14ac:dyDescent="0.25">
      <c r="A84" s="567"/>
      <c r="B84" s="567"/>
      <c r="C84" s="567"/>
      <c r="D84" s="568"/>
      <c r="E84" s="568"/>
      <c r="F84" s="568"/>
      <c r="G84" s="567"/>
      <c r="H84" s="569"/>
      <c r="I84" s="568"/>
      <c r="J84" s="568"/>
      <c r="K84" s="568"/>
      <c r="L84" s="567"/>
      <c r="M84" s="567"/>
    </row>
    <row r="85" spans="1:13" x14ac:dyDescent="0.25">
      <c r="A85" s="567"/>
      <c r="B85" s="567"/>
      <c r="C85" s="567"/>
      <c r="D85" s="568"/>
      <c r="E85" s="568"/>
      <c r="F85" s="568"/>
      <c r="G85" s="567"/>
      <c r="H85" s="569"/>
      <c r="I85" s="568"/>
      <c r="J85" s="568"/>
      <c r="K85" s="568"/>
      <c r="L85" s="567"/>
      <c r="M85" s="567"/>
    </row>
    <row r="86" spans="1:13" x14ac:dyDescent="0.25">
      <c r="A86" s="567"/>
      <c r="B86" s="567"/>
      <c r="C86" s="567"/>
      <c r="D86" s="568"/>
      <c r="E86" s="568"/>
      <c r="F86" s="568"/>
      <c r="G86" s="567"/>
      <c r="H86" s="569"/>
      <c r="I86" s="568"/>
      <c r="J86" s="568"/>
      <c r="K86" s="568"/>
      <c r="L86" s="567"/>
      <c r="M86" s="567"/>
    </row>
    <row r="87" spans="1:13" x14ac:dyDescent="0.25">
      <c r="A87" s="567"/>
      <c r="B87" s="567"/>
      <c r="C87" s="567"/>
      <c r="D87" s="568"/>
      <c r="E87" s="568"/>
      <c r="F87" s="568"/>
      <c r="G87" s="567"/>
      <c r="H87" s="569"/>
      <c r="I87" s="568"/>
      <c r="J87" s="568"/>
      <c r="K87" s="568"/>
      <c r="L87" s="567"/>
      <c r="M87" s="567"/>
    </row>
    <row r="88" spans="1:13" x14ac:dyDescent="0.25">
      <c r="A88" s="567"/>
      <c r="B88" s="567"/>
      <c r="C88" s="567"/>
      <c r="D88" s="568"/>
      <c r="E88" s="568"/>
      <c r="F88" s="568"/>
      <c r="G88" s="567"/>
      <c r="H88" s="567"/>
      <c r="I88" s="568"/>
      <c r="J88" s="568"/>
      <c r="K88" s="568"/>
      <c r="L88" s="567"/>
      <c r="M88" s="567"/>
    </row>
    <row r="89" spans="1:13" x14ac:dyDescent="0.25">
      <c r="A89" s="694" t="s">
        <v>81</v>
      </c>
      <c r="B89" s="695"/>
      <c r="C89" s="695">
        <f>SUM(C73:C77)</f>
        <v>15</v>
      </c>
      <c r="D89" s="696"/>
      <c r="E89" s="696"/>
      <c r="F89" s="696">
        <f>SUM(F73:F77)</f>
        <v>3150.1499999999996</v>
      </c>
      <c r="G89" s="695"/>
      <c r="H89" s="697">
        <f>SUM(H73:H76)</f>
        <v>15</v>
      </c>
      <c r="I89" s="696"/>
      <c r="J89" s="696"/>
      <c r="K89" s="696">
        <f>SUM(K73:K76)</f>
        <v>3374.92</v>
      </c>
      <c r="L89" s="695"/>
      <c r="M89" s="696">
        <f>SUM(M73:M81)</f>
        <v>0</v>
      </c>
    </row>
    <row r="90" spans="1:13" ht="15.75" thickBot="1" x14ac:dyDescent="0.3">
      <c r="A90" s="698" t="s">
        <v>194</v>
      </c>
      <c r="B90" s="731"/>
      <c r="C90" s="699">
        <f>SumByColor($A$24,C73:C88)</f>
        <v>0</v>
      </c>
      <c r="D90" s="699"/>
      <c r="E90" s="699"/>
      <c r="F90" s="700">
        <f>SumByColor($A$24,F73:F88)</f>
        <v>0</v>
      </c>
      <c r="G90" s="699"/>
      <c r="H90" s="699">
        <f>SumByColor($A$24,H73:H88)</f>
        <v>0</v>
      </c>
      <c r="I90" s="699"/>
      <c r="J90" s="699"/>
      <c r="K90" s="700">
        <f>SumByColor($A$24,K74:K88)</f>
        <v>0</v>
      </c>
      <c r="L90" s="699"/>
      <c r="M90" s="700">
        <f>SumByColor($A$24,M73:M88)</f>
        <v>0</v>
      </c>
    </row>
    <row r="93" spans="1:13" x14ac:dyDescent="0.25">
      <c r="B93" s="185" t="s">
        <v>113</v>
      </c>
      <c r="C93" s="185" t="s">
        <v>146</v>
      </c>
      <c r="D93" s="186" t="s">
        <v>145</v>
      </c>
      <c r="E93" s="188" t="s">
        <v>147</v>
      </c>
      <c r="F93" s="188" t="s">
        <v>65</v>
      </c>
      <c r="G93" s="223" t="s">
        <v>151</v>
      </c>
      <c r="H93" s="223" t="s">
        <v>88</v>
      </c>
      <c r="I93" s="223" t="s">
        <v>154</v>
      </c>
      <c r="J93" s="223" t="s">
        <v>150</v>
      </c>
      <c r="K93" s="223" t="s">
        <v>679</v>
      </c>
      <c r="L93" s="223" t="s">
        <v>685</v>
      </c>
    </row>
    <row r="94" spans="1:13" x14ac:dyDescent="0.25">
      <c r="B94" s="187">
        <v>42972</v>
      </c>
      <c r="C94" s="10">
        <v>15</v>
      </c>
      <c r="D94" s="39">
        <v>210.01</v>
      </c>
      <c r="E94" s="39">
        <v>212.36</v>
      </c>
      <c r="F94" s="39">
        <f t="shared" ref="F94:F95" si="38">C94*(E94-D94)</f>
        <v>35.250000000000341</v>
      </c>
      <c r="G94" s="39">
        <f t="shared" ref="G94:G95" si="39">D94*C94</f>
        <v>3150.1499999999996</v>
      </c>
      <c r="H94" s="225">
        <f t="shared" ref="H94:H95" si="40">(E94-D94)/D94</f>
        <v>1.1189943336031726E-2</v>
      </c>
      <c r="I94" s="39"/>
      <c r="J94" s="39"/>
      <c r="K94" s="39"/>
      <c r="L94" s="39"/>
    </row>
    <row r="95" spans="1:13" x14ac:dyDescent="0.25">
      <c r="B95" s="187">
        <v>42983</v>
      </c>
      <c r="C95" s="10">
        <v>15</v>
      </c>
      <c r="D95" s="39">
        <v>210.01</v>
      </c>
      <c r="E95" s="39">
        <v>223.9</v>
      </c>
      <c r="F95" s="39">
        <f t="shared" si="38"/>
        <v>208.35000000000022</v>
      </c>
      <c r="G95" s="39">
        <f t="shared" si="39"/>
        <v>3150.1499999999996</v>
      </c>
      <c r="H95" s="225">
        <f t="shared" si="40"/>
        <v>6.6139707632969932E-2</v>
      </c>
      <c r="I95" s="39"/>
      <c r="J95" s="39"/>
      <c r="K95" s="39"/>
      <c r="L95" s="39"/>
    </row>
    <row r="96" spans="1:13" x14ac:dyDescent="0.25">
      <c r="B96" s="187">
        <v>43005</v>
      </c>
      <c r="C96" s="10">
        <v>0</v>
      </c>
      <c r="D96" s="39"/>
      <c r="E96" s="39"/>
      <c r="F96" s="39">
        <v>224.77</v>
      </c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157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157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157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157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157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  <row r="111" spans="2:12" x14ac:dyDescent="0.25">
      <c r="B111" s="187"/>
      <c r="C111" s="10"/>
      <c r="D111" s="39"/>
      <c r="E111" s="39"/>
      <c r="F111" s="39"/>
      <c r="G111" s="39"/>
      <c r="H111" s="225"/>
      <c r="I111" s="39"/>
      <c r="J111" s="39"/>
      <c r="K111" s="39"/>
      <c r="L111" s="39"/>
    </row>
    <row r="112" spans="2:12" x14ac:dyDescent="0.25">
      <c r="B112" s="187"/>
      <c r="C112" s="10"/>
      <c r="D112" s="39"/>
      <c r="E112" s="39"/>
      <c r="F112" s="39"/>
      <c r="G112" s="39"/>
      <c r="H112" s="225"/>
      <c r="I112" s="39"/>
      <c r="J112" s="39"/>
      <c r="K112" s="39"/>
      <c r="L112" s="39"/>
    </row>
    <row r="113" spans="2:12" x14ac:dyDescent="0.25">
      <c r="B113" s="187"/>
      <c r="C113" s="10"/>
      <c r="D113" s="39"/>
      <c r="E113" s="39"/>
      <c r="F113" s="39"/>
      <c r="G113" s="39"/>
      <c r="H113" s="225"/>
      <c r="I113" s="39"/>
      <c r="J113" s="39"/>
      <c r="K113" s="39"/>
      <c r="L113" s="39"/>
    </row>
    <row r="114" spans="2:12" x14ac:dyDescent="0.25">
      <c r="B114" s="187"/>
      <c r="C114" s="10"/>
      <c r="D114" s="39"/>
      <c r="E114" s="39"/>
      <c r="F114" s="39"/>
      <c r="G114" s="39"/>
      <c r="H114" s="225"/>
      <c r="I114" s="39"/>
      <c r="J114" s="39"/>
      <c r="K114" s="39"/>
      <c r="L114" s="39"/>
    </row>
    <row r="115" spans="2:12" x14ac:dyDescent="0.25">
      <c r="B115" s="187"/>
      <c r="C115" s="10"/>
      <c r="D115" s="39"/>
      <c r="E115" s="39"/>
      <c r="F115" s="39"/>
      <c r="G115" s="39"/>
      <c r="H115" s="225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:F68 H66:H68">
    <cfRule type="expression" dxfId="1709" priority="41">
      <formula>F66&gt;0</formula>
    </cfRule>
    <cfRule type="expression" dxfId="1708" priority="42">
      <formula>F66&lt;0</formula>
    </cfRule>
  </conditionalFormatting>
  <conditionalFormatting sqref="Q7">
    <cfRule type="expression" dxfId="1707" priority="39">
      <formula>Q7&gt;0</formula>
    </cfRule>
    <cfRule type="expression" dxfId="1706" priority="40">
      <formula>Q7&lt;0</formula>
    </cfRule>
  </conditionalFormatting>
  <conditionalFormatting sqref="Q8">
    <cfRule type="expression" dxfId="1705" priority="37">
      <formula>Q8&gt;0</formula>
    </cfRule>
    <cfRule type="expression" dxfId="1704" priority="38">
      <formula>Q8&lt;0</formula>
    </cfRule>
  </conditionalFormatting>
  <conditionalFormatting sqref="F35:F54 F57:F65">
    <cfRule type="expression" dxfId="1703" priority="35">
      <formula>F35&gt;0</formula>
    </cfRule>
    <cfRule type="expression" dxfId="1702" priority="36">
      <formula>F35&lt;0</formula>
    </cfRule>
  </conditionalFormatting>
  <conditionalFormatting sqref="H35:H54 H57:H65">
    <cfRule type="expression" dxfId="1701" priority="33">
      <formula>H35&gt;0</formula>
    </cfRule>
    <cfRule type="expression" dxfId="1700" priority="34">
      <formula>H35&lt;0</formula>
    </cfRule>
  </conditionalFormatting>
  <conditionalFormatting sqref="Q10">
    <cfRule type="expression" dxfId="1699" priority="27">
      <formula>Q10&gt;0</formula>
    </cfRule>
    <cfRule type="expression" dxfId="1698" priority="28">
      <formula>Q10&lt;0</formula>
    </cfRule>
  </conditionalFormatting>
  <conditionalFormatting sqref="J30:J54 J57:J65">
    <cfRule type="expression" dxfId="1697" priority="25">
      <formula>J30&gt;0</formula>
    </cfRule>
    <cfRule type="expression" dxfId="1696" priority="26">
      <formula>J30&lt;0</formula>
    </cfRule>
  </conditionalFormatting>
  <conditionalFormatting sqref="K30:K43">
    <cfRule type="expression" dxfId="1695" priority="23">
      <formula>K30&gt;0</formula>
    </cfRule>
    <cfRule type="expression" dxfId="1694" priority="24">
      <formula>K30&lt;0</formula>
    </cfRule>
  </conditionalFormatting>
  <conditionalFormatting sqref="L30:L43">
    <cfRule type="expression" dxfId="1693" priority="21">
      <formula>L30&gt;0</formula>
    </cfRule>
    <cfRule type="expression" dxfId="1692" priority="22">
      <formula>L30&lt;0</formula>
    </cfRule>
  </conditionalFormatting>
  <conditionalFormatting sqref="F94:F115">
    <cfRule type="expression" dxfId="1691" priority="19">
      <formula>F94&gt;0</formula>
    </cfRule>
    <cfRule type="expression" dxfId="1690" priority="20">
      <formula>F94&lt;0</formula>
    </cfRule>
  </conditionalFormatting>
  <conditionalFormatting sqref="H94:H115">
    <cfRule type="expression" dxfId="1689" priority="17">
      <formula>H94&gt;0</formula>
    </cfRule>
    <cfRule type="expression" dxfId="1688" priority="18">
      <formula>H94&lt;0</formula>
    </cfRule>
  </conditionalFormatting>
  <conditionalFormatting sqref="J94:J107">
    <cfRule type="expression" dxfId="1687" priority="15">
      <formula>J94&gt;0</formula>
    </cfRule>
    <cfRule type="expression" dxfId="1686" priority="16">
      <formula>J94&lt;0</formula>
    </cfRule>
  </conditionalFormatting>
  <conditionalFormatting sqref="K94:K107">
    <cfRule type="expression" dxfId="1685" priority="13">
      <formula>K94&gt;0</formula>
    </cfRule>
    <cfRule type="expression" dxfId="1684" priority="14">
      <formula>K94&lt;0</formula>
    </cfRule>
  </conditionalFormatting>
  <conditionalFormatting sqref="L94:L107">
    <cfRule type="expression" dxfId="1683" priority="11">
      <formula>L94&gt;0</formula>
    </cfRule>
    <cfRule type="expression" dxfId="1682" priority="12">
      <formula>L94&lt;0</formula>
    </cfRule>
  </conditionalFormatting>
  <conditionalFormatting sqref="F30:F34">
    <cfRule type="expression" dxfId="1681" priority="9">
      <formula>F30&gt;0</formula>
    </cfRule>
    <cfRule type="expression" dxfId="1680" priority="10">
      <formula>F30&lt;0</formula>
    </cfRule>
  </conditionalFormatting>
  <conditionalFormatting sqref="H30:H34">
    <cfRule type="expression" dxfId="1679" priority="7">
      <formula>H30&gt;0</formula>
    </cfRule>
    <cfRule type="expression" dxfId="1678" priority="8">
      <formula>H30&lt;0</formula>
    </cfRule>
  </conditionalFormatting>
  <conditionalFormatting sqref="F55:F56">
    <cfRule type="expression" dxfId="1677" priority="5">
      <formula>F55&gt;0</formula>
    </cfRule>
    <cfRule type="expression" dxfId="1676" priority="6">
      <formula>F55&lt;0</formula>
    </cfRule>
  </conditionalFormatting>
  <conditionalFormatting sqref="H55:H56">
    <cfRule type="expression" dxfId="1675" priority="3">
      <formula>H55&gt;0</formula>
    </cfRule>
    <cfRule type="expression" dxfId="1674" priority="4">
      <formula>H55&lt;0</formula>
    </cfRule>
  </conditionalFormatting>
  <conditionalFormatting sqref="J55:J56">
    <cfRule type="expression" dxfId="1673" priority="1">
      <formula>J55&gt;0</formula>
    </cfRule>
    <cfRule type="expression" dxfId="1672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846</v>
      </c>
      <c r="B2" s="437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7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922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925</v>
      </c>
      <c r="W2" s="134"/>
    </row>
    <row r="3" spans="1:23" x14ac:dyDescent="0.25">
      <c r="A3" s="22" t="s">
        <v>71</v>
      </c>
      <c r="B3" s="437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7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4">
        <f>IF(Q2=0, Q4, (F18-K18-M18)/Q2)</f>
        <v>79.214333333333315</v>
      </c>
      <c r="T3" s="1"/>
      <c r="U3" t="s">
        <v>926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90.799899999999994</v>
      </c>
      <c r="R4" s="498">
        <v>1.0800000000000001E-2</v>
      </c>
      <c r="T4" s="1"/>
      <c r="U4" t="s">
        <v>927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2723.9969999999998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928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347.56700000000046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347.56700000000046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0.14625593852964344</v>
      </c>
      <c r="T9" s="1">
        <v>43203</v>
      </c>
      <c r="U9" t="s">
        <v>1036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1035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7.4889950319328557E-3</v>
      </c>
      <c r="R11">
        <v>0.17</v>
      </c>
      <c r="W11" s="134"/>
    </row>
    <row r="12" spans="1:23" x14ac:dyDescent="0.25">
      <c r="H12" s="70"/>
      <c r="O12" s="11" t="s">
        <v>1021</v>
      </c>
      <c r="Q12" s="1"/>
      <c r="W12" s="134"/>
    </row>
    <row r="13" spans="1:23" x14ac:dyDescent="0.25">
      <c r="H13" s="70"/>
      <c r="O13" s="11" t="s">
        <v>997</v>
      </c>
      <c r="Q13">
        <f>Q4/4.75</f>
        <v>19.115768421052632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7" t="s">
        <v>78</v>
      </c>
      <c r="P15" s="847"/>
      <c r="W15" s="134"/>
    </row>
    <row r="16" spans="1:23" ht="15.75" thickTop="1" x14ac:dyDescent="0.25">
      <c r="H16" s="70"/>
      <c r="O16" s="81">
        <v>1.1000000000000001</v>
      </c>
      <c r="P16" s="81">
        <f>O16*$Q$4</f>
        <v>99.879890000000003</v>
      </c>
      <c r="W16" s="134"/>
    </row>
    <row r="17" spans="1:23" x14ac:dyDescent="0.25">
      <c r="O17" s="81">
        <v>1.0900000000000001</v>
      </c>
      <c r="P17" s="81">
        <f t="shared" ref="P17:P36" si="0">O17*$Q$4</f>
        <v>98.971890999999999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98.063891999999996</v>
      </c>
      <c r="W18" s="134"/>
    </row>
    <row r="19" spans="1:23" ht="15.75" thickBot="1" x14ac:dyDescent="0.3">
      <c r="A19" s="344" t="s">
        <v>194</v>
      </c>
      <c r="B19" s="345"/>
      <c r="C19" s="346">
        <f>SumByColor($A$19,C3:C17)</f>
        <v>30</v>
      </c>
      <c r="D19" s="346"/>
      <c r="E19" s="346"/>
      <c r="F19" s="347">
        <f>SumByColor($A$19,F3:F17)</f>
        <v>2622</v>
      </c>
      <c r="G19" s="346"/>
      <c r="H19" s="346">
        <f>SumByColor($A$19,H2:H17)</f>
        <v>60</v>
      </c>
      <c r="I19" s="346"/>
      <c r="J19" s="346"/>
      <c r="K19" s="347">
        <f>SumByColor($A$19,K3:K17)</f>
        <v>2971</v>
      </c>
      <c r="L19" s="346"/>
      <c r="M19" s="347">
        <f>SumByColor($A$19,M2:M17)</f>
        <v>10</v>
      </c>
      <c r="O19" s="81">
        <v>1.07</v>
      </c>
      <c r="P19" s="81">
        <f t="shared" si="0"/>
        <v>97.155893000000006</v>
      </c>
      <c r="W19" s="134"/>
    </row>
    <row r="20" spans="1:23" x14ac:dyDescent="0.25">
      <c r="O20" s="81">
        <v>1.06</v>
      </c>
      <c r="P20" s="81">
        <f t="shared" si="0"/>
        <v>96.247894000000002</v>
      </c>
      <c r="W20" s="134"/>
    </row>
    <row r="21" spans="1:23" x14ac:dyDescent="0.25">
      <c r="O21" s="81">
        <v>1.05</v>
      </c>
      <c r="P21" s="81">
        <f t="shared" si="0"/>
        <v>95.339894999999999</v>
      </c>
      <c r="W21" s="134"/>
    </row>
    <row r="22" spans="1:23" x14ac:dyDescent="0.25">
      <c r="O22" s="81">
        <v>1.04</v>
      </c>
      <c r="P22" s="81">
        <f t="shared" si="0"/>
        <v>94.431895999999995</v>
      </c>
      <c r="W22" s="134"/>
    </row>
    <row r="23" spans="1:23" x14ac:dyDescent="0.25">
      <c r="O23" s="81">
        <v>1.03</v>
      </c>
      <c r="P23" s="81">
        <f t="shared" si="0"/>
        <v>93.523896999999991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/>
      <c r="O24" s="81">
        <v>1.02</v>
      </c>
      <c r="P24" s="81">
        <f t="shared" si="0"/>
        <v>92.615898000000001</v>
      </c>
      <c r="W24" s="134"/>
    </row>
    <row r="25" spans="1:23" x14ac:dyDescent="0.25">
      <c r="B25" s="187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5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91.707898999999998</v>
      </c>
      <c r="W25" s="134"/>
    </row>
    <row r="26" spans="1:23" x14ac:dyDescent="0.25">
      <c r="B26" s="187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5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90.799899999999994</v>
      </c>
      <c r="W26" s="134"/>
    </row>
    <row r="27" spans="1:23" x14ac:dyDescent="0.25">
      <c r="B27" s="187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5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89.89190099999999</v>
      </c>
      <c r="W27" s="134"/>
    </row>
    <row r="28" spans="1:23" x14ac:dyDescent="0.25">
      <c r="B28" s="187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5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88.983901999999986</v>
      </c>
      <c r="W28" s="134"/>
    </row>
    <row r="29" spans="1:23" x14ac:dyDescent="0.25">
      <c r="B29" s="187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5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88.075902999999997</v>
      </c>
      <c r="W29" s="134"/>
    </row>
    <row r="30" spans="1:23" x14ac:dyDescent="0.25">
      <c r="B30" s="187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5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87.167903999999993</v>
      </c>
      <c r="W30" s="134"/>
    </row>
    <row r="31" spans="1:23" x14ac:dyDescent="0.25">
      <c r="B31" s="187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5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86.259904999999989</v>
      </c>
      <c r="W31" s="134"/>
    </row>
    <row r="32" spans="1:23" x14ac:dyDescent="0.25">
      <c r="B32" s="187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5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85.351905999999985</v>
      </c>
      <c r="W32" s="134"/>
    </row>
    <row r="33" spans="1:23" x14ac:dyDescent="0.25">
      <c r="A33" s="29"/>
      <c r="B33" s="187">
        <v>43186</v>
      </c>
      <c r="C33" s="10">
        <v>30</v>
      </c>
      <c r="D33" s="39">
        <v>79.214299999999994</v>
      </c>
      <c r="E33" s="39">
        <v>90.4</v>
      </c>
      <c r="F33" s="39">
        <f t="shared" ref="F33:F34" si="19">C33*(E33-D33)</f>
        <v>335.57100000000037</v>
      </c>
      <c r="G33" s="39">
        <f t="shared" ref="G33:G34" si="20">D33*C33</f>
        <v>2376.4289999999996</v>
      </c>
      <c r="H33" s="225">
        <f t="shared" ref="H33:H34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84.443906999999996</v>
      </c>
      <c r="W33" s="134"/>
    </row>
    <row r="34" spans="1:23" x14ac:dyDescent="0.25">
      <c r="B34" s="187">
        <v>43204</v>
      </c>
      <c r="C34" s="10">
        <v>30</v>
      </c>
      <c r="D34" s="39">
        <v>79.214299999999994</v>
      </c>
      <c r="E34" s="39">
        <v>91.4</v>
      </c>
      <c r="F34" s="39">
        <f t="shared" si="19"/>
        <v>365.57100000000037</v>
      </c>
      <c r="G34" s="39">
        <f t="shared" si="20"/>
        <v>2376.4289999999996</v>
      </c>
      <c r="H34" s="225">
        <f t="shared" si="21"/>
        <v>0.15383207324940082</v>
      </c>
      <c r="I34" s="39"/>
      <c r="J34" s="39"/>
      <c r="K34" s="39"/>
      <c r="L34" s="157"/>
      <c r="O34" s="81">
        <v>0.92</v>
      </c>
      <c r="P34" s="81">
        <f t="shared" si="0"/>
        <v>83.535907999999992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0.91</v>
      </c>
      <c r="P35" s="81">
        <f t="shared" si="0"/>
        <v>82.627909000000002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</v>
      </c>
      <c r="P36" s="81">
        <f t="shared" si="0"/>
        <v>81.719909999999999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846</v>
      </c>
      <c r="B68" s="499"/>
      <c r="C68" s="500"/>
      <c r="D68" s="502"/>
      <c r="E68" s="502"/>
      <c r="F68" s="502"/>
      <c r="G68" s="500"/>
      <c r="H68" s="517"/>
      <c r="I68" s="502"/>
      <c r="J68" s="502"/>
      <c r="K68" s="502"/>
      <c r="L68" s="500"/>
      <c r="M68" s="500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500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500"/>
      <c r="C70" s="500"/>
      <c r="D70" s="502"/>
      <c r="E70" s="502"/>
      <c r="F70" s="502"/>
      <c r="G70" s="500"/>
      <c r="H70" s="517"/>
      <c r="I70" s="502"/>
      <c r="J70" s="502"/>
      <c r="K70" s="502"/>
      <c r="L70" s="500"/>
      <c r="M70" s="500"/>
    </row>
    <row r="71" spans="1:23" x14ac:dyDescent="0.25">
      <c r="A71" s="500"/>
      <c r="B71" s="500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500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71" priority="21">
      <formula>F47&gt;0</formula>
    </cfRule>
    <cfRule type="expression" dxfId="1670" priority="22">
      <formula>F47&lt;0</formula>
    </cfRule>
  </conditionalFormatting>
  <conditionalFormatting sqref="Q7">
    <cfRule type="expression" dxfId="1669" priority="19">
      <formula>Q7&gt;0</formula>
    </cfRule>
    <cfRule type="expression" dxfId="1668" priority="20">
      <formula>Q7&lt;0</formula>
    </cfRule>
  </conditionalFormatting>
  <conditionalFormatting sqref="Q8">
    <cfRule type="expression" dxfId="1667" priority="17">
      <formula>Q8&gt;0</formula>
    </cfRule>
    <cfRule type="expression" dxfId="1666" priority="18">
      <formula>Q8&lt;0</formula>
    </cfRule>
  </conditionalFormatting>
  <conditionalFormatting sqref="F25:F46">
    <cfRule type="expression" dxfId="1665" priority="15">
      <formula>F25&gt;0</formula>
    </cfRule>
    <cfRule type="expression" dxfId="1664" priority="16">
      <formula>F25&lt;0</formula>
    </cfRule>
  </conditionalFormatting>
  <conditionalFormatting sqref="H25:H46">
    <cfRule type="expression" dxfId="1663" priority="13">
      <formula>H25&gt;0</formula>
    </cfRule>
    <cfRule type="expression" dxfId="1662" priority="14">
      <formula>H25&lt;0</formula>
    </cfRule>
  </conditionalFormatting>
  <conditionalFormatting sqref="F89:F110">
    <cfRule type="expression" dxfId="1661" priority="11">
      <formula>F89&gt;0</formula>
    </cfRule>
    <cfRule type="expression" dxfId="1660" priority="12">
      <formula>F89&lt;0</formula>
    </cfRule>
  </conditionalFormatting>
  <conditionalFormatting sqref="H89:H110">
    <cfRule type="expression" dxfId="1659" priority="9">
      <formula>H89&gt;0</formula>
    </cfRule>
    <cfRule type="expression" dxfId="1658" priority="10">
      <formula>H89&lt;0</formula>
    </cfRule>
  </conditionalFormatting>
  <conditionalFormatting sqref="Q10">
    <cfRule type="expression" dxfId="1657" priority="7">
      <formula>Q10&gt;0</formula>
    </cfRule>
    <cfRule type="expression" dxfId="1656" priority="8">
      <formula>Q10&lt;0</formula>
    </cfRule>
  </conditionalFormatting>
  <conditionalFormatting sqref="J25:J38">
    <cfRule type="expression" dxfId="1655" priority="5">
      <formula>J25&gt;0</formula>
    </cfRule>
    <cfRule type="expression" dxfId="1654" priority="6">
      <formula>J25&lt;0</formula>
    </cfRule>
  </conditionalFormatting>
  <conditionalFormatting sqref="K25:K38">
    <cfRule type="expression" dxfId="1653" priority="3">
      <formula>K25&gt;0</formula>
    </cfRule>
    <cfRule type="expression" dxfId="1652" priority="4">
      <formula>K25&lt;0</formula>
    </cfRule>
  </conditionalFormatting>
  <conditionalFormatting sqref="L25:L38">
    <cfRule type="expression" dxfId="1651" priority="1">
      <formula>L25&gt;0</formula>
    </cfRule>
    <cfRule type="expression" dxfId="165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689</v>
      </c>
      <c r="B2" s="437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7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844</v>
      </c>
    </row>
    <row r="3" spans="1:21" x14ac:dyDescent="0.25">
      <c r="A3" s="22" t="s">
        <v>71</v>
      </c>
      <c r="B3" s="437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7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4">
        <f>IF(Q2=0, Q4, (F18-K18-M18)/Q2)</f>
        <v>87.777200000000008</v>
      </c>
    </row>
    <row r="4" spans="1:21" x14ac:dyDescent="0.25">
      <c r="B4" s="437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7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107.39</v>
      </c>
      <c r="R4" s="498">
        <v>-7.4999999999999997E-3</v>
      </c>
      <c r="T4" s="1">
        <v>42738</v>
      </c>
      <c r="U4" t="s">
        <v>843</v>
      </c>
    </row>
    <row r="5" spans="1:21" x14ac:dyDescent="0.25">
      <c r="B5" s="437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7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8054.25</v>
      </c>
      <c r="T5" s="1">
        <v>43105</v>
      </c>
      <c r="U5" t="s">
        <v>871</v>
      </c>
    </row>
    <row r="6" spans="1:21" x14ac:dyDescent="0.25">
      <c r="B6" s="437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7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6583.2900000000009</v>
      </c>
    </row>
    <row r="7" spans="1:21" x14ac:dyDescent="0.25">
      <c r="B7" s="437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7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1470.9599999999991</v>
      </c>
      <c r="R7">
        <v>50</v>
      </c>
      <c r="T7" s="1">
        <v>43112</v>
      </c>
      <c r="U7" t="s">
        <v>877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7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1470.9599999999991</v>
      </c>
    </row>
    <row r="9" spans="1:21" x14ac:dyDescent="0.25">
      <c r="B9" s="437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7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0.22343843275930408</v>
      </c>
      <c r="T9" s="1">
        <v>43114</v>
      </c>
      <c r="U9" t="s">
        <v>899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900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77">
        <v>43196</v>
      </c>
      <c r="C12" s="4">
        <v>25</v>
      </c>
      <c r="D12" s="3">
        <v>110.8</v>
      </c>
      <c r="E12" s="3">
        <v>0</v>
      </c>
      <c r="F12" s="3">
        <f>C12*D12+E12</f>
        <v>2770</v>
      </c>
      <c r="H12" s="70"/>
      <c r="T12" s="1">
        <v>43193</v>
      </c>
      <c r="U12" t="s">
        <v>990</v>
      </c>
    </row>
    <row r="13" spans="1:21" x14ac:dyDescent="0.25">
      <c r="C13" s="4"/>
      <c r="D13" s="3"/>
      <c r="E13" s="3"/>
      <c r="F13" s="3"/>
      <c r="H13" s="70"/>
      <c r="O13" s="11" t="s">
        <v>997</v>
      </c>
      <c r="Q13">
        <f>Q4/6.69</f>
        <v>16.052316890881912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7" t="s">
        <v>78</v>
      </c>
      <c r="P17" s="84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225</v>
      </c>
      <c r="I18" s="18"/>
      <c r="J18" s="18"/>
      <c r="K18" s="18">
        <f>SUM(K2:K10)</f>
        <v>22887.81</v>
      </c>
      <c r="L18" s="14"/>
      <c r="M18" s="18">
        <f>SUM(M2:M10)</f>
        <v>15</v>
      </c>
      <c r="O18" s="81">
        <v>1.1000000000000001</v>
      </c>
      <c r="P18" s="81">
        <f>O18*$Q$4</f>
        <v>118.129</v>
      </c>
      <c r="Q18" s="2"/>
    </row>
    <row r="19" spans="1:17" ht="15.75" thickBot="1" x14ac:dyDescent="0.3">
      <c r="A19" s="344" t="s">
        <v>194</v>
      </c>
      <c r="B19" s="345"/>
      <c r="C19" s="346">
        <f>SumByColor($A$19,C2:C17)</f>
        <v>225</v>
      </c>
      <c r="D19" s="346"/>
      <c r="E19" s="346"/>
      <c r="F19" s="347">
        <f>SumByColor($A$19,F2:F17)</f>
        <v>22216</v>
      </c>
      <c r="G19" s="346"/>
      <c r="H19" s="346">
        <f>SumByColor($A$19,H2:H17)</f>
        <v>225</v>
      </c>
      <c r="I19" s="346"/>
      <c r="J19" s="346"/>
      <c r="K19" s="347">
        <f>SumByColor($A$19,K2:K17)</f>
        <v>22887</v>
      </c>
      <c r="L19" s="346"/>
      <c r="M19" s="347">
        <f>SumByColor($A$19,M2:M17)</f>
        <v>15</v>
      </c>
      <c r="O19" s="81">
        <v>1.0900000000000001</v>
      </c>
      <c r="P19" s="81">
        <f t="shared" ref="P19:P38" si="3">O19*$Q$4</f>
        <v>117.05510000000001</v>
      </c>
      <c r="Q19" s="2"/>
    </row>
    <row r="20" spans="1:17" x14ac:dyDescent="0.25">
      <c r="O20" s="81">
        <v>1.08</v>
      </c>
      <c r="P20" s="81">
        <f t="shared" si="3"/>
        <v>115.9812</v>
      </c>
      <c r="Q20" s="2"/>
    </row>
    <row r="21" spans="1:17" x14ac:dyDescent="0.25">
      <c r="O21" s="81">
        <v>1.07</v>
      </c>
      <c r="P21" s="81">
        <f t="shared" si="3"/>
        <v>114.90730000000001</v>
      </c>
      <c r="Q21" s="2"/>
    </row>
    <row r="22" spans="1:17" x14ac:dyDescent="0.25">
      <c r="O22" s="81">
        <v>1.06</v>
      </c>
      <c r="P22" s="81">
        <f t="shared" si="3"/>
        <v>113.83340000000001</v>
      </c>
      <c r="Q22" s="2"/>
    </row>
    <row r="23" spans="1:17" x14ac:dyDescent="0.25">
      <c r="O23" s="81">
        <v>1.05</v>
      </c>
      <c r="P23" s="81">
        <f t="shared" si="3"/>
        <v>112.7595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70</v>
      </c>
      <c r="O24" s="81">
        <v>1.04</v>
      </c>
      <c r="P24" s="81">
        <f t="shared" si="3"/>
        <v>111.68560000000001</v>
      </c>
      <c r="Q24" s="2"/>
    </row>
    <row r="25" spans="1:17" x14ac:dyDescent="0.25">
      <c r="B25" s="187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5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110.6117</v>
      </c>
      <c r="Q25" s="2"/>
    </row>
    <row r="26" spans="1:17" x14ac:dyDescent="0.25">
      <c r="B26" s="187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5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109.5378</v>
      </c>
      <c r="Q26" s="2"/>
    </row>
    <row r="27" spans="1:17" x14ac:dyDescent="0.25">
      <c r="B27" s="187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5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108.4639</v>
      </c>
      <c r="Q27" s="2"/>
    </row>
    <row r="28" spans="1:17" x14ac:dyDescent="0.25">
      <c r="B28" s="187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5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107.39</v>
      </c>
      <c r="Q28" s="2"/>
    </row>
    <row r="29" spans="1:17" x14ac:dyDescent="0.25">
      <c r="B29" s="187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5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106.31610000000001</v>
      </c>
      <c r="Q29" s="2"/>
    </row>
    <row r="30" spans="1:17" x14ac:dyDescent="0.25">
      <c r="A30">
        <v>25</v>
      </c>
      <c r="B30" s="187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5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105.2422</v>
      </c>
      <c r="Q30" s="2"/>
    </row>
    <row r="31" spans="1:17" x14ac:dyDescent="0.25">
      <c r="A31">
        <v>25</v>
      </c>
      <c r="B31" s="187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5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104.1683</v>
      </c>
    </row>
    <row r="32" spans="1:17" x14ac:dyDescent="0.25">
      <c r="B32" s="187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5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103.09439999999999</v>
      </c>
    </row>
    <row r="33" spans="1:16" x14ac:dyDescent="0.25">
      <c r="A33">
        <v>75</v>
      </c>
      <c r="B33" s="187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5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102.0205</v>
      </c>
    </row>
    <row r="34" spans="1:16" x14ac:dyDescent="0.25">
      <c r="A34">
        <v>75</v>
      </c>
      <c r="B34" s="187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5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100.94659999999999</v>
      </c>
    </row>
    <row r="35" spans="1:16" x14ac:dyDescent="0.25">
      <c r="A35">
        <v>75</v>
      </c>
      <c r="B35" s="187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5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99.872700000000009</v>
      </c>
    </row>
    <row r="36" spans="1:16" x14ac:dyDescent="0.25">
      <c r="A36">
        <v>75</v>
      </c>
      <c r="B36" s="187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5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98.7988</v>
      </c>
    </row>
    <row r="37" spans="1:16" x14ac:dyDescent="0.25">
      <c r="A37">
        <v>75</v>
      </c>
      <c r="B37" s="187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5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97.724900000000005</v>
      </c>
    </row>
    <row r="38" spans="1:16" x14ac:dyDescent="0.25">
      <c r="A38">
        <v>75</v>
      </c>
      <c r="B38" s="187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5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96.650999999999996</v>
      </c>
    </row>
    <row r="39" spans="1:16" x14ac:dyDescent="0.25">
      <c r="A39">
        <v>75</v>
      </c>
      <c r="B39" s="187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5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7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5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7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5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7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5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7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5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7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5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7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5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7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5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7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5">
        <f t="shared" si="41"/>
        <v>0.25106962460357785</v>
      </c>
      <c r="I47" s="196" t="s">
        <v>876</v>
      </c>
      <c r="J47" s="39"/>
      <c r="K47" s="39"/>
      <c r="L47" s="39">
        <v>74.34</v>
      </c>
      <c r="M47" s="39" t="s">
        <v>898</v>
      </c>
    </row>
    <row r="48" spans="1:16" x14ac:dyDescent="0.25">
      <c r="B48" s="187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5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7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5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7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5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7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5">
        <f t="shared" si="41"/>
        <v>0.16722783389450063</v>
      </c>
      <c r="I51" s="39" t="s">
        <v>962</v>
      </c>
      <c r="J51" s="39"/>
      <c r="K51" s="39"/>
      <c r="L51" s="39"/>
      <c r="M51" s="39"/>
    </row>
    <row r="52" spans="1:13" x14ac:dyDescent="0.25">
      <c r="A52">
        <v>35</v>
      </c>
      <c r="B52" s="187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5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7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5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7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5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7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5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7">
        <v>43185</v>
      </c>
      <c r="C56" s="10">
        <v>50</v>
      </c>
      <c r="D56" s="39">
        <v>76.33</v>
      </c>
      <c r="E56" s="39">
        <v>114.77</v>
      </c>
      <c r="F56" s="39">
        <f t="shared" ref="F56:F59" si="48">C56*(E56-D56)</f>
        <v>1922</v>
      </c>
      <c r="G56" s="39">
        <f t="shared" ref="G56:G59" si="49">D56*C56</f>
        <v>3816.5</v>
      </c>
      <c r="H56" s="225">
        <f t="shared" ref="H56:H59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7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5">
        <f t="shared" si="50"/>
        <v>0.26167160100204973</v>
      </c>
      <c r="I57" s="39" t="s">
        <v>995</v>
      </c>
      <c r="J57" s="39"/>
      <c r="K57" s="39"/>
      <c r="L57" s="39"/>
      <c r="M57" s="39"/>
    </row>
    <row r="58" spans="1:13" x14ac:dyDescent="0.25">
      <c r="A58" s="4">
        <v>50</v>
      </c>
      <c r="B58" s="187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5">
        <f t="shared" si="50"/>
        <v>0.27489177489177485</v>
      </c>
      <c r="I58" s="39">
        <v>87.5</v>
      </c>
      <c r="J58" s="39"/>
      <c r="K58" s="39"/>
      <c r="L58" s="39">
        <v>16.72</v>
      </c>
      <c r="M58" s="39" t="s">
        <v>185</v>
      </c>
    </row>
    <row r="59" spans="1:13" x14ac:dyDescent="0.25">
      <c r="A59" s="4"/>
      <c r="B59" s="187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5">
        <f t="shared" si="50"/>
        <v>0.23262702210070632</v>
      </c>
      <c r="I59" s="39"/>
      <c r="J59" s="39"/>
      <c r="K59" s="39"/>
      <c r="L59" s="39">
        <v>16.170000000000002</v>
      </c>
      <c r="M59" s="39"/>
    </row>
    <row r="60" spans="1:13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  <c r="M60" s="39"/>
    </row>
    <row r="61" spans="1:13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  <c r="M61" s="39"/>
    </row>
    <row r="62" spans="1:13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  <c r="M62" s="39"/>
    </row>
    <row r="63" spans="1:13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  <c r="M63" s="39"/>
    </row>
    <row r="64" spans="1:13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49" priority="23">
      <formula>Q7&gt;0</formula>
    </cfRule>
    <cfRule type="expression" dxfId="1648" priority="24">
      <formula>Q7&lt;0</formula>
    </cfRule>
  </conditionalFormatting>
  <conditionalFormatting sqref="Q8">
    <cfRule type="expression" dxfId="1647" priority="21">
      <formula>Q8&gt;0</formula>
    </cfRule>
    <cfRule type="expression" dxfId="1646" priority="22">
      <formula>Q8&lt;0</formula>
    </cfRule>
  </conditionalFormatting>
  <conditionalFormatting sqref="F25:F64">
    <cfRule type="expression" dxfId="1645" priority="19">
      <formula>F25&gt;0</formula>
    </cfRule>
    <cfRule type="expression" dxfId="1644" priority="20">
      <formula>F25&lt;0</formula>
    </cfRule>
  </conditionalFormatting>
  <conditionalFormatting sqref="H25:H64">
    <cfRule type="expression" dxfId="1643" priority="17">
      <formula>H25&gt;0</formula>
    </cfRule>
    <cfRule type="expression" dxfId="1642" priority="18">
      <formula>H25&lt;0</formula>
    </cfRule>
  </conditionalFormatting>
  <conditionalFormatting sqref="F89:F110">
    <cfRule type="expression" dxfId="1641" priority="15">
      <formula>F89&gt;0</formula>
    </cfRule>
    <cfRule type="expression" dxfId="1640" priority="16">
      <formula>F89&lt;0</formula>
    </cfRule>
  </conditionalFormatting>
  <conditionalFormatting sqref="H89:H110">
    <cfRule type="expression" dxfId="1639" priority="13">
      <formula>H89&gt;0</formula>
    </cfRule>
    <cfRule type="expression" dxfId="1638" priority="14">
      <formula>H89&lt;0</formula>
    </cfRule>
  </conditionalFormatting>
  <conditionalFormatting sqref="Q10">
    <cfRule type="expression" dxfId="1637" priority="11">
      <formula>Q10&gt;0</formula>
    </cfRule>
    <cfRule type="expression" dxfId="1636" priority="12">
      <formula>Q10&lt;0</formula>
    </cfRule>
  </conditionalFormatting>
  <conditionalFormatting sqref="J25:J38">
    <cfRule type="expression" dxfId="1635" priority="9">
      <formula>J25&gt;0</formula>
    </cfRule>
    <cfRule type="expression" dxfId="1634" priority="10">
      <formula>J25&lt;0</formula>
    </cfRule>
  </conditionalFormatting>
  <conditionalFormatting sqref="K25:K38">
    <cfRule type="expression" dxfId="1633" priority="7">
      <formula>K25&gt;0</formula>
    </cfRule>
    <cfRule type="expression" dxfId="1632" priority="8">
      <formula>K25&lt;0</formula>
    </cfRule>
  </conditionalFormatting>
  <conditionalFormatting sqref="L25:L34">
    <cfRule type="expression" dxfId="1631" priority="5">
      <formula>L25&gt;0</formula>
    </cfRule>
    <cfRule type="expression" dxfId="1630" priority="6">
      <formula>L25&lt;0</formula>
    </cfRule>
  </conditionalFormatting>
  <conditionalFormatting sqref="J43">
    <cfRule type="expression" dxfId="1629" priority="3">
      <formula>J43&gt;0</formula>
    </cfRule>
    <cfRule type="expression" dxfId="1628" priority="4">
      <formula>J43&lt;0</formula>
    </cfRule>
  </conditionalFormatting>
  <conditionalFormatting sqref="M25:M34">
    <cfRule type="expression" dxfId="1627" priority="1">
      <formula>M25&gt;0</formula>
    </cfRule>
    <cfRule type="expression" dxfId="1626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981</v>
      </c>
      <c r="B2" s="477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33.2699</v>
      </c>
      <c r="R4" s="498">
        <v>0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4990.4849999999997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-316.51500000000033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-316.51500000000033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-5.9641040135669933E-2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1021</v>
      </c>
      <c r="Q12" s="1" t="s">
        <v>1022</v>
      </c>
    </row>
    <row r="13" spans="1:21" x14ac:dyDescent="0.25">
      <c r="H13" s="70"/>
      <c r="O13" s="11" t="s">
        <v>997</v>
      </c>
      <c r="Q13">
        <f>Q4/2.5</f>
        <v>13.30796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36.596890000000002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36.264191000000004</v>
      </c>
      <c r="Q24" s="2"/>
    </row>
    <row r="25" spans="1:17" x14ac:dyDescent="0.25">
      <c r="B25" s="187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5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35.931491999999999</v>
      </c>
      <c r="Q25" s="2"/>
    </row>
    <row r="26" spans="1:17" x14ac:dyDescent="0.25">
      <c r="B26" s="187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5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35.598793000000001</v>
      </c>
      <c r="Q26" s="2"/>
    </row>
    <row r="27" spans="1:17" x14ac:dyDescent="0.25">
      <c r="B27" s="187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5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35.266094000000002</v>
      </c>
      <c r="Q27" s="2"/>
    </row>
    <row r="28" spans="1:17" x14ac:dyDescent="0.25">
      <c r="B28" s="187">
        <v>43200</v>
      </c>
      <c r="C28" s="10">
        <v>150</v>
      </c>
      <c r="D28" s="39">
        <v>35.380000000000003</v>
      </c>
      <c r="E28" s="39">
        <v>33.86</v>
      </c>
      <c r="F28" s="39">
        <f t="shared" ref="F28" si="11">C28*(E28-D28)</f>
        <v>-228.00000000000045</v>
      </c>
      <c r="G28" s="39">
        <f t="shared" ref="G28" si="12">D28*C28</f>
        <v>5307</v>
      </c>
      <c r="H28" s="225">
        <f t="shared" ref="H28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34.933395000000004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34.600695999999999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34.267997000000001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33.935298000000003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33.602598999999998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33.2699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32.937201000000002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32.604501999999997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32.271802999999998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31.939104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31.606404999999999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31.273705999999997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30.941007000000003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30.608308000000001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30.275608999999999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29.942910000000001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5" priority="33">
      <formula>F47&gt;0</formula>
    </cfRule>
    <cfRule type="expression" dxfId="1624" priority="34">
      <formula>F47&lt;0</formula>
    </cfRule>
  </conditionalFormatting>
  <conditionalFormatting sqref="Q7">
    <cfRule type="expression" dxfId="1623" priority="31">
      <formula>Q7&gt;0</formula>
    </cfRule>
    <cfRule type="expression" dxfId="1622" priority="32">
      <formula>Q7&lt;0</formula>
    </cfRule>
  </conditionalFormatting>
  <conditionalFormatting sqref="Q8">
    <cfRule type="expression" dxfId="1621" priority="29">
      <formula>Q8&gt;0</formula>
    </cfRule>
    <cfRule type="expression" dxfId="1620" priority="30">
      <formula>Q8&lt;0</formula>
    </cfRule>
  </conditionalFormatting>
  <conditionalFormatting sqref="F30:F46">
    <cfRule type="expression" dxfId="1619" priority="27">
      <formula>F30&gt;0</formula>
    </cfRule>
    <cfRule type="expression" dxfId="1618" priority="28">
      <formula>F30&lt;0</formula>
    </cfRule>
  </conditionalFormatting>
  <conditionalFormatting sqref="H30:H46">
    <cfRule type="expression" dxfId="1617" priority="25">
      <formula>H30&gt;0</formula>
    </cfRule>
    <cfRule type="expression" dxfId="1616" priority="26">
      <formula>H30&lt;0</formula>
    </cfRule>
  </conditionalFormatting>
  <conditionalFormatting sqref="Q10">
    <cfRule type="expression" dxfId="1615" priority="23">
      <formula>Q10&gt;0</formula>
    </cfRule>
    <cfRule type="expression" dxfId="1614" priority="24">
      <formula>Q10&lt;0</formula>
    </cfRule>
  </conditionalFormatting>
  <conditionalFormatting sqref="J25:J38">
    <cfRule type="expression" dxfId="1613" priority="21">
      <formula>J25&gt;0</formula>
    </cfRule>
    <cfRule type="expression" dxfId="1612" priority="22">
      <formula>J25&lt;0</formula>
    </cfRule>
  </conditionalFormatting>
  <conditionalFormatting sqref="K25:K38">
    <cfRule type="expression" dxfId="1611" priority="19">
      <formula>K25&gt;0</formula>
    </cfRule>
    <cfRule type="expression" dxfId="1610" priority="20">
      <formula>K25&lt;0</formula>
    </cfRule>
  </conditionalFormatting>
  <conditionalFormatting sqref="L25:L38">
    <cfRule type="expression" dxfId="1609" priority="17">
      <formula>L25&gt;0</formula>
    </cfRule>
    <cfRule type="expression" dxfId="1608" priority="18">
      <formula>L25&lt;0</formula>
    </cfRule>
  </conditionalFormatting>
  <conditionalFormatting sqref="F89:F110">
    <cfRule type="expression" dxfId="1607" priority="15">
      <formula>F89&gt;0</formula>
    </cfRule>
    <cfRule type="expression" dxfId="1606" priority="16">
      <formula>F89&lt;0</formula>
    </cfRule>
  </conditionalFormatting>
  <conditionalFormatting sqref="H89:H110">
    <cfRule type="expression" dxfId="1605" priority="13">
      <formula>H89&gt;0</formula>
    </cfRule>
    <cfRule type="expression" dxfId="1604" priority="14">
      <formula>H89&lt;0</formula>
    </cfRule>
  </conditionalFormatting>
  <conditionalFormatting sqref="J89:J102">
    <cfRule type="expression" dxfId="1603" priority="11">
      <formula>J89&gt;0</formula>
    </cfRule>
    <cfRule type="expression" dxfId="1602" priority="12">
      <formula>J89&lt;0</formula>
    </cfRule>
  </conditionalFormatting>
  <conditionalFormatting sqref="K89:K102">
    <cfRule type="expression" dxfId="1601" priority="9">
      <formula>K89&gt;0</formula>
    </cfRule>
    <cfRule type="expression" dxfId="1600" priority="10">
      <formula>K89&lt;0</formula>
    </cfRule>
  </conditionalFormatting>
  <conditionalFormatting sqref="L89:L102">
    <cfRule type="expression" dxfId="1599" priority="7">
      <formula>L89&gt;0</formula>
    </cfRule>
    <cfRule type="expression" dxfId="1598" priority="8">
      <formula>L89&lt;0</formula>
    </cfRule>
  </conditionalFormatting>
  <conditionalFormatting sqref="F25:F29">
    <cfRule type="expression" dxfId="1597" priority="5">
      <formula>F25&gt;0</formula>
    </cfRule>
    <cfRule type="expression" dxfId="1596" priority="6">
      <formula>F25&lt;0</formula>
    </cfRule>
  </conditionalFormatting>
  <conditionalFormatting sqref="H25:H29">
    <cfRule type="expression" dxfId="1595" priority="3">
      <formula>H25&gt;0</formula>
    </cfRule>
    <cfRule type="expression" dxfId="1594" priority="4">
      <formula>H25&lt;0</formula>
    </cfRule>
  </conditionalFormatting>
  <conditionalFormatting sqref="F29">
    <cfRule type="expression" dxfId="1593" priority="1">
      <formula>F29&gt;0</formula>
    </cfRule>
    <cfRule type="expression" dxfId="1592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982</v>
      </c>
      <c r="B2" s="477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100.97</v>
      </c>
      <c r="R4" s="498">
        <v>4.8300000000000003E-2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5048.5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519.5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519.5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0.11470523294325458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6.3385163910072298E-3</v>
      </c>
      <c r="R11">
        <v>0.16</v>
      </c>
    </row>
    <row r="12" spans="1:21" x14ac:dyDescent="0.25">
      <c r="H12" s="70"/>
      <c r="O12" s="11" t="s">
        <v>1021</v>
      </c>
      <c r="Q12" s="1" t="s">
        <v>1023</v>
      </c>
    </row>
    <row r="13" spans="1:21" x14ac:dyDescent="0.25">
      <c r="H13" s="70"/>
      <c r="O13" s="11" t="s">
        <v>997</v>
      </c>
      <c r="Q13" s="2">
        <f>Q4/7.38</f>
        <v>13.681571815718158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111.06700000000001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110.05730000000001</v>
      </c>
      <c r="Q24" s="2"/>
    </row>
    <row r="25" spans="1:17" x14ac:dyDescent="0.25">
      <c r="B25" s="187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5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109.0476</v>
      </c>
      <c r="Q25" s="2"/>
    </row>
    <row r="26" spans="1:17" x14ac:dyDescent="0.25">
      <c r="B26" s="187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5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108.03790000000001</v>
      </c>
      <c r="Q26" s="2"/>
    </row>
    <row r="27" spans="1:17" x14ac:dyDescent="0.25">
      <c r="B27" s="187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5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107.0282</v>
      </c>
      <c r="Q27" s="2"/>
    </row>
    <row r="28" spans="1:17" x14ac:dyDescent="0.25">
      <c r="B28" s="187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5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106.0185</v>
      </c>
      <c r="Q28" s="2"/>
    </row>
    <row r="29" spans="1:17" x14ac:dyDescent="0.25">
      <c r="B29" s="187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5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105.00880000000001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103.9991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102.9894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101.97969999999999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100.97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99.960300000000004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98.950599999999994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97.940899999999999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96.93119999999999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95.921499999999995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94.911799999999999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93.902100000000004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92.892400000000009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91.8827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90.873000000000005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1" priority="31">
      <formula>F47&gt;0</formula>
    </cfRule>
    <cfRule type="expression" dxfId="1590" priority="32">
      <formula>F47&lt;0</formula>
    </cfRule>
  </conditionalFormatting>
  <conditionalFormatting sqref="Q7">
    <cfRule type="expression" dxfId="1589" priority="29">
      <formula>Q7&gt;0</formula>
    </cfRule>
    <cfRule type="expression" dxfId="1588" priority="30">
      <formula>Q7&lt;0</formula>
    </cfRule>
  </conditionalFormatting>
  <conditionalFormatting sqref="Q8">
    <cfRule type="expression" dxfId="1587" priority="27">
      <formula>Q8&gt;0</formula>
    </cfRule>
    <cfRule type="expression" dxfId="1586" priority="28">
      <formula>Q8&lt;0</formula>
    </cfRule>
  </conditionalFormatting>
  <conditionalFormatting sqref="F30:F46">
    <cfRule type="expression" dxfId="1585" priority="25">
      <formula>F30&gt;0</formula>
    </cfRule>
    <cfRule type="expression" dxfId="1584" priority="26">
      <formula>F30&lt;0</formula>
    </cfRule>
  </conditionalFormatting>
  <conditionalFormatting sqref="H30:H46">
    <cfRule type="expression" dxfId="1583" priority="23">
      <formula>H30&gt;0</formula>
    </cfRule>
    <cfRule type="expression" dxfId="1582" priority="24">
      <formula>H30&lt;0</formula>
    </cfRule>
  </conditionalFormatting>
  <conditionalFormatting sqref="Q10">
    <cfRule type="expression" dxfId="1581" priority="21">
      <formula>Q10&gt;0</formula>
    </cfRule>
    <cfRule type="expression" dxfId="1580" priority="22">
      <formula>Q10&lt;0</formula>
    </cfRule>
  </conditionalFormatting>
  <conditionalFormatting sqref="J25:J38">
    <cfRule type="expression" dxfId="1579" priority="19">
      <formula>J25&gt;0</formula>
    </cfRule>
    <cfRule type="expression" dxfId="1578" priority="20">
      <formula>J25&lt;0</formula>
    </cfRule>
  </conditionalFormatting>
  <conditionalFormatting sqref="K25:K38">
    <cfRule type="expression" dxfId="1577" priority="17">
      <formula>K25&gt;0</formula>
    </cfRule>
    <cfRule type="expression" dxfId="1576" priority="18">
      <formula>K25&lt;0</formula>
    </cfRule>
  </conditionalFormatting>
  <conditionalFormatting sqref="L25:L38">
    <cfRule type="expression" dxfId="1575" priority="15">
      <formula>L25&gt;0</formula>
    </cfRule>
    <cfRule type="expression" dxfId="1574" priority="16">
      <formula>L25&lt;0</formula>
    </cfRule>
  </conditionalFormatting>
  <conditionalFormatting sqref="F89:F110">
    <cfRule type="expression" dxfId="1573" priority="13">
      <formula>F89&gt;0</formula>
    </cfRule>
    <cfRule type="expression" dxfId="1572" priority="14">
      <formula>F89&lt;0</formula>
    </cfRule>
  </conditionalFormatting>
  <conditionalFormatting sqref="H89:H110">
    <cfRule type="expression" dxfId="1571" priority="11">
      <formula>H89&gt;0</formula>
    </cfRule>
    <cfRule type="expression" dxfId="1570" priority="12">
      <formula>H89&lt;0</formula>
    </cfRule>
  </conditionalFormatting>
  <conditionalFormatting sqref="J89:J102">
    <cfRule type="expression" dxfId="1569" priority="9">
      <formula>J89&gt;0</formula>
    </cfRule>
    <cfRule type="expression" dxfId="1568" priority="10">
      <formula>J89&lt;0</formula>
    </cfRule>
  </conditionalFormatting>
  <conditionalFormatting sqref="K89:K102">
    <cfRule type="expression" dxfId="1567" priority="7">
      <formula>K89&gt;0</formula>
    </cfRule>
    <cfRule type="expression" dxfId="1566" priority="8">
      <formula>K89&lt;0</formula>
    </cfRule>
  </conditionalFormatting>
  <conditionalFormatting sqref="L89:L102">
    <cfRule type="expression" dxfId="1565" priority="5">
      <formula>L89&gt;0</formula>
    </cfRule>
    <cfRule type="expression" dxfId="1564" priority="6">
      <formula>L89&lt;0</formula>
    </cfRule>
  </conditionalFormatting>
  <conditionalFormatting sqref="F25:F29">
    <cfRule type="expression" dxfId="1563" priority="3">
      <formula>F25&gt;0</formula>
    </cfRule>
    <cfRule type="expression" dxfId="1562" priority="4">
      <formula>F25&lt;0</formula>
    </cfRule>
  </conditionalFormatting>
  <conditionalFormatting sqref="H25:H29">
    <cfRule type="expression" dxfId="1561" priority="1">
      <formula>H25&gt;0</formula>
    </cfRule>
    <cfRule type="expression" dxfId="15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77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948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61.5</v>
      </c>
      <c r="R4" s="498">
        <v>-3.8800000000000001E-2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6150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93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93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1.5354135710747894E-2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4.2926829268292686E-2</v>
      </c>
      <c r="R11">
        <f>0.22</f>
        <v>0.22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f>Q4/4</f>
        <v>15.375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67.650000000000006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67.035000000000011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66.42</v>
      </c>
    </row>
    <row r="20" spans="1:16" x14ac:dyDescent="0.25">
      <c r="O20" s="81">
        <v>1.07</v>
      </c>
      <c r="P20" s="81">
        <f t="shared" si="1"/>
        <v>65.805000000000007</v>
      </c>
    </row>
    <row r="21" spans="1:16" x14ac:dyDescent="0.25">
      <c r="O21" s="81">
        <v>1.06</v>
      </c>
      <c r="P21" s="81">
        <f t="shared" si="1"/>
        <v>65.19</v>
      </c>
    </row>
    <row r="22" spans="1:16" x14ac:dyDescent="0.25">
      <c r="O22" s="81">
        <v>1.05</v>
      </c>
      <c r="P22" s="81">
        <f t="shared" si="1"/>
        <v>64.575000000000003</v>
      </c>
    </row>
    <row r="23" spans="1:16" x14ac:dyDescent="0.25">
      <c r="O23" s="81">
        <v>1.04</v>
      </c>
      <c r="P23" s="81">
        <f t="shared" si="1"/>
        <v>63.96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63.344999999999999</v>
      </c>
    </row>
    <row r="25" spans="1:16" x14ac:dyDescent="0.25">
      <c r="B25" s="187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5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62.730000000000004</v>
      </c>
    </row>
    <row r="26" spans="1:16" x14ac:dyDescent="0.25">
      <c r="B26" s="187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5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62.115000000000002</v>
      </c>
    </row>
    <row r="27" spans="1:16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O27" s="81">
        <v>1</v>
      </c>
      <c r="P27" s="81">
        <f t="shared" si="1"/>
        <v>61.5</v>
      </c>
    </row>
    <row r="28" spans="1:16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0.99</v>
      </c>
      <c r="P28" s="81">
        <f t="shared" si="1"/>
        <v>60.884999999999998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0.98</v>
      </c>
      <c r="P29" s="81">
        <f t="shared" si="1"/>
        <v>60.269999999999996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0.97</v>
      </c>
      <c r="P30" s="81">
        <f t="shared" si="1"/>
        <v>59.655000000000001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0.96</v>
      </c>
      <c r="P31" s="81">
        <f t="shared" si="1"/>
        <v>59.04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0.95</v>
      </c>
      <c r="P32" s="81">
        <f t="shared" si="1"/>
        <v>58.424999999999997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57.809999999999995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57.195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56.580000000000005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55.965000000000003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55.35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9" priority="35">
      <formula>F47&gt;0</formula>
    </cfRule>
    <cfRule type="expression" dxfId="1558" priority="36">
      <formula>F47&lt;0</formula>
    </cfRule>
  </conditionalFormatting>
  <conditionalFormatting sqref="Q7">
    <cfRule type="expression" dxfId="1557" priority="33">
      <formula>Q7&gt;0</formula>
    </cfRule>
    <cfRule type="expression" dxfId="1556" priority="34">
      <formula>Q7&lt;0</formula>
    </cfRule>
  </conditionalFormatting>
  <conditionalFormatting sqref="Q8">
    <cfRule type="expression" dxfId="1555" priority="31">
      <formula>Q8&gt;0</formula>
    </cfRule>
    <cfRule type="expression" dxfId="1554" priority="32">
      <formula>Q8&lt;0</formula>
    </cfRule>
  </conditionalFormatting>
  <conditionalFormatting sqref="F30:F46">
    <cfRule type="expression" dxfId="1553" priority="29">
      <formula>F30&gt;0</formula>
    </cfRule>
    <cfRule type="expression" dxfId="1552" priority="30">
      <formula>F30&lt;0</formula>
    </cfRule>
  </conditionalFormatting>
  <conditionalFormatting sqref="H30:H46">
    <cfRule type="expression" dxfId="1551" priority="27">
      <formula>H30&gt;0</formula>
    </cfRule>
    <cfRule type="expression" dxfId="1550" priority="28">
      <formula>H30&lt;0</formula>
    </cfRule>
  </conditionalFormatting>
  <conditionalFormatting sqref="Q10">
    <cfRule type="expression" dxfId="1549" priority="25">
      <formula>Q10&gt;0</formula>
    </cfRule>
    <cfRule type="expression" dxfId="1548" priority="26">
      <formula>Q10&lt;0</formula>
    </cfRule>
  </conditionalFormatting>
  <conditionalFormatting sqref="J25:J38">
    <cfRule type="expression" dxfId="1547" priority="23">
      <formula>J25&gt;0</formula>
    </cfRule>
    <cfRule type="expression" dxfId="1546" priority="24">
      <formula>J25&lt;0</formula>
    </cfRule>
  </conditionalFormatting>
  <conditionalFormatting sqref="K25:K38">
    <cfRule type="expression" dxfId="1545" priority="21">
      <formula>K25&gt;0</formula>
    </cfRule>
    <cfRule type="expression" dxfId="1544" priority="22">
      <formula>K25&lt;0</formula>
    </cfRule>
  </conditionalFormatting>
  <conditionalFormatting sqref="L25:L38">
    <cfRule type="expression" dxfId="1543" priority="19">
      <formula>L25&gt;0</formula>
    </cfRule>
    <cfRule type="expression" dxfId="1542" priority="20">
      <formula>L25&lt;0</formula>
    </cfRule>
  </conditionalFormatting>
  <conditionalFormatting sqref="F89:F110">
    <cfRule type="expression" dxfId="1541" priority="17">
      <formula>F89&gt;0</formula>
    </cfRule>
    <cfRule type="expression" dxfId="1540" priority="18">
      <formula>F89&lt;0</formula>
    </cfRule>
  </conditionalFormatting>
  <conditionalFormatting sqref="H89:H110">
    <cfRule type="expression" dxfId="1539" priority="15">
      <formula>H89&gt;0</formula>
    </cfRule>
    <cfRule type="expression" dxfId="1538" priority="16">
      <formula>H89&lt;0</formula>
    </cfRule>
  </conditionalFormatting>
  <conditionalFormatting sqref="J89:J102">
    <cfRule type="expression" dxfId="1537" priority="13">
      <formula>J89&gt;0</formula>
    </cfRule>
    <cfRule type="expression" dxfId="1536" priority="14">
      <formula>J89&lt;0</formula>
    </cfRule>
  </conditionalFormatting>
  <conditionalFormatting sqref="K89:K102">
    <cfRule type="expression" dxfId="1535" priority="11">
      <formula>K89&gt;0</formula>
    </cfRule>
    <cfRule type="expression" dxfId="1534" priority="12">
      <formula>K89&lt;0</formula>
    </cfRule>
  </conditionalFormatting>
  <conditionalFormatting sqref="L89:L102">
    <cfRule type="expression" dxfId="1533" priority="9">
      <formula>L89&gt;0</formula>
    </cfRule>
    <cfRule type="expression" dxfId="1532" priority="10">
      <formula>L89&lt;0</formula>
    </cfRule>
  </conditionalFormatting>
  <conditionalFormatting sqref="F25 F27:F29">
    <cfRule type="expression" dxfId="1531" priority="7">
      <formula>F25&gt;0</formula>
    </cfRule>
    <cfRule type="expression" dxfId="1530" priority="8">
      <formula>F25&lt;0</formula>
    </cfRule>
  </conditionalFormatting>
  <conditionalFormatting sqref="H25 H27:H29">
    <cfRule type="expression" dxfId="1529" priority="5">
      <formula>H25&gt;0</formula>
    </cfRule>
    <cfRule type="expression" dxfId="1528" priority="6">
      <formula>H25&lt;0</formula>
    </cfRule>
  </conditionalFormatting>
  <conditionalFormatting sqref="F26">
    <cfRule type="expression" dxfId="1527" priority="3">
      <formula>F26&gt;0</formula>
    </cfRule>
    <cfRule type="expression" dxfId="1526" priority="4">
      <formula>F26&lt;0</formula>
    </cfRule>
  </conditionalFormatting>
  <conditionalFormatting sqref="H26">
    <cfRule type="expression" dxfId="1525" priority="1">
      <formula>H26&gt;0</formula>
    </cfRule>
    <cfRule type="expression" dxfId="1524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942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835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35.209899999999998</v>
      </c>
      <c r="R4" s="498">
        <v>-4.1999999999999997E-3</v>
      </c>
      <c r="T4" s="779">
        <v>43103</v>
      </c>
      <c r="U4" s="30" t="s">
        <v>859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3520.99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-137.01000000000022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-137.01000000000022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-3.74548933843631E-2</v>
      </c>
      <c r="T9" s="77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R11*2/Q4</f>
        <v>2.840110309884436E-2</v>
      </c>
      <c r="R11">
        <v>0.5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f>Q4/3.47</f>
        <v>10.146945244956772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5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38.730890000000002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4">O42*$Q$4</f>
        <v>38.378791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4"/>
        <v>38.026691999999997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4"/>
        <v>37.674593000000002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4"/>
        <v>37.322493999999999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4"/>
        <v>36.970394999999996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4"/>
        <v>36.618296000000001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4"/>
        <v>36.266196999999998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4"/>
        <v>35.914097999999996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4"/>
        <v>35.561999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4"/>
        <v>35.209899999999998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4"/>
        <v>34.857800999999995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4"/>
        <v>34.505701999999999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4"/>
        <v>34.153602999999997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4"/>
        <v>33.801503999999994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4"/>
        <v>33.449404999999999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33.097305999999996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32.745207000000001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32.393107999999998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32.041008999999995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31.68891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942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3" priority="31">
      <formula>F47&gt;0</formula>
    </cfRule>
    <cfRule type="expression" dxfId="1522" priority="32">
      <formula>F47&lt;0</formula>
    </cfRule>
  </conditionalFormatting>
  <conditionalFormatting sqref="Q7">
    <cfRule type="expression" dxfId="1521" priority="29">
      <formula>Q7&gt;0</formula>
    </cfRule>
    <cfRule type="expression" dxfId="1520" priority="30">
      <formula>Q7&lt;0</formula>
    </cfRule>
  </conditionalFormatting>
  <conditionalFormatting sqref="Q8">
    <cfRule type="expression" dxfId="1519" priority="27">
      <formula>Q8&gt;0</formula>
    </cfRule>
    <cfRule type="expression" dxfId="1518" priority="28">
      <formula>Q8&lt;0</formula>
    </cfRule>
  </conditionalFormatting>
  <conditionalFormatting sqref="F30:F46">
    <cfRule type="expression" dxfId="1517" priority="25">
      <formula>F30&gt;0</formula>
    </cfRule>
    <cfRule type="expression" dxfId="1516" priority="26">
      <formula>F30&lt;0</formula>
    </cfRule>
  </conditionalFormatting>
  <conditionalFormatting sqref="H30:H46">
    <cfRule type="expression" dxfId="1515" priority="23">
      <formula>H30&gt;0</formula>
    </cfRule>
    <cfRule type="expression" dxfId="1514" priority="24">
      <formula>H30&lt;0</formula>
    </cfRule>
  </conditionalFormatting>
  <conditionalFormatting sqref="Q10">
    <cfRule type="expression" dxfId="1513" priority="21">
      <formula>Q10&gt;0</formula>
    </cfRule>
    <cfRule type="expression" dxfId="1512" priority="22">
      <formula>Q10&lt;0</formula>
    </cfRule>
  </conditionalFormatting>
  <conditionalFormatting sqref="J25:J38">
    <cfRule type="expression" dxfId="1511" priority="19">
      <formula>J25&gt;0</formula>
    </cfRule>
    <cfRule type="expression" dxfId="1510" priority="20">
      <formula>J25&lt;0</formula>
    </cfRule>
  </conditionalFormatting>
  <conditionalFormatting sqref="K25:K38">
    <cfRule type="expression" dxfId="1509" priority="17">
      <formula>K25&gt;0</formula>
    </cfRule>
    <cfRule type="expression" dxfId="1508" priority="18">
      <formula>K25&lt;0</formula>
    </cfRule>
  </conditionalFormatting>
  <conditionalFormatting sqref="L25:L38">
    <cfRule type="expression" dxfId="1507" priority="15">
      <formula>L25&gt;0</formula>
    </cfRule>
    <cfRule type="expression" dxfId="1506" priority="16">
      <formula>L25&lt;0</formula>
    </cfRule>
  </conditionalFormatting>
  <conditionalFormatting sqref="F89:F110">
    <cfRule type="expression" dxfId="1505" priority="13">
      <formula>F89&gt;0</formula>
    </cfRule>
    <cfRule type="expression" dxfId="1504" priority="14">
      <formula>F89&lt;0</formula>
    </cfRule>
  </conditionalFormatting>
  <conditionalFormatting sqref="H89:H110">
    <cfRule type="expression" dxfId="1503" priority="11">
      <formula>H89&gt;0</formula>
    </cfRule>
    <cfRule type="expression" dxfId="1502" priority="12">
      <formula>H89&lt;0</formula>
    </cfRule>
  </conditionalFormatting>
  <conditionalFormatting sqref="J89:J102">
    <cfRule type="expression" dxfId="1501" priority="9">
      <formula>J89&gt;0</formula>
    </cfRule>
    <cfRule type="expression" dxfId="1500" priority="10">
      <formula>J89&lt;0</formula>
    </cfRule>
  </conditionalFormatting>
  <conditionalFormatting sqref="K89:K102">
    <cfRule type="expression" dxfId="1499" priority="7">
      <formula>K89&gt;0</formula>
    </cfRule>
    <cfRule type="expression" dxfId="1498" priority="8">
      <formula>K89&lt;0</formula>
    </cfRule>
  </conditionalFormatting>
  <conditionalFormatting sqref="L89:L102">
    <cfRule type="expression" dxfId="1497" priority="5">
      <formula>L89&gt;0</formula>
    </cfRule>
    <cfRule type="expression" dxfId="1496" priority="6">
      <formula>L89&lt;0</formula>
    </cfRule>
  </conditionalFormatting>
  <conditionalFormatting sqref="F25:F29">
    <cfRule type="expression" dxfId="1495" priority="3">
      <formula>F25&gt;0</formula>
    </cfRule>
    <cfRule type="expression" dxfId="1494" priority="4">
      <formula>F25&lt;0</formula>
    </cfRule>
  </conditionalFormatting>
  <conditionalFormatting sqref="H25:H29">
    <cfRule type="expression" dxfId="1493" priority="1">
      <formula>H25&gt;0</formula>
    </cfRule>
    <cfRule type="expression" dxfId="14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691</v>
      </c>
      <c r="B2" s="437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7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7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7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4">
        <f>IF(Q2=0, Q4, (F18-K18-M18)/Q2)</f>
        <v>143.55999999999995</v>
      </c>
      <c r="T3" s="1"/>
      <c r="W3" s="134"/>
    </row>
    <row r="4" spans="1:23" x14ac:dyDescent="0.25">
      <c r="B4" s="477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196.51</v>
      </c>
      <c r="R4" s="498">
        <v>2.5999999999999999E-3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3930.2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1202.0300000000011</v>
      </c>
      <c r="R7" s="29">
        <v>43213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1059.0000000000009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0.36883533017553682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2.5443997760928199E-3</v>
      </c>
      <c r="S11">
        <v>0.5</v>
      </c>
      <c r="W11" s="134"/>
    </row>
    <row r="12" spans="1:23" x14ac:dyDescent="0.25">
      <c r="H12" s="70"/>
      <c r="O12" s="11" t="s">
        <v>968</v>
      </c>
      <c r="W12" s="134"/>
    </row>
    <row r="13" spans="1:23" x14ac:dyDescent="0.25">
      <c r="H13" s="70"/>
      <c r="O13" s="11" t="s">
        <v>997</v>
      </c>
      <c r="Q13">
        <f>Q4/6.86</f>
        <v>28.645772594752184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83" t="s">
        <v>113</v>
      </c>
      <c r="P16" s="683" t="s">
        <v>699</v>
      </c>
      <c r="Q16" s="683" t="s">
        <v>700</v>
      </c>
      <c r="R16" s="681" t="s">
        <v>693</v>
      </c>
      <c r="S16" s="681" t="s">
        <v>694</v>
      </c>
      <c r="T16" s="683" t="s">
        <v>696</v>
      </c>
      <c r="U16" s="683" t="s">
        <v>697</v>
      </c>
      <c r="V16" s="681" t="s">
        <v>695</v>
      </c>
      <c r="W16" s="682" t="s">
        <v>698</v>
      </c>
    </row>
    <row r="17" spans="1:23" x14ac:dyDescent="0.25">
      <c r="O17" s="684">
        <v>43013</v>
      </c>
      <c r="P17" s="680" t="s">
        <v>768</v>
      </c>
      <c r="Q17" s="680" t="s">
        <v>769</v>
      </c>
      <c r="R17" s="679">
        <v>2.02</v>
      </c>
      <c r="S17" s="677">
        <v>2.08</v>
      </c>
      <c r="T17" s="680">
        <v>41.55</v>
      </c>
      <c r="U17" s="680">
        <v>42.3</v>
      </c>
      <c r="V17" s="677"/>
      <c r="W17" s="678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O18" s="684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7805</v>
      </c>
      <c r="G19" s="346"/>
      <c r="H19" s="346">
        <f>SumByColor($A$19,H2:H17)</f>
        <v>50</v>
      </c>
      <c r="I19" s="346"/>
      <c r="J19" s="346"/>
      <c r="K19" s="347">
        <f>SumByColor($A$19,K3:K17)</f>
        <v>3760</v>
      </c>
      <c r="L19" s="346"/>
      <c r="M19" s="347">
        <f>SumByColor($A$19,M2:M17)</f>
        <v>20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997</v>
      </c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87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5">
        <f t="shared" ref="H25" si="2">(E25-D25)/D25</f>
        <v>1.1258278145694536E-3</v>
      </c>
      <c r="I25" s="39"/>
      <c r="J25" s="39"/>
      <c r="K25" s="39"/>
      <c r="L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87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5">
        <f t="shared" ref="H26" si="5">(E26-D26)/D26</f>
        <v>5.0256750041411155E-2</v>
      </c>
      <c r="I26" s="39"/>
      <c r="J26" s="39"/>
      <c r="K26" s="39"/>
      <c r="L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87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5">
        <f t="shared" ref="H27" si="8">(E27-D27)/D27</f>
        <v>5.3747714808043738E-2</v>
      </c>
      <c r="I27" s="39">
        <v>148</v>
      </c>
      <c r="J27" s="39"/>
      <c r="K27" s="39"/>
      <c r="L27" s="157"/>
      <c r="O27" s="685"/>
      <c r="P27" s="680"/>
      <c r="Q27" s="680"/>
      <c r="R27" s="677"/>
      <c r="S27" s="677"/>
      <c r="T27" s="680"/>
      <c r="U27" s="680"/>
      <c r="V27" s="677"/>
      <c r="W27" s="678"/>
    </row>
    <row r="28" spans="1:23" x14ac:dyDescent="0.25">
      <c r="B28" s="187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5">
        <f t="shared" ref="H28:H32" si="11">(E28-D28)/D28</f>
        <v>1.3227340848374283E-2</v>
      </c>
      <c r="I28" s="39"/>
      <c r="J28" s="39"/>
      <c r="K28" s="39"/>
      <c r="L28" s="157"/>
      <c r="W28" s="134"/>
    </row>
    <row r="29" spans="1:23" x14ac:dyDescent="0.25">
      <c r="B29" s="187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5">
        <f t="shared" si="11"/>
        <v>4.1613452603602399E-2</v>
      </c>
      <c r="I29" s="39"/>
      <c r="J29" s="39"/>
      <c r="K29" s="39"/>
      <c r="L29" s="157"/>
      <c r="W29" s="134"/>
    </row>
    <row r="30" spans="1:23" x14ac:dyDescent="0.25">
      <c r="B30" s="187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5">
        <f t="shared" si="11"/>
        <v>2.461770966424234E-2</v>
      </c>
      <c r="I30" s="39"/>
      <c r="J30" s="39"/>
      <c r="K30" s="39"/>
      <c r="L30" s="157"/>
      <c r="W30" s="134"/>
    </row>
    <row r="31" spans="1:23" x14ac:dyDescent="0.25">
      <c r="B31" s="187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5">
        <f t="shared" si="11"/>
        <v>7.3046461012801239E-2</v>
      </c>
      <c r="I31" s="39"/>
      <c r="J31" s="39">
        <v>362</v>
      </c>
      <c r="K31" s="39"/>
      <c r="L31" s="157"/>
      <c r="W31" s="134"/>
    </row>
    <row r="32" spans="1:23" x14ac:dyDescent="0.25">
      <c r="A32">
        <v>20</v>
      </c>
      <c r="B32" s="187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5">
        <f t="shared" si="11"/>
        <v>0.24202058964613854</v>
      </c>
      <c r="I32" s="39"/>
      <c r="J32" s="39">
        <v>865</v>
      </c>
      <c r="K32" s="39"/>
      <c r="L32" s="157"/>
      <c r="W32" s="134"/>
    </row>
    <row r="33" spans="1:23" x14ac:dyDescent="0.25">
      <c r="A33">
        <v>20</v>
      </c>
      <c r="B33" s="187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5">
        <f t="shared" ref="H33:H34" si="14">(E33-D33)/D33</f>
        <v>0.25959793499736677</v>
      </c>
      <c r="I33" s="39"/>
      <c r="J33" s="39">
        <v>866</v>
      </c>
      <c r="K33" s="39"/>
      <c r="L33" s="157"/>
      <c r="W33" s="134"/>
    </row>
    <row r="34" spans="1:23" x14ac:dyDescent="0.25">
      <c r="A34">
        <v>20</v>
      </c>
      <c r="B34" s="187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5">
        <f t="shared" si="14"/>
        <v>0.29001744264054735</v>
      </c>
      <c r="I34" s="39"/>
      <c r="J34" s="39">
        <v>1008</v>
      </c>
      <c r="K34" s="39"/>
      <c r="L34" s="157"/>
      <c r="W34" s="134"/>
    </row>
    <row r="35" spans="1:23" x14ac:dyDescent="0.25">
      <c r="B35" s="187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5">
        <f t="shared" ref="H35:H37" si="17">(E35-D35)/D35</f>
        <v>0.26204213068562998</v>
      </c>
      <c r="I35" s="39"/>
      <c r="J35" s="39">
        <v>924</v>
      </c>
      <c r="K35" s="39"/>
      <c r="L35" s="157"/>
      <c r="W35" s="134"/>
    </row>
    <row r="36" spans="1:23" x14ac:dyDescent="0.25">
      <c r="A36">
        <v>20</v>
      </c>
      <c r="B36" s="187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5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7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5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7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5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7">
        <v>43185</v>
      </c>
      <c r="C39" s="10">
        <v>40</v>
      </c>
      <c r="D39" s="39">
        <v>165.78</v>
      </c>
      <c r="E39" s="39">
        <v>187.22</v>
      </c>
      <c r="F39" s="39">
        <f t="shared" ref="F39:F40" si="21">C39*(E39-D39)</f>
        <v>857.59999999999991</v>
      </c>
      <c r="G39" s="39">
        <f t="shared" ref="G39:G40" si="22">D39*C39</f>
        <v>6631.2</v>
      </c>
      <c r="H39" s="225">
        <f t="shared" ref="H39:H40" si="23">(E39-D39)/D39</f>
        <v>0.12932802509349739</v>
      </c>
      <c r="I39" s="39"/>
      <c r="J39" s="39">
        <v>1001</v>
      </c>
      <c r="K39" s="39">
        <v>47</v>
      </c>
      <c r="L39" s="39">
        <v>26.82</v>
      </c>
      <c r="W39" s="134"/>
    </row>
    <row r="40" spans="1:23" ht="20.25" thickBot="1" x14ac:dyDescent="0.35">
      <c r="A40">
        <v>0</v>
      </c>
      <c r="B40" s="187">
        <v>43202</v>
      </c>
      <c r="C40" s="10">
        <v>20</v>
      </c>
      <c r="D40" s="39">
        <v>143.56</v>
      </c>
      <c r="E40" s="39">
        <v>188.82</v>
      </c>
      <c r="F40" s="39">
        <f t="shared" si="21"/>
        <v>905.19999999999982</v>
      </c>
      <c r="G40" s="39">
        <f t="shared" si="22"/>
        <v>2871.2</v>
      </c>
      <c r="H40" s="225">
        <f t="shared" si="23"/>
        <v>0.31526887712454715</v>
      </c>
      <c r="I40" s="232" t="s">
        <v>1027</v>
      </c>
      <c r="J40" s="39">
        <v>1048</v>
      </c>
      <c r="K40" s="39"/>
      <c r="L40" s="39">
        <v>27.52</v>
      </c>
      <c r="O40" s="847" t="s">
        <v>78</v>
      </c>
      <c r="P40" s="847"/>
      <c r="W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216.161</v>
      </c>
      <c r="Q41" s="2"/>
      <c r="W41" s="134"/>
    </row>
    <row r="42" spans="1:23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24">O42*$Q$4</f>
        <v>214.19589999999999</v>
      </c>
      <c r="Q42" s="2"/>
      <c r="T42" s="89"/>
      <c r="W42" s="134"/>
    </row>
    <row r="43" spans="1:23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24"/>
        <v>212.23080000000002</v>
      </c>
      <c r="Q43" s="2"/>
      <c r="T43" s="125"/>
      <c r="U43" s="126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24"/>
        <v>210.26570000000001</v>
      </c>
      <c r="Q44" s="2"/>
      <c r="T44" s="91"/>
      <c r="U44" s="127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24"/>
        <v>208.3006</v>
      </c>
      <c r="Q45" s="2"/>
      <c r="T45" s="91"/>
      <c r="U45" s="127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24"/>
        <v>206.3355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24"/>
        <v>204.37039999999999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24"/>
        <v>202.40529999999998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24"/>
        <v>200.4402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24"/>
        <v>198.4751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24"/>
        <v>196.51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24"/>
        <v>194.54489999999998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24"/>
        <v>192.57979999999998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24"/>
        <v>190.6147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24"/>
        <v>188.64959999999999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24"/>
        <v>186.68449999999999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24"/>
        <v>184.71939999999998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24"/>
        <v>182.7543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24"/>
        <v>180.78919999999999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24"/>
        <v>178.82409999999999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24"/>
        <v>176.85900000000001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31" x14ac:dyDescent="0.25">
      <c r="A68" s="516"/>
      <c r="B68" s="437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7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18"/>
      <c r="B69" s="477"/>
      <c r="C69" s="4"/>
      <c r="D69" s="3"/>
      <c r="E69" s="3"/>
      <c r="F69" s="3"/>
      <c r="G69" s="72"/>
      <c r="H69" s="179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3020</v>
      </c>
      <c r="G84" s="520"/>
      <c r="H84" s="542">
        <f>SUM(H68:H71)</f>
        <v>20</v>
      </c>
      <c r="I84" s="521"/>
      <c r="J84" s="521"/>
      <c r="K84" s="521">
        <f>SUM(K68:K71)</f>
        <v>3151.53</v>
      </c>
      <c r="L84" s="520"/>
      <c r="M84" s="521">
        <f>SUM(M68:M76)</f>
        <v>11.5</v>
      </c>
    </row>
    <row r="85" spans="1:13" ht="15.75" thickBot="1" x14ac:dyDescent="0.3">
      <c r="A85" s="522" t="s">
        <v>194</v>
      </c>
      <c r="B85" s="523"/>
      <c r="C85" s="524">
        <f>SumByColor($A$19,C68:C83)</f>
        <v>20</v>
      </c>
      <c r="D85" s="524"/>
      <c r="E85" s="524"/>
      <c r="F85" s="525">
        <f>SumByColor($A$19,F68:F83)</f>
        <v>3020</v>
      </c>
      <c r="G85" s="524"/>
      <c r="H85" s="524">
        <f>SumByColor($A$19,H68:H83)</f>
        <v>20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6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91" priority="24">
      <formula>F47&gt;0</formula>
    </cfRule>
    <cfRule type="expression" dxfId="1490" priority="25">
      <formula>F47&lt;0</formula>
    </cfRule>
  </conditionalFormatting>
  <conditionalFormatting sqref="Q7">
    <cfRule type="expression" dxfId="1489" priority="22">
      <formula>Q7&gt;0</formula>
    </cfRule>
    <cfRule type="expression" dxfId="1488" priority="23">
      <formula>Q7&lt;0</formula>
    </cfRule>
  </conditionalFormatting>
  <conditionalFormatting sqref="Q8">
    <cfRule type="expression" dxfId="1487" priority="20">
      <formula>Q8&gt;0</formula>
    </cfRule>
    <cfRule type="expression" dxfId="1486" priority="21">
      <formula>Q8&lt;0</formula>
    </cfRule>
  </conditionalFormatting>
  <conditionalFormatting sqref="F25:F46">
    <cfRule type="expression" dxfId="1485" priority="18">
      <formula>F25&gt;0</formula>
    </cfRule>
    <cfRule type="expression" dxfId="1484" priority="19">
      <formula>F25&lt;0</formula>
    </cfRule>
  </conditionalFormatting>
  <conditionalFormatting sqref="H25:H46">
    <cfRule type="expression" dxfId="1483" priority="16">
      <formula>H25&gt;0</formula>
    </cfRule>
    <cfRule type="expression" dxfId="1482" priority="17">
      <formula>H25&lt;0</formula>
    </cfRule>
  </conditionalFormatting>
  <conditionalFormatting sqref="F89:F110">
    <cfRule type="expression" dxfId="1481" priority="14">
      <formula>F89&gt;0</formula>
    </cfRule>
    <cfRule type="expression" dxfId="1480" priority="15">
      <formula>F89&lt;0</formula>
    </cfRule>
  </conditionalFormatting>
  <conditionalFormatting sqref="H89:H110">
    <cfRule type="expression" dxfId="1479" priority="12">
      <formula>H89&gt;0</formula>
    </cfRule>
    <cfRule type="expression" dxfId="1478" priority="13">
      <formula>H89&lt;0</formula>
    </cfRule>
  </conditionalFormatting>
  <conditionalFormatting sqref="Q10">
    <cfRule type="expression" dxfId="1477" priority="10">
      <formula>Q10&gt;0</formula>
    </cfRule>
    <cfRule type="expression" dxfId="1476" priority="11">
      <formula>Q10&lt;0</formula>
    </cfRule>
  </conditionalFormatting>
  <conditionalFormatting sqref="J25:J39">
    <cfRule type="expression" dxfId="1475" priority="8">
      <formula>J25&gt;0</formula>
    </cfRule>
    <cfRule type="expression" dxfId="1474" priority="9">
      <formula>J25&lt;0</formula>
    </cfRule>
  </conditionalFormatting>
  <conditionalFormatting sqref="K25:K38">
    <cfRule type="expression" dxfId="1473" priority="6">
      <formula>K25&gt;0</formula>
    </cfRule>
    <cfRule type="expression" dxfId="1472" priority="7">
      <formula>K25&lt;0</formula>
    </cfRule>
  </conditionalFormatting>
  <conditionalFormatting sqref="L25:L38">
    <cfRule type="expression" dxfId="1471" priority="4">
      <formula>L25&gt;0</formula>
    </cfRule>
    <cfRule type="expression" dxfId="1470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20">
      <iconSet iconSet="3Arrows">
        <cfvo type="percent" val="0"/>
        <cfvo type="num" val="0"/>
        <cfvo type="num" val="0"/>
      </iconSet>
    </cfRule>
  </conditionalFormatting>
  <conditionalFormatting sqref="J40:J45">
    <cfRule type="expression" dxfId="1469" priority="1">
      <formula>J40&gt;0</formula>
    </cfRule>
    <cfRule type="expression" dxfId="1468" priority="2">
      <formula>J40&lt;0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7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7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7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7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9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9"/>
      <c r="AL3" s="228"/>
      <c r="AO3" s="228"/>
    </row>
    <row r="4" spans="1:42" x14ac:dyDescent="0.25">
      <c r="B4" s="437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7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8">
        <v>0</v>
      </c>
      <c r="T4" s="1" t="s">
        <v>462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8"/>
      <c r="AO4" s="228"/>
    </row>
    <row r="5" spans="1:42" x14ac:dyDescent="0.25">
      <c r="B5" s="437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7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8"/>
      <c r="AO5" s="228"/>
    </row>
    <row r="6" spans="1:42" x14ac:dyDescent="0.25">
      <c r="B6" s="437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7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8"/>
      <c r="AO6" s="228"/>
    </row>
    <row r="7" spans="1:42" x14ac:dyDescent="0.25">
      <c r="B7" s="437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7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8"/>
      <c r="AO7" s="228"/>
    </row>
    <row r="8" spans="1:42" x14ac:dyDescent="0.25">
      <c r="B8" s="437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7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8"/>
      <c r="AO8" s="228"/>
    </row>
    <row r="9" spans="1:42" x14ac:dyDescent="0.25">
      <c r="B9" s="437">
        <v>42187</v>
      </c>
      <c r="C9" s="4">
        <v>1000</v>
      </c>
      <c r="D9" s="234">
        <v>18.45</v>
      </c>
      <c r="E9" s="3">
        <v>0</v>
      </c>
      <c r="F9" s="3">
        <f t="shared" si="0"/>
        <v>18450</v>
      </c>
      <c r="G9" s="437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8"/>
      <c r="AO9" s="228"/>
    </row>
    <row r="10" spans="1:42" x14ac:dyDescent="0.25">
      <c r="B10" s="437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7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8"/>
      <c r="AO10" s="228"/>
    </row>
    <row r="11" spans="1:42" x14ac:dyDescent="0.25">
      <c r="B11" s="437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7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8"/>
      <c r="AO11" s="228"/>
    </row>
    <row r="12" spans="1:42" x14ac:dyDescent="0.25">
      <c r="B12" s="437">
        <v>42207</v>
      </c>
      <c r="C12" s="4">
        <v>30</v>
      </c>
      <c r="D12" s="234">
        <v>17.3</v>
      </c>
      <c r="E12" s="3">
        <v>0</v>
      </c>
      <c r="F12" s="3">
        <f t="shared" si="0"/>
        <v>519</v>
      </c>
      <c r="G12" s="437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8"/>
      <c r="AO12" s="228"/>
    </row>
    <row r="13" spans="1:42" x14ac:dyDescent="0.25">
      <c r="B13" s="437">
        <v>42207</v>
      </c>
      <c r="C13" s="4">
        <v>20</v>
      </c>
      <c r="D13" s="234">
        <v>17.399999999999999</v>
      </c>
      <c r="E13" s="3">
        <v>0</v>
      </c>
      <c r="F13" s="3">
        <f t="shared" si="0"/>
        <v>348</v>
      </c>
      <c r="G13" s="436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7">
        <v>42208</v>
      </c>
      <c r="C14" s="4">
        <v>100</v>
      </c>
      <c r="D14" s="234">
        <v>17.100000000000001</v>
      </c>
      <c r="E14" s="3">
        <v>0</v>
      </c>
      <c r="F14" s="3">
        <f t="shared" si="0"/>
        <v>1710.0000000000002</v>
      </c>
      <c r="G14" s="47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7">
        <v>42208</v>
      </c>
      <c r="C15" s="4">
        <v>50</v>
      </c>
      <c r="D15" s="234">
        <v>16.96</v>
      </c>
      <c r="E15" s="3">
        <v>0</v>
      </c>
      <c r="F15" s="3">
        <f t="shared" si="0"/>
        <v>848</v>
      </c>
      <c r="G15" s="47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8"/>
      <c r="AO15" s="228"/>
      <c r="AP15" s="228"/>
    </row>
    <row r="16" spans="1:42" x14ac:dyDescent="0.25">
      <c r="B16" s="437">
        <v>42222</v>
      </c>
      <c r="C16" s="4">
        <v>200</v>
      </c>
      <c r="D16" s="234">
        <v>17.739999999999998</v>
      </c>
      <c r="E16" s="3">
        <v>0</v>
      </c>
      <c r="F16" s="3">
        <f t="shared" si="0"/>
        <v>3547.9999999999995</v>
      </c>
      <c r="G16" s="47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7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8"/>
      <c r="AO17" s="228"/>
      <c r="AP17" s="228"/>
    </row>
    <row r="18" spans="2:42" x14ac:dyDescent="0.25">
      <c r="B18" s="437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7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8"/>
      <c r="AO19" s="228"/>
    </row>
    <row r="20" spans="2:42" x14ac:dyDescent="0.25">
      <c r="B20" s="437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6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7">
        <v>42227</v>
      </c>
      <c r="C21" s="4">
        <v>100</v>
      </c>
      <c r="D21" s="234">
        <v>17.100000000000001</v>
      </c>
      <c r="E21" s="3">
        <v>0</v>
      </c>
      <c r="F21" s="3">
        <f t="shared" si="0"/>
        <v>1710.0000000000002</v>
      </c>
      <c r="G21" s="436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7">
        <v>42229</v>
      </c>
      <c r="C22" s="4">
        <v>100</v>
      </c>
      <c r="D22" s="234">
        <v>16.89</v>
      </c>
      <c r="E22" s="3">
        <v>0</v>
      </c>
      <c r="F22" s="3">
        <f t="shared" si="0"/>
        <v>1689</v>
      </c>
      <c r="G22" s="436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7">
        <v>42233</v>
      </c>
      <c r="C23" s="4">
        <v>100</v>
      </c>
      <c r="D23" s="234">
        <v>16.5</v>
      </c>
      <c r="E23" s="3">
        <v>0</v>
      </c>
      <c r="F23" s="3">
        <f t="shared" si="0"/>
        <v>1650</v>
      </c>
      <c r="G23" s="436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7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6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7">
        <v>42244</v>
      </c>
      <c r="C25" s="4">
        <v>200</v>
      </c>
      <c r="D25" s="234">
        <v>15.4</v>
      </c>
      <c r="E25" s="3">
        <v>0</v>
      </c>
      <c r="F25" s="3">
        <f t="shared" ref="F25:F36" si="4">C25*D25</f>
        <v>3080</v>
      </c>
      <c r="G25" s="436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8"/>
      <c r="AO25" s="228"/>
    </row>
    <row r="26" spans="2:42" x14ac:dyDescent="0.25">
      <c r="B26" s="437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6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7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6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8"/>
      <c r="AO27" s="228"/>
    </row>
    <row r="28" spans="2:42" x14ac:dyDescent="0.25">
      <c r="B28" s="437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6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7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6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7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7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8"/>
      <c r="AO31" s="228"/>
    </row>
    <row r="32" spans="2:42" x14ac:dyDescent="0.25">
      <c r="B32" s="437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7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8"/>
      <c r="AO33" s="228"/>
    </row>
    <row r="34" spans="2:41" x14ac:dyDescent="0.25">
      <c r="B34" s="437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7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8"/>
      <c r="AO35" s="228"/>
    </row>
    <row r="36" spans="2:41" x14ac:dyDescent="0.25">
      <c r="B36" s="437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7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7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7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7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7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8"/>
      <c r="AO41" s="228"/>
    </row>
    <row r="42" spans="2:41" ht="20.25" thickBot="1" x14ac:dyDescent="0.35">
      <c r="B42" s="437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9" t="s">
        <v>78</v>
      </c>
      <c r="P42" s="359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7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7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7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8"/>
      <c r="AO45" s="228"/>
    </row>
    <row r="46" spans="2:41" x14ac:dyDescent="0.25">
      <c r="B46" s="437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5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7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7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7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7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7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7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7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7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7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7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7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8"/>
      <c r="AO53" s="228"/>
    </row>
    <row r="54" spans="2:42" x14ac:dyDescent="0.25">
      <c r="B54" s="437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7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7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7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7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7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7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7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8"/>
      <c r="AO57" s="228"/>
    </row>
    <row r="58" spans="2:42" x14ac:dyDescent="0.25">
      <c r="B58" s="437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7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7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6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8"/>
    </row>
    <row r="60" spans="2:42" x14ac:dyDescent="0.25">
      <c r="B60" s="437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7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7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7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8"/>
      <c r="AO61" s="228"/>
    </row>
    <row r="62" spans="2:42" x14ac:dyDescent="0.25">
      <c r="B62" s="437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7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7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7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8"/>
      <c r="AO63" s="228"/>
      <c r="AP63" s="228"/>
    </row>
    <row r="64" spans="2:42" ht="15" customHeight="1" x14ac:dyDescent="0.25">
      <c r="B64" s="437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7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5"/>
      <c r="B65" s="437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7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8"/>
      <c r="AO65" s="228"/>
    </row>
    <row r="66" spans="1:41" x14ac:dyDescent="0.25">
      <c r="A66" s="545"/>
      <c r="B66" s="437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7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5"/>
      <c r="B67" s="437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7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8"/>
    </row>
    <row r="68" spans="1:41" ht="18" customHeight="1" x14ac:dyDescent="0.25">
      <c r="A68" s="564"/>
      <c r="B68" s="437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7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4"/>
      <c r="B69" s="437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7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4"/>
      <c r="B70" s="437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7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4"/>
      <c r="B71" s="437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7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4"/>
      <c r="B72" s="437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7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4"/>
      <c r="B73" s="437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7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501</v>
      </c>
    </row>
    <row r="74" spans="1:41" x14ac:dyDescent="0.25">
      <c r="B74" s="437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7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502</v>
      </c>
    </row>
    <row r="75" spans="1:41" x14ac:dyDescent="0.25">
      <c r="B75" s="437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7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7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7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7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7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7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7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7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7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7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7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7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7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7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7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7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7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7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7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7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7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5"/>
    </row>
    <row r="86" spans="2:21" ht="15" customHeight="1" x14ac:dyDescent="0.25">
      <c r="B86" s="437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7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5"/>
      <c r="Q86" s="1"/>
      <c r="R86" s="2"/>
    </row>
    <row r="87" spans="2:21" x14ac:dyDescent="0.25">
      <c r="B87" s="437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7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8"/>
    </row>
    <row r="88" spans="2:21" x14ac:dyDescent="0.25">
      <c r="B88" s="437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7">
        <v>42733</v>
      </c>
      <c r="H88" s="179">
        <v>1000</v>
      </c>
      <c r="I88" s="78">
        <v>11.63</v>
      </c>
      <c r="J88" s="2">
        <v>0.25</v>
      </c>
      <c r="K88" s="2">
        <f t="shared" si="9"/>
        <v>11629.75</v>
      </c>
      <c r="M88" s="478"/>
    </row>
    <row r="89" spans="2:21" ht="15" customHeight="1" x14ac:dyDescent="0.25">
      <c r="B89" s="437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7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7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7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7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7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7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7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7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7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7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7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7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7">
        <v>42823</v>
      </c>
      <c r="H95" s="4">
        <v>200</v>
      </c>
      <c r="I95" s="234">
        <v>10.94</v>
      </c>
      <c r="J95" s="3">
        <v>0.05</v>
      </c>
      <c r="K95" s="3">
        <f t="shared" si="13"/>
        <v>2187.9499999999998</v>
      </c>
    </row>
    <row r="96" spans="2:21" x14ac:dyDescent="0.25">
      <c r="B96" s="57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7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7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7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0"/>
      <c r="B98" s="437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7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0"/>
      <c r="B99" s="437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7">
        <v>42864</v>
      </c>
      <c r="H99" s="4">
        <v>300</v>
      </c>
      <c r="I99" s="234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7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7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7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7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7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7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7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7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7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7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7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7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7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4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4" t="s">
        <v>194</v>
      </c>
      <c r="B119" s="345"/>
      <c r="C119" s="346">
        <f>SumByColor($A$119,C2:C117)</f>
        <v>38705</v>
      </c>
      <c r="D119" s="346"/>
      <c r="E119" s="346"/>
      <c r="F119" s="347">
        <f>SumByColor($A$119,F2:F117)</f>
        <v>526268</v>
      </c>
      <c r="G119" s="346"/>
      <c r="H119" s="346">
        <f>SumByColor($A$119,H2:H117)</f>
        <v>38905</v>
      </c>
      <c r="I119" s="346"/>
      <c r="J119" s="346"/>
      <c r="K119" s="347">
        <f>SumByColor($A$119,K2:K117)</f>
        <v>528865</v>
      </c>
      <c r="L119" s="346"/>
      <c r="M119" s="347">
        <f>SumByColor($A$119,M2:M117)</f>
        <v>0</v>
      </c>
    </row>
    <row r="123" spans="1:13" x14ac:dyDescent="0.25">
      <c r="B123" s="185" t="s">
        <v>113</v>
      </c>
      <c r="C123" s="185" t="s">
        <v>146</v>
      </c>
      <c r="D123" s="193" t="s">
        <v>145</v>
      </c>
      <c r="E123" s="189" t="s">
        <v>147</v>
      </c>
      <c r="F123" s="189" t="s">
        <v>65</v>
      </c>
      <c r="G123" s="223" t="s">
        <v>151</v>
      </c>
      <c r="H123" s="189" t="s">
        <v>88</v>
      </c>
      <c r="I123" s="235" t="s">
        <v>151</v>
      </c>
      <c r="J123" s="39"/>
      <c r="K123" s="39"/>
    </row>
    <row r="124" spans="1:13" x14ac:dyDescent="0.25">
      <c r="B124" s="187">
        <v>42304</v>
      </c>
      <c r="C124" s="10">
        <v>5530</v>
      </c>
      <c r="D124" s="194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6">
        <f>IF(C124=0, D124, (E124-D124)/D124)</f>
        <v>-0.16082711085583001</v>
      </c>
      <c r="I124" s="194"/>
      <c r="J124" s="39"/>
      <c r="K124" s="39"/>
    </row>
    <row r="125" spans="1:13" x14ac:dyDescent="0.25">
      <c r="B125" s="187">
        <v>42306</v>
      </c>
      <c r="C125" s="10">
        <v>5530</v>
      </c>
      <c r="D125" s="194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6">
        <f t="shared" ref="H125:H166" si="16">IF(C125=0, D125, (E125-D125)/D125)</f>
        <v>-0.14187248707639291</v>
      </c>
      <c r="I125" s="194"/>
      <c r="J125" s="39"/>
      <c r="K125" s="39"/>
    </row>
    <row r="126" spans="1:13" x14ac:dyDescent="0.25">
      <c r="B126" s="187">
        <v>42307</v>
      </c>
      <c r="C126" s="10">
        <v>5730</v>
      </c>
      <c r="D126" s="194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6">
        <f t="shared" si="16"/>
        <v>-0.10502019619157522</v>
      </c>
      <c r="I126" s="194"/>
      <c r="J126" s="39"/>
      <c r="K126" s="39"/>
    </row>
    <row r="127" spans="1:13" x14ac:dyDescent="0.25">
      <c r="B127" s="187">
        <v>42313</v>
      </c>
      <c r="C127" s="10">
        <v>6000</v>
      </c>
      <c r="D127" s="194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6">
        <f t="shared" si="16"/>
        <v>-0.13588850174216019</v>
      </c>
      <c r="I127" s="194"/>
      <c r="J127" s="39"/>
      <c r="K127" s="39"/>
    </row>
    <row r="128" spans="1:13" x14ac:dyDescent="0.25">
      <c r="B128" s="187">
        <v>42314</v>
      </c>
      <c r="C128" s="10">
        <v>7006</v>
      </c>
      <c r="D128" s="194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6">
        <f t="shared" si="16"/>
        <v>-0.14319667260843724</v>
      </c>
      <c r="I128" s="194"/>
      <c r="J128" s="39"/>
      <c r="K128" s="39"/>
    </row>
    <row r="129" spans="2:11" x14ac:dyDescent="0.25">
      <c r="B129" s="187">
        <v>42324</v>
      </c>
      <c r="C129" s="10">
        <v>6000</v>
      </c>
      <c r="D129" s="194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6">
        <f t="shared" si="16"/>
        <v>-0.13154831199068684</v>
      </c>
      <c r="I129" s="194"/>
      <c r="J129" s="39"/>
      <c r="K129" s="39"/>
    </row>
    <row r="130" spans="2:11" x14ac:dyDescent="0.25">
      <c r="B130" s="187">
        <v>42325</v>
      </c>
      <c r="C130" s="10">
        <v>7000</v>
      </c>
      <c r="D130" s="194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6">
        <f t="shared" si="16"/>
        <v>-0.14353782013103028</v>
      </c>
      <c r="I130" s="194"/>
      <c r="J130" s="39"/>
      <c r="K130" s="39"/>
    </row>
    <row r="131" spans="2:11" x14ac:dyDescent="0.25">
      <c r="B131" s="187">
        <v>42326</v>
      </c>
      <c r="C131" s="10">
        <v>6000</v>
      </c>
      <c r="D131" s="194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6">
        <f t="shared" si="16"/>
        <v>-0.14627039627039626</v>
      </c>
      <c r="I131" s="194"/>
      <c r="J131" s="39"/>
      <c r="K131" s="39"/>
    </row>
    <row r="132" spans="2:11" x14ac:dyDescent="0.25">
      <c r="B132" s="187">
        <v>42335</v>
      </c>
      <c r="C132" s="10">
        <v>6100</v>
      </c>
      <c r="D132" s="194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6">
        <f t="shared" si="16"/>
        <v>-0.15429573348918754</v>
      </c>
      <c r="I132" s="194"/>
      <c r="J132" s="39"/>
      <c r="K132" s="39"/>
    </row>
    <row r="133" spans="2:11" x14ac:dyDescent="0.25">
      <c r="B133" s="187">
        <v>42335</v>
      </c>
      <c r="C133" s="10">
        <v>7000</v>
      </c>
      <c r="D133" s="194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6">
        <f t="shared" si="16"/>
        <v>-0.1371496720333929</v>
      </c>
      <c r="I133" s="194"/>
      <c r="J133" s="39"/>
      <c r="K133" s="39"/>
    </row>
    <row r="134" spans="2:11" x14ac:dyDescent="0.25">
      <c r="B134" s="187">
        <v>42338</v>
      </c>
      <c r="C134" s="10">
        <v>6000</v>
      </c>
      <c r="D134" s="194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6">
        <f t="shared" si="16"/>
        <v>-0.13567251461988314</v>
      </c>
      <c r="I134" s="194"/>
      <c r="J134" s="39"/>
      <c r="K134" s="39"/>
    </row>
    <row r="135" spans="2:11" x14ac:dyDescent="0.25">
      <c r="B135" s="187">
        <v>42338</v>
      </c>
      <c r="C135" s="10">
        <v>5900</v>
      </c>
      <c r="D135" s="194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6">
        <f t="shared" si="16"/>
        <v>-0.13768961493582271</v>
      </c>
      <c r="I135" s="194"/>
      <c r="J135" s="39"/>
      <c r="K135" s="39"/>
    </row>
    <row r="136" spans="2:11" x14ac:dyDescent="0.25">
      <c r="B136" s="187">
        <v>42340</v>
      </c>
      <c r="C136" s="10">
        <v>7000</v>
      </c>
      <c r="D136" s="194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6">
        <f t="shared" si="16"/>
        <v>-0.16616676664667074</v>
      </c>
      <c r="I136" s="194"/>
      <c r="J136" s="39"/>
      <c r="K136" s="39"/>
    </row>
    <row r="137" spans="2:11" x14ac:dyDescent="0.25">
      <c r="B137" s="187">
        <v>42340</v>
      </c>
      <c r="C137" s="10">
        <v>7500</v>
      </c>
      <c r="D137" s="194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6">
        <f t="shared" si="16"/>
        <v>-0.15808600847970933</v>
      </c>
      <c r="I137" s="194"/>
      <c r="J137" s="39"/>
      <c r="K137" s="39"/>
    </row>
    <row r="138" spans="2:11" x14ac:dyDescent="0.25">
      <c r="B138" s="187">
        <v>42344</v>
      </c>
      <c r="C138" s="10">
        <v>7500</v>
      </c>
      <c r="D138" s="194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6">
        <f t="shared" si="16"/>
        <v>-0.20351302241066027</v>
      </c>
      <c r="I138" s="194"/>
      <c r="J138" s="39"/>
      <c r="K138" s="39"/>
    </row>
    <row r="139" spans="2:11" x14ac:dyDescent="0.25">
      <c r="B139" s="187">
        <v>42349</v>
      </c>
      <c r="C139" s="10">
        <v>8000</v>
      </c>
      <c r="D139" s="194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6">
        <f t="shared" si="16"/>
        <v>-0.23308733087330877</v>
      </c>
      <c r="I139" s="194"/>
      <c r="J139" s="39"/>
      <c r="K139" s="39"/>
    </row>
    <row r="140" spans="2:11" x14ac:dyDescent="0.25">
      <c r="B140" s="187">
        <v>42356</v>
      </c>
      <c r="C140" s="10">
        <v>7500</v>
      </c>
      <c r="D140" s="194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6">
        <f t="shared" si="16"/>
        <v>-0.23682616596002432</v>
      </c>
      <c r="I140" s="194"/>
      <c r="J140" s="39"/>
      <c r="K140" s="39"/>
    </row>
    <row r="141" spans="2:11" x14ac:dyDescent="0.25">
      <c r="B141" s="187">
        <v>42356</v>
      </c>
      <c r="C141" s="274">
        <v>4500</v>
      </c>
      <c r="D141" s="275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6">
        <f t="shared" si="16"/>
        <v>-0.32494758909853239</v>
      </c>
      <c r="I141" s="194"/>
      <c r="J141" s="39"/>
      <c r="K141" s="39"/>
    </row>
    <row r="142" spans="2:11" x14ac:dyDescent="0.25">
      <c r="B142" s="187">
        <v>42397</v>
      </c>
      <c r="C142" s="410">
        <v>2000</v>
      </c>
      <c r="D142" s="206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6">
        <f t="shared" si="16"/>
        <v>-0.41404451266308517</v>
      </c>
      <c r="I142" s="194"/>
      <c r="J142" s="39"/>
      <c r="K142" s="39"/>
    </row>
    <row r="143" spans="2:11" x14ac:dyDescent="0.25">
      <c r="B143" s="187">
        <v>42398</v>
      </c>
      <c r="C143" s="274">
        <v>1800</v>
      </c>
      <c r="D143" s="275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6">
        <f t="shared" si="16"/>
        <v>-0.43983859134262659</v>
      </c>
      <c r="I143" s="194"/>
      <c r="J143" s="39"/>
      <c r="K143" s="39"/>
    </row>
    <row r="144" spans="2:11" x14ac:dyDescent="0.25">
      <c r="B144" s="187">
        <v>42402</v>
      </c>
      <c r="C144" s="274">
        <v>2000</v>
      </c>
      <c r="D144" s="275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6">
        <f t="shared" si="16"/>
        <v>-0.41615384615384615</v>
      </c>
      <c r="I144" s="194"/>
      <c r="J144" s="39"/>
      <c r="K144" s="39"/>
    </row>
    <row r="145" spans="2:11" x14ac:dyDescent="0.25">
      <c r="B145" s="187">
        <v>42412</v>
      </c>
      <c r="C145" s="274">
        <v>2200</v>
      </c>
      <c r="D145" s="275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6">
        <f t="shared" si="16"/>
        <v>-0.50101010101010102</v>
      </c>
      <c r="I145" s="194"/>
      <c r="J145" s="39"/>
      <c r="K145" s="39"/>
    </row>
    <row r="146" spans="2:11" x14ac:dyDescent="0.25">
      <c r="B146" s="187">
        <v>42416</v>
      </c>
      <c r="C146" s="274">
        <v>2000</v>
      </c>
      <c r="D146" s="275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6">
        <f t="shared" si="16"/>
        <v>-0.52426810477657937</v>
      </c>
      <c r="I146" s="194"/>
      <c r="J146" s="39"/>
      <c r="K146" s="39"/>
    </row>
    <row r="147" spans="2:11" x14ac:dyDescent="0.25">
      <c r="B147" s="187">
        <v>42416</v>
      </c>
      <c r="C147" s="274">
        <v>1750</v>
      </c>
      <c r="D147" s="275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6">
        <f t="shared" si="16"/>
        <v>-0.53649766271125487</v>
      </c>
      <c r="I147" s="194"/>
      <c r="J147" s="39"/>
      <c r="K147" s="39"/>
    </row>
    <row r="148" spans="2:11" x14ac:dyDescent="0.25">
      <c r="B148" s="187">
        <v>42416</v>
      </c>
      <c r="C148" s="274">
        <v>2000</v>
      </c>
      <c r="D148" s="275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6">
        <f t="shared" si="16"/>
        <v>-0.50131031293355943</v>
      </c>
      <c r="I148" s="194"/>
      <c r="J148" s="39"/>
      <c r="K148" s="39"/>
    </row>
    <row r="149" spans="2:11" x14ac:dyDescent="0.25">
      <c r="B149" s="187">
        <v>42426</v>
      </c>
      <c r="C149" s="274">
        <v>2000</v>
      </c>
      <c r="D149" s="275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6">
        <f t="shared" si="16"/>
        <v>-0.52267026818444917</v>
      </c>
      <c r="I149" s="194"/>
      <c r="J149" s="39"/>
      <c r="K149" s="39"/>
    </row>
    <row r="150" spans="2:11" x14ac:dyDescent="0.25">
      <c r="B150" s="187">
        <v>42430</v>
      </c>
      <c r="C150" s="274">
        <v>2000</v>
      </c>
      <c r="D150" s="275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6">
        <f t="shared" si="16"/>
        <v>-0.50530580744742426</v>
      </c>
      <c r="I150" s="194">
        <v>25.5</v>
      </c>
      <c r="J150" s="39"/>
      <c r="K150" s="39"/>
    </row>
    <row r="151" spans="2:11" x14ac:dyDescent="0.25">
      <c r="B151" s="187">
        <v>42431</v>
      </c>
      <c r="C151" s="423">
        <v>1500</v>
      </c>
      <c r="D151" s="56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6">
        <f t="shared" si="16"/>
        <v>-0.55868201878090051</v>
      </c>
      <c r="I151" s="194"/>
      <c r="J151" s="39"/>
      <c r="K151" s="39"/>
    </row>
    <row r="152" spans="2:11" x14ac:dyDescent="0.25">
      <c r="B152" s="187">
        <v>42444</v>
      </c>
      <c r="C152" s="274">
        <v>1500</v>
      </c>
      <c r="D152" s="275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6">
        <f t="shared" si="16"/>
        <v>-0.52616385174370384</v>
      </c>
      <c r="I152" s="194"/>
      <c r="J152" s="39"/>
      <c r="K152" s="39"/>
    </row>
    <row r="153" spans="2:11" x14ac:dyDescent="0.25">
      <c r="B153" s="187">
        <v>42447</v>
      </c>
      <c r="C153" s="274">
        <v>1500</v>
      </c>
      <c r="D153" s="275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6">
        <f t="shared" si="16"/>
        <v>-0.50293658957427745</v>
      </c>
      <c r="I153" s="194"/>
      <c r="J153" s="39"/>
      <c r="K153" s="39"/>
    </row>
    <row r="154" spans="2:11" x14ac:dyDescent="0.25">
      <c r="B154" s="187">
        <v>42480</v>
      </c>
      <c r="C154" s="274">
        <v>1500</v>
      </c>
      <c r="D154" s="275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6">
        <f t="shared" si="16"/>
        <v>-0.48653142667110078</v>
      </c>
      <c r="I154" s="194"/>
      <c r="J154" s="39"/>
      <c r="K154" s="39"/>
    </row>
    <row r="155" spans="2:11" x14ac:dyDescent="0.25">
      <c r="B155" s="187">
        <v>42488</v>
      </c>
      <c r="C155" s="274">
        <v>1500</v>
      </c>
      <c r="D155" s="275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6">
        <f t="shared" si="16"/>
        <v>-0.4822017248842862</v>
      </c>
      <c r="I155" s="194"/>
      <c r="J155" s="39"/>
      <c r="K155" s="39"/>
    </row>
    <row r="156" spans="2:11" x14ac:dyDescent="0.25">
      <c r="B156" s="187">
        <v>42494</v>
      </c>
      <c r="C156" s="274">
        <v>1500</v>
      </c>
      <c r="D156" s="275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6">
        <f t="shared" si="16"/>
        <v>-0.49985015483999867</v>
      </c>
      <c r="I156" s="194"/>
      <c r="J156" s="39"/>
      <c r="K156" s="39"/>
    </row>
    <row r="157" spans="2:11" x14ac:dyDescent="0.25">
      <c r="B157" s="187">
        <v>42517</v>
      </c>
      <c r="C157" s="274">
        <v>1500</v>
      </c>
      <c r="D157" s="275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6">
        <f t="shared" si="16"/>
        <v>-0.50905941913136155</v>
      </c>
      <c r="I157" s="194"/>
      <c r="J157" s="39"/>
      <c r="K157" s="39"/>
    </row>
    <row r="158" spans="2:11" x14ac:dyDescent="0.25">
      <c r="B158" s="187">
        <v>42522</v>
      </c>
      <c r="C158" s="274">
        <v>1500</v>
      </c>
      <c r="D158" s="275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6">
        <f t="shared" si="16"/>
        <v>-0.49773514521715961</v>
      </c>
      <c r="I158" s="194"/>
      <c r="J158" s="39"/>
      <c r="K158" s="39"/>
    </row>
    <row r="159" spans="2:11" x14ac:dyDescent="0.25">
      <c r="B159" s="187">
        <v>42530</v>
      </c>
      <c r="C159" s="274">
        <v>1520</v>
      </c>
      <c r="D159" s="275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6">
        <f t="shared" si="16"/>
        <v>-0.47118644067796611</v>
      </c>
      <c r="I159" s="194"/>
      <c r="J159" s="39"/>
      <c r="K159" s="39"/>
    </row>
    <row r="160" spans="2:11" x14ac:dyDescent="0.25">
      <c r="B160" s="187">
        <v>42534</v>
      </c>
      <c r="C160" s="274">
        <v>1520</v>
      </c>
      <c r="D160" s="275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6">
        <f t="shared" si="16"/>
        <v>-0.51694915254237284</v>
      </c>
      <c r="I160" s="194"/>
      <c r="J160" s="39"/>
      <c r="K160" s="39"/>
    </row>
    <row r="161" spans="2:11" x14ac:dyDescent="0.25">
      <c r="B161" s="187">
        <v>42535</v>
      </c>
      <c r="C161" s="274">
        <v>2000</v>
      </c>
      <c r="D161" s="275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6">
        <f t="shared" si="16"/>
        <v>-0.46134740763737969</v>
      </c>
      <c r="I161" s="194"/>
      <c r="J161" s="39"/>
      <c r="K161" s="39"/>
    </row>
    <row r="162" spans="2:11" x14ac:dyDescent="0.25">
      <c r="B162" s="187">
        <v>42538</v>
      </c>
      <c r="C162" s="274">
        <v>1520</v>
      </c>
      <c r="D162" s="275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6">
        <f t="shared" si="16"/>
        <v>-0.5161071088759005</v>
      </c>
      <c r="I162" s="194"/>
      <c r="J162" s="39"/>
      <c r="K162" s="39"/>
    </row>
    <row r="163" spans="2:11" x14ac:dyDescent="0.25">
      <c r="B163" s="187">
        <v>42543</v>
      </c>
      <c r="C163" s="274">
        <v>2000</v>
      </c>
      <c r="D163" s="275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6">
        <f t="shared" si="16"/>
        <v>-0.46334059775840603</v>
      </c>
      <c r="I163" s="194"/>
      <c r="J163" s="39"/>
      <c r="K163" s="39"/>
    </row>
    <row r="164" spans="2:11" x14ac:dyDescent="0.25">
      <c r="B164" s="187">
        <v>42544</v>
      </c>
      <c r="C164" s="274">
        <v>1520</v>
      </c>
      <c r="D164" s="275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6">
        <f t="shared" si="16"/>
        <v>-0.51668427690105323</v>
      </c>
      <c r="I164" s="194"/>
      <c r="J164" s="39"/>
      <c r="K164" s="39"/>
    </row>
    <row r="165" spans="2:11" x14ac:dyDescent="0.25">
      <c r="B165" s="187">
        <v>42545</v>
      </c>
      <c r="C165" s="410">
        <v>2000</v>
      </c>
      <c r="D165" s="206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6">
        <f t="shared" si="16"/>
        <v>-0.4662547900211152</v>
      </c>
      <c r="I165" s="194"/>
      <c r="J165" s="39"/>
      <c r="K165" s="39"/>
    </row>
    <row r="166" spans="2:11" x14ac:dyDescent="0.25">
      <c r="B166" s="187">
        <v>42548</v>
      </c>
      <c r="C166" s="274">
        <v>2000</v>
      </c>
      <c r="D166" s="275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6">
        <f t="shared" si="16"/>
        <v>-0.47563932118557911</v>
      </c>
      <c r="I166" s="194"/>
      <c r="J166" s="39"/>
      <c r="K166" s="39"/>
    </row>
    <row r="167" spans="2:11" x14ac:dyDescent="0.25">
      <c r="B167" s="187">
        <v>42549</v>
      </c>
      <c r="C167" s="274">
        <v>2000</v>
      </c>
      <c r="D167" s="275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6">
        <f t="shared" ref="H167:H204" si="19">IF(C167=0, D167, (E167-D167)/D167)</f>
        <v>-0.44396652850551344</v>
      </c>
      <c r="I167" s="194"/>
      <c r="J167" s="39"/>
      <c r="K167" s="39"/>
    </row>
    <row r="168" spans="2:11" x14ac:dyDescent="0.25">
      <c r="B168" s="187">
        <v>42550</v>
      </c>
      <c r="C168" s="274">
        <v>1520</v>
      </c>
      <c r="D168" s="275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6">
        <f t="shared" si="19"/>
        <v>-0.49701590368096038</v>
      </c>
      <c r="I168" s="194"/>
      <c r="J168" s="39"/>
      <c r="K168" s="39"/>
    </row>
    <row r="169" spans="2:11" x14ac:dyDescent="0.25">
      <c r="B169" s="187">
        <v>42556</v>
      </c>
      <c r="C169" s="274">
        <v>2000</v>
      </c>
      <c r="D169" s="275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6">
        <f t="shared" si="19"/>
        <v>-0.43734518145716195</v>
      </c>
      <c r="I169" s="194">
        <v>25</v>
      </c>
      <c r="J169" s="39"/>
      <c r="K169" s="39"/>
    </row>
    <row r="170" spans="2:11" x14ac:dyDescent="0.25">
      <c r="B170" s="187">
        <v>42563</v>
      </c>
      <c r="C170" s="274">
        <v>2000</v>
      </c>
      <c r="D170" s="275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6">
        <f t="shared" si="19"/>
        <v>-0.41100145480281525</v>
      </c>
      <c r="I170" s="194"/>
      <c r="J170" s="39"/>
      <c r="K170" s="39"/>
    </row>
    <row r="171" spans="2:11" x14ac:dyDescent="0.25">
      <c r="B171" s="187">
        <v>42578</v>
      </c>
      <c r="C171" s="274">
        <v>2200</v>
      </c>
      <c r="D171" s="275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6">
        <f t="shared" si="19"/>
        <v>-0.42374687487192098</v>
      </c>
      <c r="I171" s="194"/>
      <c r="J171" s="39"/>
      <c r="K171" s="39"/>
    </row>
    <row r="172" spans="2:11" x14ac:dyDescent="0.25">
      <c r="B172" s="187">
        <v>42580</v>
      </c>
      <c r="C172" s="274">
        <v>2700</v>
      </c>
      <c r="D172" s="275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6">
        <f t="shared" si="19"/>
        <v>-0.38633318445734705</v>
      </c>
      <c r="I172" s="194"/>
      <c r="J172" s="39"/>
      <c r="K172" s="39"/>
    </row>
    <row r="173" spans="2:11" x14ac:dyDescent="0.25">
      <c r="B173" s="187">
        <v>42580</v>
      </c>
      <c r="C173" s="274">
        <v>3000</v>
      </c>
      <c r="D173" s="275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6">
        <f t="shared" si="19"/>
        <v>-0.3603054145909958</v>
      </c>
      <c r="I173" s="194"/>
      <c r="J173" s="39"/>
      <c r="K173" s="39"/>
    </row>
    <row r="174" spans="2:11" x14ac:dyDescent="0.25">
      <c r="B174" s="187">
        <v>42580</v>
      </c>
      <c r="C174" s="274">
        <v>2000</v>
      </c>
      <c r="D174" s="275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6">
        <f t="shared" si="19"/>
        <v>-0.45805230150278076</v>
      </c>
      <c r="I174" s="194">
        <v>25</v>
      </c>
      <c r="J174" s="39"/>
      <c r="K174" s="39"/>
    </row>
    <row r="175" spans="2:11" x14ac:dyDescent="0.25">
      <c r="B175" s="187">
        <v>42585</v>
      </c>
      <c r="C175" s="410">
        <v>2000</v>
      </c>
      <c r="D175" s="206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6">
        <f t="shared" si="19"/>
        <v>-0.46949079004457073</v>
      </c>
      <c r="I175" s="194"/>
      <c r="J175" s="39"/>
      <c r="K175" s="39"/>
    </row>
    <row r="176" spans="2:11" x14ac:dyDescent="0.25">
      <c r="B176" s="187">
        <v>42586</v>
      </c>
      <c r="C176" s="274">
        <v>2500</v>
      </c>
      <c r="D176" s="275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6">
        <f t="shared" si="19"/>
        <v>-0.43367391494192647</v>
      </c>
      <c r="I176" s="194"/>
      <c r="J176" s="39"/>
      <c r="K176" s="39"/>
    </row>
    <row r="177" spans="2:11" x14ac:dyDescent="0.25">
      <c r="B177" s="187">
        <v>42590</v>
      </c>
      <c r="C177" s="424">
        <v>3000</v>
      </c>
      <c r="D177" s="47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6">
        <f t="shared" si="19"/>
        <v>-0.38805268109125124</v>
      </c>
      <c r="I177" s="194"/>
      <c r="J177" s="39"/>
      <c r="K177" s="39"/>
    </row>
    <row r="178" spans="2:11" x14ac:dyDescent="0.25">
      <c r="B178" s="187">
        <v>42591</v>
      </c>
      <c r="C178" s="274">
        <v>3500</v>
      </c>
      <c r="D178" s="275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6">
        <f t="shared" si="19"/>
        <v>-0.36757512229210337</v>
      </c>
      <c r="I178" s="194">
        <v>19.75</v>
      </c>
      <c r="J178" s="39"/>
      <c r="K178" s="39"/>
    </row>
    <row r="179" spans="2:11" x14ac:dyDescent="0.25">
      <c r="B179" s="187">
        <v>42593</v>
      </c>
      <c r="C179" s="10">
        <v>3500</v>
      </c>
      <c r="D179" s="194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6">
        <f t="shared" si="19"/>
        <v>-0.37555437643538886</v>
      </c>
      <c r="I179" s="194"/>
      <c r="J179" s="39"/>
      <c r="K179" s="39"/>
    </row>
    <row r="180" spans="2:11" x14ac:dyDescent="0.25">
      <c r="B180" s="187">
        <v>42599</v>
      </c>
      <c r="C180" s="10">
        <v>3500</v>
      </c>
      <c r="D180" s="194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6">
        <f t="shared" si="19"/>
        <v>-0.3705628047042569</v>
      </c>
      <c r="I180" s="194"/>
      <c r="J180" s="39"/>
      <c r="K180" s="39"/>
    </row>
    <row r="181" spans="2:11" x14ac:dyDescent="0.25">
      <c r="B181" s="187">
        <v>42600</v>
      </c>
      <c r="C181" s="10">
        <v>3500</v>
      </c>
      <c r="D181" s="194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6">
        <f t="shared" si="19"/>
        <v>-0.37255943339670966</v>
      </c>
      <c r="I181" s="194"/>
      <c r="J181" s="39"/>
      <c r="K181" s="39"/>
    </row>
    <row r="182" spans="2:11" x14ac:dyDescent="0.25">
      <c r="B182" s="187">
        <v>42601</v>
      </c>
      <c r="C182" s="10">
        <v>4000</v>
      </c>
      <c r="D182" s="194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6">
        <f t="shared" si="19"/>
        <v>-0.35692161629831287</v>
      </c>
      <c r="I182" s="194"/>
      <c r="J182" s="39"/>
      <c r="K182" s="39"/>
    </row>
    <row r="183" spans="2:11" x14ac:dyDescent="0.25">
      <c r="B183" s="187">
        <v>42604</v>
      </c>
      <c r="C183" s="274">
        <v>4500</v>
      </c>
      <c r="D183" s="275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6">
        <f t="shared" si="19"/>
        <v>-0.33072659361161033</v>
      </c>
      <c r="I183" s="194">
        <v>18</v>
      </c>
      <c r="J183" s="39"/>
      <c r="K183" s="39"/>
    </row>
    <row r="184" spans="2:11" x14ac:dyDescent="0.25">
      <c r="B184" s="187">
        <v>42605</v>
      </c>
      <c r="C184" s="274">
        <v>4000</v>
      </c>
      <c r="D184" s="275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6">
        <f t="shared" si="19"/>
        <v>-0.33788404174122277</v>
      </c>
      <c r="I184" s="194"/>
      <c r="J184" s="39"/>
      <c r="K184" s="39"/>
    </row>
    <row r="185" spans="2:11" x14ac:dyDescent="0.25">
      <c r="B185" s="187">
        <v>42605</v>
      </c>
      <c r="C185" s="274">
        <v>4500</v>
      </c>
      <c r="D185" s="275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6">
        <f t="shared" si="19"/>
        <v>-0.31197292993892045</v>
      </c>
      <c r="I185" s="194">
        <v>18</v>
      </c>
      <c r="J185" s="39"/>
      <c r="K185" s="39"/>
    </row>
    <row r="186" spans="2:11" x14ac:dyDescent="0.25">
      <c r="B186" s="187">
        <v>42606</v>
      </c>
      <c r="C186" s="274">
        <v>4500</v>
      </c>
      <c r="D186" s="275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6">
        <f t="shared" si="19"/>
        <v>-0.31799385099752969</v>
      </c>
      <c r="I186" s="194"/>
      <c r="J186" s="39"/>
      <c r="K186" s="39"/>
    </row>
    <row r="187" spans="2:11" x14ac:dyDescent="0.25">
      <c r="B187" s="187">
        <v>42611</v>
      </c>
      <c r="C187" s="274">
        <v>4500</v>
      </c>
      <c r="D187" s="275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6">
        <f t="shared" si="19"/>
        <v>-0.31087821701917334</v>
      </c>
      <c r="I187" s="194"/>
      <c r="J187" s="39"/>
      <c r="K187" s="39"/>
    </row>
    <row r="188" spans="2:11" x14ac:dyDescent="0.25">
      <c r="B188" s="187">
        <v>42612</v>
      </c>
      <c r="C188" s="274">
        <v>4700</v>
      </c>
      <c r="D188" s="275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6">
        <f t="shared" si="19"/>
        <v>-0.3102252300824061</v>
      </c>
      <c r="I188" s="194"/>
      <c r="J188" s="39"/>
      <c r="K188" s="39"/>
    </row>
    <row r="189" spans="2:11" x14ac:dyDescent="0.25">
      <c r="B189" s="187">
        <v>42614</v>
      </c>
      <c r="C189" s="274">
        <v>4700</v>
      </c>
      <c r="D189" s="275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6">
        <f t="shared" si="19"/>
        <v>-0.32578823858981348</v>
      </c>
      <c r="I189" s="194"/>
      <c r="J189" s="39"/>
      <c r="K189" s="39"/>
    </row>
    <row r="190" spans="2:11" x14ac:dyDescent="0.25">
      <c r="B190" s="187">
        <v>42615</v>
      </c>
      <c r="C190" s="274">
        <v>4500</v>
      </c>
      <c r="D190" s="275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6">
        <f t="shared" si="19"/>
        <v>-0.31551853310356404</v>
      </c>
      <c r="I190" s="194">
        <v>18</v>
      </c>
      <c r="J190" s="39"/>
      <c r="K190" s="39"/>
    </row>
    <row r="191" spans="2:11" x14ac:dyDescent="0.25">
      <c r="B191" s="187">
        <v>42619</v>
      </c>
      <c r="C191" s="274">
        <v>4500</v>
      </c>
      <c r="D191" s="275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6">
        <f t="shared" si="19"/>
        <v>-0.30235542797094028</v>
      </c>
      <c r="I191" s="194"/>
      <c r="J191" s="39"/>
      <c r="K191" s="39"/>
    </row>
    <row r="192" spans="2:11" x14ac:dyDescent="0.25">
      <c r="B192" s="187">
        <v>42620</v>
      </c>
      <c r="C192" s="274">
        <v>4000</v>
      </c>
      <c r="D192" s="275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6">
        <f t="shared" si="19"/>
        <v>-0.28983361362503424</v>
      </c>
      <c r="I192" s="194"/>
      <c r="J192" s="39"/>
      <c r="K192" s="39"/>
    </row>
    <row r="193" spans="2:11" x14ac:dyDescent="0.25">
      <c r="B193" s="187">
        <v>42620</v>
      </c>
      <c r="C193" s="274">
        <v>3500</v>
      </c>
      <c r="D193" s="275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6">
        <f t="shared" si="19"/>
        <v>-0.31940255513118243</v>
      </c>
      <c r="I193" s="194" t="s">
        <v>278</v>
      </c>
      <c r="J193" s="39"/>
      <c r="K193" s="39"/>
    </row>
    <row r="194" spans="2:11" x14ac:dyDescent="0.25">
      <c r="B194" s="187">
        <v>42620</v>
      </c>
      <c r="C194" s="274">
        <v>3200</v>
      </c>
      <c r="D194" s="275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6">
        <f t="shared" si="19"/>
        <v>-0.33949476763701542</v>
      </c>
      <c r="I194" s="194"/>
      <c r="J194" s="39"/>
      <c r="K194" s="39"/>
    </row>
    <row r="195" spans="2:11" x14ac:dyDescent="0.25">
      <c r="B195" s="187">
        <v>42621</v>
      </c>
      <c r="C195" s="424">
        <v>3000</v>
      </c>
      <c r="D195" s="47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6">
        <f t="shared" si="19"/>
        <v>-0.33223001929595075</v>
      </c>
      <c r="I195" s="194"/>
      <c r="J195" s="39"/>
      <c r="K195" s="39"/>
    </row>
    <row r="196" spans="2:11" x14ac:dyDescent="0.25">
      <c r="B196" s="187">
        <v>42622</v>
      </c>
      <c r="C196" s="274">
        <v>3200</v>
      </c>
      <c r="D196" s="275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6">
        <f t="shared" si="19"/>
        <v>-0.33972844114812351</v>
      </c>
      <c r="I196" s="194"/>
      <c r="J196" s="39"/>
      <c r="K196" s="39"/>
    </row>
    <row r="197" spans="2:11" x14ac:dyDescent="0.25">
      <c r="B197" s="187">
        <v>42625</v>
      </c>
      <c r="C197" s="274">
        <v>3200</v>
      </c>
      <c r="D197" s="275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6">
        <f t="shared" si="19"/>
        <v>-0.3288881618236898</v>
      </c>
      <c r="I197" s="194"/>
      <c r="J197" s="39"/>
      <c r="K197" s="39"/>
    </row>
    <row r="198" spans="2:11" x14ac:dyDescent="0.25">
      <c r="B198" s="187">
        <v>42627</v>
      </c>
      <c r="C198" s="274">
        <v>3500</v>
      </c>
      <c r="D198" s="275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6">
        <f t="shared" si="19"/>
        <v>-0.34322180483258513</v>
      </c>
      <c r="I198" s="194">
        <v>19.5</v>
      </c>
      <c r="J198" s="39"/>
      <c r="K198" s="39"/>
    </row>
    <row r="199" spans="2:11" x14ac:dyDescent="0.25">
      <c r="B199" s="187">
        <v>42628</v>
      </c>
      <c r="C199" s="274">
        <v>3500</v>
      </c>
      <c r="D199" s="275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6">
        <f t="shared" si="19"/>
        <v>-0.33253834852079917</v>
      </c>
      <c r="I199" s="194"/>
      <c r="J199" s="39"/>
      <c r="K199" s="39"/>
    </row>
    <row r="200" spans="2:11" x14ac:dyDescent="0.25">
      <c r="B200" s="187">
        <v>42629</v>
      </c>
      <c r="C200" s="274">
        <v>3200</v>
      </c>
      <c r="D200" s="275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6">
        <f t="shared" si="19"/>
        <v>-0.34384595142090191</v>
      </c>
      <c r="I200" s="194"/>
      <c r="J200" s="39"/>
      <c r="K200" s="39"/>
    </row>
    <row r="201" spans="2:11" x14ac:dyDescent="0.25">
      <c r="B201" s="187">
        <v>42633</v>
      </c>
      <c r="C201" s="274">
        <v>3200</v>
      </c>
      <c r="D201" s="275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6">
        <f t="shared" si="19"/>
        <v>-0.3275531872349649</v>
      </c>
      <c r="I201" s="194"/>
      <c r="J201" s="39"/>
      <c r="K201" s="39"/>
    </row>
    <row r="202" spans="2:11" x14ac:dyDescent="0.25">
      <c r="B202" s="187">
        <v>42634</v>
      </c>
      <c r="C202" s="274">
        <v>3000</v>
      </c>
      <c r="D202" s="275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6">
        <f t="shared" si="19"/>
        <v>-0.33271427541431964</v>
      </c>
      <c r="I202" s="236"/>
      <c r="J202" s="39"/>
      <c r="K202" s="39"/>
    </row>
    <row r="203" spans="2:11" x14ac:dyDescent="0.25">
      <c r="B203" s="187">
        <v>42635</v>
      </c>
      <c r="C203" s="274">
        <v>3000</v>
      </c>
      <c r="D203" s="275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6">
        <f t="shared" si="19"/>
        <v>-0.32690758310465451</v>
      </c>
      <c r="I203" s="236"/>
      <c r="J203" s="39"/>
      <c r="K203" s="39"/>
    </row>
    <row r="204" spans="2:11" x14ac:dyDescent="0.25">
      <c r="B204" s="187">
        <v>42639</v>
      </c>
      <c r="C204" s="274">
        <v>3000</v>
      </c>
      <c r="D204" s="275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6">
        <f t="shared" si="19"/>
        <v>-0.33852096772398471</v>
      </c>
      <c r="I204" s="236"/>
      <c r="J204" s="39"/>
      <c r="K204" s="39"/>
    </row>
    <row r="205" spans="2:11" x14ac:dyDescent="0.25">
      <c r="B205" s="187">
        <v>42640</v>
      </c>
      <c r="C205" s="274">
        <v>3000</v>
      </c>
      <c r="D205" s="275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6">
        <f t="shared" ref="H205:H213" si="22">IF(C205=0, D205, (E205-D205)/D205)</f>
        <v>-0.34819878824009315</v>
      </c>
      <c r="I205" s="236"/>
      <c r="J205" s="39"/>
      <c r="K205" s="39"/>
    </row>
    <row r="206" spans="2:11" x14ac:dyDescent="0.25">
      <c r="B206" s="187">
        <v>42641</v>
      </c>
      <c r="C206" s="274">
        <v>3200</v>
      </c>
      <c r="D206" s="275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6">
        <f t="shared" si="22"/>
        <v>-0.34130758609768047</v>
      </c>
      <c r="I206" s="236"/>
      <c r="J206" s="39"/>
      <c r="K206" s="39"/>
    </row>
    <row r="207" spans="2:11" x14ac:dyDescent="0.25">
      <c r="B207" s="187">
        <v>42642</v>
      </c>
      <c r="C207" s="10">
        <v>3500</v>
      </c>
      <c r="D207" s="194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6">
        <f t="shared" si="22"/>
        <v>-0.34862299616065323</v>
      </c>
      <c r="I207" s="236">
        <v>19.5</v>
      </c>
      <c r="J207" s="39"/>
      <c r="K207" s="39"/>
    </row>
    <row r="208" spans="2:11" x14ac:dyDescent="0.25">
      <c r="B208" s="187">
        <v>42643</v>
      </c>
      <c r="C208" s="10">
        <v>4000</v>
      </c>
      <c r="D208" s="194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6">
        <f t="shared" si="22"/>
        <v>-0.32454321446667261</v>
      </c>
      <c r="I208" s="236"/>
      <c r="J208" s="39"/>
      <c r="K208" s="39"/>
    </row>
    <row r="209" spans="2:11" x14ac:dyDescent="0.25">
      <c r="B209" s="187">
        <v>42646</v>
      </c>
      <c r="C209" s="10">
        <v>4500</v>
      </c>
      <c r="D209" s="194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6">
        <f t="shared" si="22"/>
        <v>-0.30685981433824244</v>
      </c>
      <c r="I209" s="236">
        <v>18</v>
      </c>
      <c r="J209" s="39"/>
      <c r="K209" s="39"/>
    </row>
    <row r="210" spans="2:11" x14ac:dyDescent="0.25">
      <c r="B210" s="187">
        <v>42646</v>
      </c>
      <c r="C210" s="10">
        <v>5000</v>
      </c>
      <c r="D210" s="194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6">
        <f t="shared" si="22"/>
        <v>-0.2845159521461374</v>
      </c>
      <c r="I210" s="236"/>
      <c r="J210" s="39"/>
      <c r="K210" s="39"/>
    </row>
    <row r="211" spans="2:11" x14ac:dyDescent="0.25">
      <c r="B211" s="187">
        <v>42646</v>
      </c>
      <c r="C211" s="10">
        <v>4500</v>
      </c>
      <c r="D211" s="194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6">
        <f t="shared" si="22"/>
        <v>-0.30635671355140376</v>
      </c>
      <c r="I211" s="236">
        <v>18</v>
      </c>
      <c r="J211" s="39"/>
      <c r="K211" s="39"/>
    </row>
    <row r="212" spans="2:11" x14ac:dyDescent="0.25">
      <c r="B212" s="187">
        <v>42647</v>
      </c>
      <c r="C212" s="10">
        <v>5000</v>
      </c>
      <c r="D212" s="194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6">
        <f t="shared" si="22"/>
        <v>-0.30032672447956077</v>
      </c>
      <c r="I212" s="236"/>
      <c r="J212" s="39"/>
      <c r="K212" s="39"/>
    </row>
    <row r="213" spans="2:11" x14ac:dyDescent="0.25">
      <c r="B213" s="187">
        <v>42648</v>
      </c>
      <c r="C213" s="10">
        <v>4500</v>
      </c>
      <c r="D213" s="194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6">
        <f t="shared" si="22"/>
        <v>-0.31477768342617829</v>
      </c>
      <c r="I213" s="236" t="s">
        <v>298</v>
      </c>
      <c r="J213" s="39"/>
      <c r="K213" s="39"/>
    </row>
    <row r="214" spans="2:11" x14ac:dyDescent="0.25">
      <c r="B214" s="187">
        <v>42650</v>
      </c>
      <c r="C214" s="10">
        <v>4500</v>
      </c>
      <c r="D214" s="194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6">
        <f t="shared" ref="H214:H233" si="25">IF(C214=0, D214, (E214-D214)/D214)</f>
        <v>-0.30255149448487728</v>
      </c>
      <c r="I214" s="236"/>
      <c r="J214" s="39"/>
      <c r="K214" s="39"/>
    </row>
    <row r="215" spans="2:11" x14ac:dyDescent="0.25">
      <c r="B215" s="187">
        <v>42653</v>
      </c>
      <c r="C215" s="10">
        <v>3500</v>
      </c>
      <c r="D215" s="194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6">
        <f t="shared" si="25"/>
        <v>-0.32439375256884501</v>
      </c>
      <c r="I215" s="236" t="s">
        <v>296</v>
      </c>
      <c r="J215" s="39"/>
      <c r="K215" s="39"/>
    </row>
    <row r="216" spans="2:11" x14ac:dyDescent="0.25">
      <c r="B216" s="187">
        <v>42653</v>
      </c>
      <c r="C216" s="10">
        <v>3000</v>
      </c>
      <c r="D216" s="194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6">
        <f t="shared" si="25"/>
        <v>-0.35915273656401575</v>
      </c>
      <c r="I216" s="236"/>
      <c r="J216" s="39"/>
      <c r="K216" s="39"/>
    </row>
    <row r="217" spans="2:11" x14ac:dyDescent="0.25">
      <c r="B217" s="187">
        <v>42662</v>
      </c>
      <c r="C217" s="10">
        <v>2700</v>
      </c>
      <c r="D217" s="194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6">
        <f t="shared" si="25"/>
        <v>-0.38759053187785736</v>
      </c>
      <c r="I217" s="236" t="s">
        <v>297</v>
      </c>
      <c r="J217" s="39"/>
      <c r="K217" s="39"/>
    </row>
    <row r="218" spans="2:11" x14ac:dyDescent="0.25">
      <c r="B218" s="187">
        <v>42664</v>
      </c>
      <c r="C218" s="424">
        <v>3000</v>
      </c>
      <c r="D218" s="47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6">
        <f t="shared" si="25"/>
        <v>-0.38182808961441894</v>
      </c>
      <c r="I218" s="236"/>
      <c r="J218" s="39"/>
      <c r="K218" s="39"/>
    </row>
    <row r="219" spans="2:11" x14ac:dyDescent="0.25">
      <c r="B219" s="187">
        <v>42667</v>
      </c>
      <c r="C219" s="274">
        <v>3200</v>
      </c>
      <c r="D219" s="275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6">
        <f t="shared" si="25"/>
        <v>-0.37817639463469371</v>
      </c>
      <c r="I219" s="236" t="s">
        <v>299</v>
      </c>
      <c r="J219" s="39"/>
      <c r="K219" s="39"/>
    </row>
    <row r="220" spans="2:11" x14ac:dyDescent="0.25">
      <c r="B220" s="187">
        <v>42668</v>
      </c>
      <c r="C220" s="274">
        <v>3500</v>
      </c>
      <c r="D220" s="275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6">
        <f t="shared" si="25"/>
        <v>-0.37012735755476805</v>
      </c>
      <c r="I220" s="236">
        <v>19.25</v>
      </c>
      <c r="J220" s="39"/>
      <c r="K220" s="39"/>
    </row>
    <row r="221" spans="2:11" x14ac:dyDescent="0.25">
      <c r="B221" s="187">
        <v>42669</v>
      </c>
      <c r="C221" s="274">
        <v>3500</v>
      </c>
      <c r="D221" s="275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6">
        <f t="shared" si="25"/>
        <v>-0.38357938357938354</v>
      </c>
      <c r="I221" s="236"/>
      <c r="J221" s="39"/>
      <c r="K221" s="39"/>
    </row>
    <row r="222" spans="2:11" x14ac:dyDescent="0.25">
      <c r="B222" s="187">
        <v>42671</v>
      </c>
      <c r="C222" s="274">
        <v>3500</v>
      </c>
      <c r="D222" s="275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6">
        <f t="shared" si="25"/>
        <v>-0.39054947458212996</v>
      </c>
      <c r="I222" s="236">
        <v>19.25</v>
      </c>
      <c r="J222" s="39"/>
      <c r="K222" s="39"/>
    </row>
    <row r="223" spans="2:11" x14ac:dyDescent="0.25">
      <c r="B223" s="187">
        <v>42676</v>
      </c>
      <c r="C223" s="274">
        <v>3800</v>
      </c>
      <c r="D223" s="275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6">
        <f t="shared" si="25"/>
        <v>-0.41612085494061474</v>
      </c>
      <c r="I223" s="236"/>
      <c r="J223" s="39"/>
      <c r="K223" s="39"/>
    </row>
    <row r="224" spans="2:11" x14ac:dyDescent="0.25">
      <c r="B224" s="187">
        <v>42677</v>
      </c>
      <c r="C224" s="274">
        <v>3500</v>
      </c>
      <c r="D224" s="275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6">
        <f t="shared" si="25"/>
        <v>-0.4245666494382267</v>
      </c>
      <c r="I224" s="236">
        <v>19.25</v>
      </c>
      <c r="J224" s="39"/>
      <c r="K224" s="39"/>
    </row>
    <row r="225" spans="1:11" x14ac:dyDescent="0.25">
      <c r="B225" s="187">
        <v>42701</v>
      </c>
      <c r="C225" s="274">
        <v>3500</v>
      </c>
      <c r="D225" s="275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6">
        <f t="shared" si="25"/>
        <v>-0.38979626901029329</v>
      </c>
      <c r="I225" s="236" t="s">
        <v>305</v>
      </c>
      <c r="J225" s="39"/>
      <c r="K225" s="39"/>
    </row>
    <row r="226" spans="1:11" x14ac:dyDescent="0.25">
      <c r="B226" s="187">
        <v>42702</v>
      </c>
      <c r="C226" s="274">
        <v>3200</v>
      </c>
      <c r="D226" s="275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6">
        <f t="shared" si="25"/>
        <v>-0.40075719757467537</v>
      </c>
      <c r="I226" s="236"/>
      <c r="J226" s="39"/>
      <c r="K226" s="39"/>
    </row>
    <row r="227" spans="1:11" x14ac:dyDescent="0.25">
      <c r="B227" s="187">
        <v>42704</v>
      </c>
      <c r="C227" s="274">
        <v>3500</v>
      </c>
      <c r="D227" s="275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6">
        <f t="shared" si="25"/>
        <v>-0.41807364108452277</v>
      </c>
      <c r="I227" s="236">
        <v>19</v>
      </c>
      <c r="J227" s="39"/>
      <c r="K227" s="39"/>
    </row>
    <row r="228" spans="1:11" x14ac:dyDescent="0.25">
      <c r="B228" s="187">
        <v>42705</v>
      </c>
      <c r="C228" s="274">
        <v>4000</v>
      </c>
      <c r="D228" s="275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6">
        <f t="shared" si="25"/>
        <v>-0.42500165705574328</v>
      </c>
      <c r="I228" s="236"/>
      <c r="J228" s="39"/>
      <c r="K228" s="39"/>
    </row>
    <row r="229" spans="1:11" x14ac:dyDescent="0.25">
      <c r="B229" s="187">
        <v>42710</v>
      </c>
      <c r="C229" s="274">
        <v>3500</v>
      </c>
      <c r="D229" s="275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6">
        <f t="shared" si="25"/>
        <v>-0.41927929945202991</v>
      </c>
      <c r="I229" s="236">
        <v>19</v>
      </c>
      <c r="J229" s="39"/>
      <c r="K229" s="39"/>
    </row>
    <row r="230" spans="1:11" x14ac:dyDescent="0.25">
      <c r="B230" s="187">
        <v>42711</v>
      </c>
      <c r="C230" s="274">
        <v>3200</v>
      </c>
      <c r="D230" s="275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6">
        <f t="shared" si="25"/>
        <v>-0.44302010012544635</v>
      </c>
      <c r="I230" s="236"/>
      <c r="J230" s="39"/>
      <c r="K230" s="39"/>
    </row>
    <row r="231" spans="1:11" x14ac:dyDescent="0.25">
      <c r="B231" s="187">
        <v>42712</v>
      </c>
      <c r="C231" s="424">
        <v>3000</v>
      </c>
      <c r="D231" s="47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6">
        <f t="shared" si="25"/>
        <v>-0.44762527839098337</v>
      </c>
      <c r="I231" s="236"/>
      <c r="J231" s="39"/>
      <c r="K231" s="39"/>
    </row>
    <row r="232" spans="1:11" x14ac:dyDescent="0.25">
      <c r="B232" s="187">
        <v>42713</v>
      </c>
      <c r="C232" s="274">
        <v>2800</v>
      </c>
      <c r="D232" s="275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6">
        <f t="shared" si="25"/>
        <v>-0.44588069801923735</v>
      </c>
      <c r="I232" s="236"/>
      <c r="J232" s="39"/>
      <c r="K232" s="39"/>
    </row>
    <row r="233" spans="1:11" x14ac:dyDescent="0.25">
      <c r="B233" s="187">
        <v>42716</v>
      </c>
      <c r="C233" s="424">
        <v>3000</v>
      </c>
      <c r="D233" s="47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6">
        <f t="shared" si="25"/>
        <v>-0.43976904564681435</v>
      </c>
      <c r="I233" s="236"/>
      <c r="J233" s="39"/>
      <c r="K233" s="39"/>
    </row>
    <row r="234" spans="1:11" x14ac:dyDescent="0.25">
      <c r="B234" s="187">
        <v>42731</v>
      </c>
      <c r="C234" s="274">
        <v>3000</v>
      </c>
      <c r="D234" s="275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6">
        <f t="shared" ref="H234:H247" si="28">IF(C234=0, D234, (E234-D234)/D234)</f>
        <v>-0.4260366630722478</v>
      </c>
      <c r="I234" s="194"/>
      <c r="J234" s="39"/>
      <c r="K234" s="39"/>
    </row>
    <row r="235" spans="1:11" x14ac:dyDescent="0.25">
      <c r="B235" s="187">
        <v>42733</v>
      </c>
      <c r="C235" s="410">
        <v>2000</v>
      </c>
      <c r="D235" s="206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6">
        <f t="shared" si="28"/>
        <v>-0.53042798423303039</v>
      </c>
      <c r="I235" s="425" t="s">
        <v>325</v>
      </c>
      <c r="J235" s="39"/>
      <c r="K235" s="39"/>
    </row>
    <row r="236" spans="1:11" x14ac:dyDescent="0.25">
      <c r="A236" t="s">
        <v>335</v>
      </c>
      <c r="B236" s="187">
        <v>42754</v>
      </c>
      <c r="C236" s="274">
        <v>2000</v>
      </c>
      <c r="D236" s="275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6">
        <f t="shared" si="28"/>
        <v>-0.50824030307565637</v>
      </c>
      <c r="I236" s="194"/>
      <c r="J236" s="39"/>
      <c r="K236" s="39"/>
    </row>
    <row r="237" spans="1:11" x14ac:dyDescent="0.25">
      <c r="A237" t="s">
        <v>361</v>
      </c>
      <c r="B237" s="187">
        <v>42760</v>
      </c>
      <c r="C237" s="274">
        <v>2000</v>
      </c>
      <c r="D237" s="275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6">
        <f t="shared" si="28"/>
        <v>-0.52356997369347835</v>
      </c>
      <c r="I237" s="194"/>
      <c r="J237" s="39"/>
      <c r="K237" s="39"/>
    </row>
    <row r="238" spans="1:11" x14ac:dyDescent="0.25">
      <c r="A238" t="s">
        <v>361</v>
      </c>
      <c r="B238" s="187">
        <v>42762</v>
      </c>
      <c r="C238" s="274">
        <v>2000</v>
      </c>
      <c r="D238" s="275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6">
        <f t="shared" si="28"/>
        <v>-0.52518362323219658</v>
      </c>
      <c r="I238" s="194"/>
      <c r="J238" s="39"/>
      <c r="K238" s="39"/>
    </row>
    <row r="239" spans="1:11" x14ac:dyDescent="0.25">
      <c r="A239" t="s">
        <v>379</v>
      </c>
      <c r="B239" s="187">
        <v>42765</v>
      </c>
      <c r="C239" s="274">
        <v>2200</v>
      </c>
      <c r="D239" s="275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6">
        <f t="shared" si="28"/>
        <v>-0.51015027995653695</v>
      </c>
      <c r="I239" s="194"/>
      <c r="J239" s="39"/>
      <c r="K239" s="39"/>
    </row>
    <row r="240" spans="1:11" x14ac:dyDescent="0.25">
      <c r="A240" t="s">
        <v>383</v>
      </c>
      <c r="B240" s="187">
        <v>42766</v>
      </c>
      <c r="C240" s="410">
        <v>2000</v>
      </c>
      <c r="D240" s="206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6">
        <f t="shared" si="28"/>
        <v>-0.523647087081753</v>
      </c>
      <c r="I240" s="194"/>
      <c r="J240" s="39"/>
      <c r="K240" s="39"/>
    </row>
    <row r="241" spans="1:11" x14ac:dyDescent="0.25">
      <c r="A241" t="s">
        <v>399</v>
      </c>
      <c r="B241" s="187">
        <v>42769</v>
      </c>
      <c r="C241" s="410">
        <v>2000</v>
      </c>
      <c r="D241" s="206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6">
        <f t="shared" si="28"/>
        <v>-0.5289901508403988</v>
      </c>
      <c r="I241" s="425">
        <v>24.5</v>
      </c>
      <c r="J241" s="39"/>
      <c r="K241" s="39"/>
    </row>
    <row r="242" spans="1:11" x14ac:dyDescent="0.25">
      <c r="A242" t="s">
        <v>406</v>
      </c>
      <c r="B242" s="187">
        <v>42772</v>
      </c>
      <c r="C242" s="274">
        <v>2500</v>
      </c>
      <c r="D242" s="275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6">
        <f t="shared" si="28"/>
        <v>-0.49526286954860071</v>
      </c>
      <c r="I242" s="194"/>
      <c r="J242" s="39"/>
      <c r="K242" s="39"/>
    </row>
    <row r="243" spans="1:11" x14ac:dyDescent="0.25">
      <c r="A243" t="s">
        <v>409</v>
      </c>
      <c r="B243" s="187">
        <v>42773</v>
      </c>
      <c r="C243" s="424">
        <v>3000</v>
      </c>
      <c r="D243" s="47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6">
        <f t="shared" si="28"/>
        <v>-0.45038784792677383</v>
      </c>
      <c r="I243" s="194"/>
      <c r="J243" s="39"/>
      <c r="K243" s="39"/>
    </row>
    <row r="244" spans="1:11" x14ac:dyDescent="0.25">
      <c r="A244" t="s">
        <v>414</v>
      </c>
      <c r="B244" s="187">
        <v>42774</v>
      </c>
      <c r="C244" s="410">
        <v>2000</v>
      </c>
      <c r="D244" s="206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6">
        <f t="shared" si="28"/>
        <v>-0.53568553469347935</v>
      </c>
      <c r="I244" s="425">
        <v>24.5</v>
      </c>
      <c r="J244" s="39"/>
      <c r="K244" s="39"/>
    </row>
    <row r="245" spans="1:11" x14ac:dyDescent="0.25">
      <c r="A245" t="s">
        <v>415</v>
      </c>
      <c r="B245" s="187">
        <v>42775</v>
      </c>
      <c r="C245" s="274">
        <v>2500</v>
      </c>
      <c r="D245" s="275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6">
        <f t="shared" si="28"/>
        <v>-0.49161135924594185</v>
      </c>
      <c r="I245" s="194"/>
      <c r="J245" s="39"/>
      <c r="K245" s="39"/>
    </row>
    <row r="246" spans="1:11" x14ac:dyDescent="0.25">
      <c r="A246" t="s">
        <v>416</v>
      </c>
      <c r="B246" s="187">
        <v>42775</v>
      </c>
      <c r="C246" s="424">
        <v>3000</v>
      </c>
      <c r="D246" s="47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6">
        <f t="shared" si="28"/>
        <v>-0.45676965988905571</v>
      </c>
      <c r="I246" s="476">
        <v>20</v>
      </c>
      <c r="J246" s="39"/>
      <c r="K246" s="39"/>
    </row>
    <row r="247" spans="1:11" x14ac:dyDescent="0.25">
      <c r="A247" t="s">
        <v>421</v>
      </c>
      <c r="B247" s="187">
        <v>42776</v>
      </c>
      <c r="C247" s="274">
        <v>2500</v>
      </c>
      <c r="D247" s="275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6">
        <f t="shared" si="28"/>
        <v>-0.4657536633706954</v>
      </c>
      <c r="I247" s="194"/>
      <c r="J247" s="39"/>
      <c r="K247" s="39"/>
    </row>
    <row r="248" spans="1:11" x14ac:dyDescent="0.25">
      <c r="A248" t="s">
        <v>421</v>
      </c>
      <c r="B248" s="187">
        <v>42790</v>
      </c>
      <c r="C248" s="274">
        <v>2500</v>
      </c>
      <c r="D248" s="275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6">
        <f t="shared" ref="H248" si="31">IF(C248=0, D248, (E248-D248)/D248)</f>
        <v>-0.46070927735960326</v>
      </c>
      <c r="I248" s="194"/>
      <c r="J248" s="39"/>
      <c r="K248" s="39"/>
    </row>
    <row r="249" spans="1:11" x14ac:dyDescent="0.25">
      <c r="A249" t="s">
        <v>421</v>
      </c>
      <c r="B249" s="187">
        <v>42808</v>
      </c>
      <c r="C249" s="274">
        <v>2700</v>
      </c>
      <c r="D249" s="275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6">
        <f t="shared" ref="H249" si="34">IF(C249=0, D249, (E249-D249)/D249)</f>
        <v>-0.48730166293419735</v>
      </c>
      <c r="I249" s="194"/>
      <c r="J249" s="39"/>
      <c r="K249" s="39"/>
    </row>
    <row r="250" spans="1:11" x14ac:dyDescent="0.25">
      <c r="A250">
        <v>2300</v>
      </c>
      <c r="B250" s="187">
        <v>42809</v>
      </c>
      <c r="C250" s="274">
        <v>2500</v>
      </c>
      <c r="D250" s="275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6">
        <f t="shared" ref="H250:H251" si="37">IF(C250=0, D250, (E250-D250)/D250)</f>
        <v>-0.49298902470359351</v>
      </c>
      <c r="I250" s="194"/>
      <c r="J250" s="39">
        <v>42</v>
      </c>
      <c r="K250" s="39"/>
    </row>
    <row r="251" spans="1:11" x14ac:dyDescent="0.25">
      <c r="A251">
        <v>2300</v>
      </c>
      <c r="B251" s="187">
        <v>42814</v>
      </c>
      <c r="C251" s="274">
        <v>2700</v>
      </c>
      <c r="D251" s="275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6">
        <f t="shared" si="37"/>
        <v>-0.49210739663312508</v>
      </c>
      <c r="I251" s="194"/>
      <c r="J251" s="39"/>
      <c r="K251" s="39"/>
    </row>
    <row r="252" spans="1:11" x14ac:dyDescent="0.25">
      <c r="A252">
        <v>2300</v>
      </c>
      <c r="B252" s="187">
        <v>42818</v>
      </c>
      <c r="C252" s="274">
        <v>2700</v>
      </c>
      <c r="D252" s="275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6">
        <f t="shared" ref="H252:H253" si="40">IF(C252=0, D252, (E252-D252)/D252)</f>
        <v>-0.48495397968429588</v>
      </c>
      <c r="I252" s="194"/>
      <c r="J252" s="39"/>
      <c r="K252" s="39"/>
    </row>
    <row r="253" spans="1:11" x14ac:dyDescent="0.25">
      <c r="A253">
        <v>2100</v>
      </c>
      <c r="B253" s="187">
        <v>42823</v>
      </c>
      <c r="C253" s="274">
        <v>2500</v>
      </c>
      <c r="D253" s="275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6">
        <f t="shared" si="40"/>
        <v>-0.49887925332549421</v>
      </c>
      <c r="I253" s="194"/>
      <c r="J253" s="39"/>
      <c r="K253" s="39"/>
    </row>
    <row r="254" spans="1:11" x14ac:dyDescent="0.25">
      <c r="A254">
        <v>1800</v>
      </c>
      <c r="B254" s="187">
        <v>42825</v>
      </c>
      <c r="C254" s="274">
        <v>2200</v>
      </c>
      <c r="D254" s="275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6">
        <f t="shared" ref="H254:H263" si="43">IF(C254=0, D254, (E254-D254)/D254)</f>
        <v>-0.53033251252733626</v>
      </c>
      <c r="I254" s="194"/>
      <c r="J254" s="39">
        <v>49</v>
      </c>
      <c r="K254" s="39"/>
    </row>
    <row r="255" spans="1:11" x14ac:dyDescent="0.25">
      <c r="A255">
        <v>1800</v>
      </c>
      <c r="B255" s="187">
        <v>42833</v>
      </c>
      <c r="C255" s="274">
        <v>2500</v>
      </c>
      <c r="D255" s="275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6">
        <f t="shared" si="43"/>
        <v>-0.51510407073125808</v>
      </c>
      <c r="I255" s="194"/>
      <c r="J255" s="39"/>
      <c r="K255" s="39"/>
    </row>
    <row r="256" spans="1:11" x14ac:dyDescent="0.25">
      <c r="A256">
        <v>1500</v>
      </c>
      <c r="B256" s="187">
        <v>42837</v>
      </c>
      <c r="C256" s="274">
        <v>2200</v>
      </c>
      <c r="D256" s="275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6">
        <f t="shared" si="43"/>
        <v>-0.54297952367353142</v>
      </c>
      <c r="I256" s="194"/>
      <c r="J256" s="39"/>
      <c r="K256" s="39"/>
    </row>
    <row r="257" spans="1:11" x14ac:dyDescent="0.25">
      <c r="A257">
        <v>1700</v>
      </c>
      <c r="B257" s="187">
        <v>42844</v>
      </c>
      <c r="C257" s="10">
        <v>2400</v>
      </c>
      <c r="D257" s="194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6">
        <f t="shared" si="43"/>
        <v>-0.53564007588761409</v>
      </c>
      <c r="I257" s="194"/>
      <c r="J257" s="39"/>
      <c r="K257" s="39"/>
    </row>
    <row r="258" spans="1:11" x14ac:dyDescent="0.25">
      <c r="A258">
        <v>1900</v>
      </c>
      <c r="B258" s="187">
        <v>42845</v>
      </c>
      <c r="C258" s="10">
        <v>2500</v>
      </c>
      <c r="D258" s="194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6">
        <f t="shared" si="43"/>
        <v>-0.53449709060681627</v>
      </c>
      <c r="I258" s="194"/>
      <c r="J258" s="39"/>
      <c r="K258" s="39"/>
    </row>
    <row r="259" spans="1:11" x14ac:dyDescent="0.25">
      <c r="A259">
        <v>1600</v>
      </c>
      <c r="B259" s="187">
        <v>42856</v>
      </c>
      <c r="C259" s="10">
        <v>2200</v>
      </c>
      <c r="D259" s="194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6">
        <f t="shared" si="43"/>
        <v>-0.55284377560260445</v>
      </c>
      <c r="I259" s="194"/>
      <c r="J259" s="39"/>
      <c r="K259" s="39"/>
    </row>
    <row r="260" spans="1:11" x14ac:dyDescent="0.25">
      <c r="A260">
        <v>1600</v>
      </c>
      <c r="B260" s="187">
        <v>42857</v>
      </c>
      <c r="C260" s="10">
        <v>2500</v>
      </c>
      <c r="D260" s="194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6">
        <f t="shared" si="43"/>
        <v>-0.54120370370370374</v>
      </c>
      <c r="I260" s="194"/>
      <c r="J260" s="39"/>
      <c r="K260" s="39"/>
    </row>
    <row r="261" spans="1:11" x14ac:dyDescent="0.25">
      <c r="A261">
        <v>1600</v>
      </c>
      <c r="B261" s="187">
        <v>42862</v>
      </c>
      <c r="C261" s="274">
        <v>2500</v>
      </c>
      <c r="D261" s="275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6">
        <f t="shared" si="43"/>
        <v>-0.5361111111111112</v>
      </c>
      <c r="I261" s="194"/>
      <c r="J261" s="39"/>
      <c r="K261" s="39"/>
    </row>
    <row r="262" spans="1:11" x14ac:dyDescent="0.25">
      <c r="A262">
        <v>1600</v>
      </c>
      <c r="B262" s="187">
        <v>42864</v>
      </c>
      <c r="C262" s="274">
        <v>2200</v>
      </c>
      <c r="D262" s="275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6">
        <f t="shared" si="43"/>
        <v>-0.55915371329879093</v>
      </c>
      <c r="I262" s="194"/>
      <c r="J262" s="39"/>
      <c r="K262" s="39"/>
    </row>
    <row r="263" spans="1:11" x14ac:dyDescent="0.25">
      <c r="A263">
        <v>1400</v>
      </c>
      <c r="B263" s="187">
        <v>42865</v>
      </c>
      <c r="C263" s="410">
        <v>2000</v>
      </c>
      <c r="D263" s="206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6">
        <f t="shared" si="43"/>
        <v>-0.51086062201744276</v>
      </c>
      <c r="I263" s="194"/>
      <c r="J263" s="39"/>
      <c r="K263" s="39"/>
    </row>
    <row r="264" spans="1:11" x14ac:dyDescent="0.25">
      <c r="A264">
        <v>1400</v>
      </c>
      <c r="B264" s="187">
        <v>42866</v>
      </c>
      <c r="C264" s="274">
        <v>2000</v>
      </c>
      <c r="D264" s="275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6">
        <f t="shared" ref="H264:H266" si="46">IF(C264=0, D264, (E264-D264)/D264)</f>
        <v>-0.48700016455487904</v>
      </c>
      <c r="I264" s="194"/>
      <c r="J264" s="39"/>
      <c r="K264" s="39"/>
    </row>
    <row r="265" spans="1:11" x14ac:dyDescent="0.25">
      <c r="A265">
        <v>900</v>
      </c>
      <c r="B265" s="187">
        <v>42872</v>
      </c>
      <c r="C265" s="423">
        <v>1500</v>
      </c>
      <c r="D265" s="56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6">
        <f t="shared" si="46"/>
        <v>-0.534610454351232</v>
      </c>
      <c r="I265" s="194"/>
      <c r="J265" s="39"/>
      <c r="K265" s="39"/>
    </row>
    <row r="266" spans="1:11" x14ac:dyDescent="0.25">
      <c r="A266">
        <v>400</v>
      </c>
      <c r="B266" s="187">
        <v>42873</v>
      </c>
      <c r="C266" s="274">
        <v>1000</v>
      </c>
      <c r="D266" s="275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6">
        <f t="shared" si="46"/>
        <v>-0.63027672885081443</v>
      </c>
      <c r="I266" s="194"/>
      <c r="J266" s="39"/>
      <c r="K266" s="39"/>
    </row>
    <row r="267" spans="1:11" x14ac:dyDescent="0.25">
      <c r="A267">
        <v>800</v>
      </c>
      <c r="B267" s="187">
        <v>42950</v>
      </c>
      <c r="C267" s="274">
        <v>1000</v>
      </c>
      <c r="D267" s="275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6">
        <f t="shared" ref="H267" si="49">IF(C267=0, D267, (E267-D267)/D267)</f>
        <v>-0.59909655561829478</v>
      </c>
      <c r="I267" s="194"/>
      <c r="J267" s="39"/>
      <c r="K267" s="39"/>
    </row>
    <row r="268" spans="1:11" x14ac:dyDescent="0.25">
      <c r="B268" s="187"/>
      <c r="C268" s="274"/>
      <c r="D268" s="275"/>
      <c r="E268" s="39"/>
      <c r="F268" s="39"/>
      <c r="G268" s="39"/>
      <c r="H268" s="226"/>
      <c r="I268" s="194"/>
      <c r="J268" s="39"/>
      <c r="K268" s="39"/>
    </row>
    <row r="269" spans="1:11" x14ac:dyDescent="0.25">
      <c r="B269" s="187"/>
      <c r="C269" s="274"/>
      <c r="D269" s="275"/>
      <c r="E269" s="39"/>
      <c r="F269" s="39"/>
      <c r="G269" s="39"/>
      <c r="H269" s="226"/>
      <c r="I269" s="194"/>
      <c r="J269" s="39"/>
      <c r="K269" s="39"/>
    </row>
    <row r="270" spans="1:11" x14ac:dyDescent="0.25">
      <c r="B270" s="187"/>
      <c r="C270" s="274"/>
      <c r="D270" s="275"/>
      <c r="E270" s="39"/>
      <c r="F270" s="39"/>
      <c r="G270" s="39"/>
      <c r="H270" s="226"/>
      <c r="I270" s="194"/>
      <c r="J270" s="39"/>
      <c r="K270" s="39"/>
    </row>
    <row r="271" spans="1:11" x14ac:dyDescent="0.25">
      <c r="B271" s="187"/>
      <c r="C271" s="274"/>
      <c r="D271" s="275"/>
      <c r="E271" s="39"/>
      <c r="F271" s="39"/>
      <c r="G271" s="39"/>
      <c r="H271" s="226"/>
      <c r="I271" s="194"/>
      <c r="J271" s="39"/>
      <c r="K271" s="39"/>
    </row>
    <row r="272" spans="1:11" x14ac:dyDescent="0.25">
      <c r="B272" s="187"/>
      <c r="C272" s="274"/>
      <c r="D272" s="275"/>
      <c r="E272" s="39"/>
      <c r="F272" s="39"/>
      <c r="G272" s="39"/>
      <c r="H272" s="226"/>
      <c r="I272" s="194"/>
      <c r="J272" s="39"/>
      <c r="K272" s="39"/>
    </row>
    <row r="273" spans="2:11" x14ac:dyDescent="0.25">
      <c r="B273" s="187"/>
      <c r="C273" s="274"/>
      <c r="D273" s="275"/>
      <c r="E273" s="39"/>
      <c r="F273" s="39"/>
      <c r="G273" s="39"/>
      <c r="H273" s="226"/>
      <c r="I273" s="194"/>
      <c r="J273" s="39"/>
      <c r="K273" s="39"/>
    </row>
    <row r="274" spans="2:11" x14ac:dyDescent="0.25">
      <c r="B274" s="187"/>
      <c r="C274" s="274"/>
      <c r="D274" s="275"/>
      <c r="E274" s="39"/>
      <c r="F274" s="39"/>
      <c r="G274" s="39"/>
      <c r="H274" s="226"/>
      <c r="I274" s="194"/>
      <c r="J274" s="39"/>
      <c r="K274" s="39"/>
    </row>
    <row r="275" spans="2:11" x14ac:dyDescent="0.25">
      <c r="B275" s="187"/>
      <c r="C275" s="274"/>
      <c r="D275" s="275"/>
      <c r="E275" s="39"/>
      <c r="F275" s="39"/>
      <c r="G275" s="39"/>
      <c r="H275" s="226"/>
      <c r="I275" s="194"/>
      <c r="J275" s="39"/>
      <c r="K275" s="39"/>
    </row>
    <row r="276" spans="2:11" x14ac:dyDescent="0.25">
      <c r="B276" s="187"/>
      <c r="C276" s="274"/>
      <c r="D276" s="275"/>
      <c r="E276" s="39"/>
      <c r="F276" s="39"/>
      <c r="G276" s="39"/>
      <c r="H276" s="226"/>
      <c r="I276" s="194"/>
      <c r="J276" s="39"/>
      <c r="K276" s="39"/>
    </row>
    <row r="277" spans="2:11" x14ac:dyDescent="0.25">
      <c r="B277" s="187"/>
      <c r="C277" s="274"/>
      <c r="D277" s="275"/>
      <c r="E277" s="39"/>
      <c r="F277" s="39"/>
      <c r="G277" s="39"/>
      <c r="H277" s="226"/>
      <c r="I277" s="194"/>
      <c r="J277" s="39"/>
      <c r="K277" s="39"/>
    </row>
    <row r="278" spans="2:11" x14ac:dyDescent="0.25">
      <c r="B278" s="187"/>
      <c r="C278" s="274"/>
      <c r="D278" s="275"/>
      <c r="E278" s="39"/>
      <c r="F278" s="39"/>
      <c r="G278" s="39"/>
      <c r="H278" s="226"/>
      <c r="I278" s="194"/>
      <c r="J278" s="39"/>
      <c r="K278" s="39"/>
    </row>
    <row r="279" spans="2:11" x14ac:dyDescent="0.25">
      <c r="B279" s="187"/>
      <c r="C279" s="274"/>
      <c r="D279" s="275"/>
      <c r="E279" s="39"/>
      <c r="F279" s="39"/>
      <c r="G279" s="39"/>
      <c r="H279" s="226"/>
      <c r="I279" s="194"/>
      <c r="J279" s="39"/>
      <c r="K279" s="39"/>
    </row>
    <row r="280" spans="2:11" x14ac:dyDescent="0.25">
      <c r="B280" s="187"/>
      <c r="C280" s="274"/>
      <c r="D280" s="275"/>
      <c r="E280" s="39"/>
      <c r="F280" s="39"/>
      <c r="G280" s="39"/>
      <c r="H280" s="226"/>
      <c r="I280" s="194"/>
      <c r="J280" s="39"/>
      <c r="K280" s="39"/>
    </row>
    <row r="281" spans="2:11" x14ac:dyDescent="0.25">
      <c r="B281" s="187"/>
      <c r="C281" s="274"/>
      <c r="D281" s="275"/>
      <c r="E281" s="39"/>
      <c r="F281" s="39"/>
      <c r="G281" s="39"/>
      <c r="H281" s="226"/>
      <c r="I281" s="194"/>
      <c r="J281" s="39"/>
      <c r="K281" s="39"/>
    </row>
    <row r="282" spans="2:11" x14ac:dyDescent="0.25">
      <c r="B282" s="187"/>
      <c r="C282" s="274"/>
      <c r="D282" s="275"/>
      <c r="E282" s="39"/>
      <c r="F282" s="39"/>
      <c r="G282" s="39"/>
      <c r="H282" s="226"/>
      <c r="I282" s="194"/>
      <c r="J282" s="39"/>
      <c r="K282" s="39"/>
    </row>
    <row r="283" spans="2:11" x14ac:dyDescent="0.25">
      <c r="B283" s="187"/>
      <c r="C283" s="274"/>
      <c r="D283" s="275"/>
      <c r="E283" s="39"/>
      <c r="F283" s="39"/>
      <c r="G283" s="39"/>
      <c r="H283" s="226"/>
      <c r="I283" s="194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67" priority="74">
      <formula>F12&gt;0</formula>
    </cfRule>
    <cfRule type="expression" dxfId="146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65" priority="67">
      <formula>F124&gt;0</formula>
    </cfRule>
    <cfRule type="expression" dxfId="1464" priority="68">
      <formula>F124&lt;0</formula>
    </cfRule>
  </conditionalFormatting>
  <conditionalFormatting sqref="H124:H130">
    <cfRule type="expression" dxfId="1463" priority="55">
      <formula>H124&gt;0</formula>
    </cfRule>
    <cfRule type="expression" dxfId="1462" priority="56">
      <formula>H124&lt;0</formula>
    </cfRule>
  </conditionalFormatting>
  <conditionalFormatting sqref="H131">
    <cfRule type="expression" dxfId="1461" priority="53">
      <formula>H131&gt;0</formula>
    </cfRule>
    <cfRule type="expression" dxfId="1460" priority="54">
      <formula>H131&lt;0</formula>
    </cfRule>
  </conditionalFormatting>
  <conditionalFormatting sqref="H132">
    <cfRule type="expression" dxfId="1459" priority="51">
      <formula>H132&gt;0</formula>
    </cfRule>
    <cfRule type="expression" dxfId="1458" priority="52">
      <formula>H132&lt;0</formula>
    </cfRule>
  </conditionalFormatting>
  <conditionalFormatting sqref="H133:H135">
    <cfRule type="expression" dxfId="1457" priority="49">
      <formula>H133&gt;0</formula>
    </cfRule>
    <cfRule type="expression" dxfId="1456" priority="50">
      <formula>H133&lt;0</formula>
    </cfRule>
  </conditionalFormatting>
  <conditionalFormatting sqref="H136">
    <cfRule type="expression" dxfId="1455" priority="45">
      <formula>H136&gt;0</formula>
    </cfRule>
    <cfRule type="expression" dxfId="1454" priority="46">
      <formula>H136&lt;0</formula>
    </cfRule>
  </conditionalFormatting>
  <conditionalFormatting sqref="Q7">
    <cfRule type="expression" dxfId="1453" priority="39">
      <formula>Q7&gt;0</formula>
    </cfRule>
    <cfRule type="expression" dxfId="1452" priority="40">
      <formula>Q7&lt;0</formula>
    </cfRule>
  </conditionalFormatting>
  <conditionalFormatting sqref="Q8">
    <cfRule type="expression" dxfId="1451" priority="37">
      <formula>Q8&gt;0</formula>
    </cfRule>
    <cfRule type="expression" dxfId="1450" priority="38">
      <formula>Q8&lt;0</formula>
    </cfRule>
  </conditionalFormatting>
  <conditionalFormatting sqref="F167:F178 H167:H178">
    <cfRule type="expression" dxfId="1449" priority="35">
      <formula>F167&gt;0</formula>
    </cfRule>
    <cfRule type="expression" dxfId="1448" priority="36">
      <formula>F167&lt;0</formula>
    </cfRule>
  </conditionalFormatting>
  <conditionalFormatting sqref="F183:F197 H183:H197">
    <cfRule type="expression" dxfId="1447" priority="33">
      <formula>F183&gt;0</formula>
    </cfRule>
    <cfRule type="expression" dxfId="1446" priority="34">
      <formula>F183&lt;0</formula>
    </cfRule>
  </conditionalFormatting>
  <conditionalFormatting sqref="F198:F206 H198:H206">
    <cfRule type="expression" dxfId="1445" priority="31">
      <formula>F198&gt;0</formula>
    </cfRule>
    <cfRule type="expression" dxfId="1444" priority="32">
      <formula>F198&lt;0</formula>
    </cfRule>
  </conditionalFormatting>
  <conditionalFormatting sqref="F141:F147 H141:H147">
    <cfRule type="expression" dxfId="1443" priority="29">
      <formula>F141&gt;0</formula>
    </cfRule>
    <cfRule type="expression" dxfId="1442" priority="30">
      <formula>F141&lt;0</formula>
    </cfRule>
  </conditionalFormatting>
  <conditionalFormatting sqref="H149:H152 F149:F152">
    <cfRule type="expression" dxfId="1441" priority="27">
      <formula>F149&gt;0</formula>
    </cfRule>
    <cfRule type="expression" dxfId="1440" priority="28">
      <formula>F149&lt;0</formula>
    </cfRule>
  </conditionalFormatting>
  <conditionalFormatting sqref="F226 H215:H218 H257:H260 F257:F260 H226 H231:H233 F231:F233 F235:F244 H235:H244">
    <cfRule type="expression" dxfId="1439" priority="25">
      <formula>F215&gt;0</formula>
    </cfRule>
    <cfRule type="expression" dxfId="1438" priority="26">
      <formula>F215&lt;0</formula>
    </cfRule>
  </conditionalFormatting>
  <conditionalFormatting sqref="F207:F218">
    <cfRule type="expression" dxfId="1437" priority="23">
      <formula>F207&gt;0</formula>
    </cfRule>
    <cfRule type="expression" dxfId="1436" priority="24">
      <formula>F207&lt;0</formula>
    </cfRule>
  </conditionalFormatting>
  <conditionalFormatting sqref="H207:H208">
    <cfRule type="expression" dxfId="1435" priority="21">
      <formula>H207&gt;0</formula>
    </cfRule>
    <cfRule type="expression" dxfId="1434" priority="22">
      <formula>H207&lt;0</formula>
    </cfRule>
  </conditionalFormatting>
  <conditionalFormatting sqref="H209">
    <cfRule type="expression" dxfId="1433" priority="19">
      <formula>H209&gt;0</formula>
    </cfRule>
    <cfRule type="expression" dxfId="1432" priority="20">
      <formula>H209&lt;0</formula>
    </cfRule>
  </conditionalFormatting>
  <conditionalFormatting sqref="H210">
    <cfRule type="expression" dxfId="1431" priority="17">
      <formula>H210&gt;0</formula>
    </cfRule>
    <cfRule type="expression" dxfId="1430" priority="18">
      <formula>H210&lt;0</formula>
    </cfRule>
  </conditionalFormatting>
  <conditionalFormatting sqref="H211:H213">
    <cfRule type="expression" dxfId="1429" priority="15">
      <formula>H211&gt;0</formula>
    </cfRule>
    <cfRule type="expression" dxfId="1428" priority="16">
      <formula>H211&lt;0</formula>
    </cfRule>
  </conditionalFormatting>
  <conditionalFormatting sqref="H214">
    <cfRule type="expression" dxfId="1427" priority="13">
      <formula>H214&gt;0</formula>
    </cfRule>
    <cfRule type="expression" dxfId="1426" priority="14">
      <formula>H214&lt;0</formula>
    </cfRule>
  </conditionalFormatting>
  <conditionalFormatting sqref="F245:F256 H245:H256">
    <cfRule type="expression" dxfId="1425" priority="11">
      <formula>F245&gt;0</formula>
    </cfRule>
    <cfRule type="expression" dxfId="1424" priority="12">
      <formula>F245&lt;0</formula>
    </cfRule>
  </conditionalFormatting>
  <conditionalFormatting sqref="F261:F275 H261:H275">
    <cfRule type="expression" dxfId="1423" priority="9">
      <formula>F261&gt;0</formula>
    </cfRule>
    <cfRule type="expression" dxfId="1422" priority="10">
      <formula>F261&lt;0</formula>
    </cfRule>
  </conditionalFormatting>
  <conditionalFormatting sqref="F276:F283 H276:H283">
    <cfRule type="expression" dxfId="1421" priority="7">
      <formula>F276&gt;0</formula>
    </cfRule>
    <cfRule type="expression" dxfId="1420" priority="8">
      <formula>F276&lt;0</formula>
    </cfRule>
  </conditionalFormatting>
  <conditionalFormatting sqref="F219:F225 H219:H225">
    <cfRule type="expression" dxfId="1419" priority="5">
      <formula>F219&gt;0</formula>
    </cfRule>
    <cfRule type="expression" dxfId="1418" priority="6">
      <formula>F219&lt;0</formula>
    </cfRule>
  </conditionalFormatting>
  <conditionalFormatting sqref="H227:H230 F227:F230">
    <cfRule type="expression" dxfId="1417" priority="3">
      <formula>F227&gt;0</formula>
    </cfRule>
    <cfRule type="expression" dxfId="1416" priority="4">
      <formula>F227&lt;0</formula>
    </cfRule>
  </conditionalFormatting>
  <conditionalFormatting sqref="H234 F234">
    <cfRule type="expression" dxfId="1415" priority="1">
      <formula>F234&gt;0</formula>
    </cfRule>
    <cfRule type="expression" dxfId="141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138.76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138.76</v>
      </c>
      <c r="R4" s="478">
        <v>1.4800000000000001E-2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5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5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5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5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5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5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5"/>
      <c r="I33" s="230"/>
      <c r="J33" s="230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5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5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5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5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5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5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5"/>
      <c r="I40" s="39"/>
      <c r="J40" s="39"/>
      <c r="O40" s="847" t="s">
        <v>78</v>
      </c>
      <c r="P40" s="84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5"/>
      <c r="I41" s="39"/>
      <c r="J41" s="39"/>
      <c r="O41" s="81">
        <v>1.1000000000000001</v>
      </c>
      <c r="P41" s="81">
        <f>O41*$Q$4</f>
        <v>152.636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5"/>
      <c r="I42" s="39"/>
      <c r="J42" s="39"/>
      <c r="O42" s="81">
        <v>1.0900000000000001</v>
      </c>
      <c r="P42" s="81">
        <f t="shared" ref="P42:P61" si="2">O42*$Q$4</f>
        <v>151.2484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5"/>
      <c r="I43" s="39"/>
      <c r="J43" s="39"/>
      <c r="O43" s="81">
        <v>1.08</v>
      </c>
      <c r="P43" s="81">
        <f t="shared" si="2"/>
        <v>149.86080000000001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5"/>
      <c r="I44" s="39"/>
      <c r="J44" s="39"/>
      <c r="O44" s="81">
        <v>1.07</v>
      </c>
      <c r="P44" s="81">
        <f t="shared" si="2"/>
        <v>148.47319999999999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5"/>
      <c r="I45" s="39"/>
      <c r="J45" s="39"/>
      <c r="O45" s="81">
        <v>1.06</v>
      </c>
      <c r="P45" s="81">
        <f t="shared" si="2"/>
        <v>147.0856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5"/>
      <c r="I46" s="39"/>
      <c r="J46" s="39"/>
      <c r="O46" s="81">
        <v>1.05</v>
      </c>
      <c r="P46" s="81">
        <f t="shared" si="2"/>
        <v>145.69800000000001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5"/>
      <c r="I47" s="230"/>
      <c r="J47" s="230"/>
      <c r="O47" s="81">
        <v>1.04</v>
      </c>
      <c r="P47" s="81">
        <f t="shared" si="2"/>
        <v>144.31039999999999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5"/>
      <c r="I48" s="39"/>
      <c r="J48" s="39"/>
      <c r="O48" s="81">
        <v>1.03</v>
      </c>
      <c r="P48" s="81">
        <f t="shared" si="2"/>
        <v>142.9228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5"/>
      <c r="I49" s="39"/>
      <c r="J49" s="39"/>
      <c r="O49" s="81">
        <v>1.02</v>
      </c>
      <c r="P49" s="81">
        <f t="shared" si="2"/>
        <v>141.5352</v>
      </c>
      <c r="Q49" s="2"/>
      <c r="T49" s="91" t="s">
        <v>121</v>
      </c>
      <c r="U49" s="127" t="s">
        <v>391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5"/>
      <c r="I50" s="39"/>
      <c r="J50" s="39"/>
      <c r="O50" s="81">
        <v>1.01</v>
      </c>
      <c r="P50" s="81">
        <f t="shared" si="2"/>
        <v>140.14759999999998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5"/>
      <c r="I51" s="39"/>
      <c r="J51" s="39"/>
      <c r="O51" s="81">
        <v>1</v>
      </c>
      <c r="P51" s="81">
        <f t="shared" si="2"/>
        <v>138.76</v>
      </c>
      <c r="Q51" s="2"/>
      <c r="T51" s="91" t="s">
        <v>104</v>
      </c>
      <c r="U51" s="127" t="s">
        <v>605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5"/>
      <c r="I52" s="39"/>
      <c r="J52" s="39"/>
      <c r="O52" s="81">
        <v>0.99</v>
      </c>
      <c r="P52" s="81">
        <f t="shared" si="2"/>
        <v>137.3724</v>
      </c>
      <c r="Q52" s="2"/>
      <c r="T52" s="91" t="s">
        <v>105</v>
      </c>
      <c r="U52" s="127" t="s">
        <v>423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5"/>
      <c r="I53" s="39"/>
      <c r="J53" s="39"/>
      <c r="O53" s="81">
        <v>0.98</v>
      </c>
      <c r="P53" s="81">
        <f t="shared" si="2"/>
        <v>135.98479999999998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5"/>
      <c r="I54" s="39"/>
      <c r="J54" s="39"/>
      <c r="O54" s="81">
        <v>0.97</v>
      </c>
      <c r="P54" s="81">
        <f t="shared" si="2"/>
        <v>134.59719999999999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5"/>
      <c r="I55" s="39"/>
      <c r="J55" s="39"/>
      <c r="O55" s="81">
        <v>0.96</v>
      </c>
      <c r="P55" s="81">
        <f t="shared" si="2"/>
        <v>133.20959999999999</v>
      </c>
      <c r="T55" s="91" t="s">
        <v>107</v>
      </c>
      <c r="U55" s="127" t="s">
        <v>606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5"/>
      <c r="I56" s="39"/>
      <c r="J56" s="39"/>
      <c r="O56" s="81">
        <v>0.95</v>
      </c>
      <c r="P56" s="81">
        <f t="shared" si="2"/>
        <v>131.82199999999997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5"/>
      <c r="I57" s="39"/>
      <c r="J57" s="39"/>
      <c r="O57" s="81">
        <v>0.94</v>
      </c>
      <c r="P57" s="81">
        <f t="shared" si="2"/>
        <v>130.43439999999998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5"/>
      <c r="I58" s="39"/>
      <c r="J58" s="39"/>
      <c r="O58" s="81">
        <v>0.93</v>
      </c>
      <c r="P58" s="81">
        <f t="shared" si="2"/>
        <v>129.04679999999999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5"/>
      <c r="I59" s="39"/>
      <c r="J59" s="39"/>
      <c r="O59" s="81">
        <v>0.92</v>
      </c>
      <c r="P59" s="81">
        <f t="shared" si="2"/>
        <v>127.6592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5"/>
      <c r="I60" s="39"/>
      <c r="J60" s="39"/>
      <c r="O60" s="81">
        <v>0.91</v>
      </c>
      <c r="P60" s="81">
        <f t="shared" si="2"/>
        <v>126.27159999999999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5"/>
      <c r="I61" s="39"/>
      <c r="J61" s="39"/>
      <c r="O61" s="81">
        <v>0.9</v>
      </c>
      <c r="P61" s="81">
        <f t="shared" si="2"/>
        <v>124.884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5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5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5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5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5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5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5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5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5" t="s">
        <v>1</v>
      </c>
      <c r="B72" s="550" t="s">
        <v>2</v>
      </c>
      <c r="C72" s="255" t="s">
        <v>4</v>
      </c>
      <c r="D72" s="256" t="s">
        <v>5</v>
      </c>
      <c r="E72" s="256" t="s">
        <v>94</v>
      </c>
      <c r="F72" s="256" t="s">
        <v>60</v>
      </c>
      <c r="G72" s="255" t="s">
        <v>3</v>
      </c>
      <c r="H72" s="255" t="s">
        <v>6</v>
      </c>
      <c r="I72" s="256" t="s">
        <v>7</v>
      </c>
      <c r="J72" s="256" t="s">
        <v>95</v>
      </c>
      <c r="K72" s="256" t="s">
        <v>61</v>
      </c>
      <c r="L72" s="255" t="s">
        <v>37</v>
      </c>
      <c r="M72" s="255" t="s">
        <v>38</v>
      </c>
    </row>
    <row r="73" spans="1:31" x14ac:dyDescent="0.25">
      <c r="A73" s="257" t="s">
        <v>309</v>
      </c>
      <c r="B73" s="551">
        <v>42704</v>
      </c>
      <c r="C73" s="253">
        <v>40</v>
      </c>
      <c r="D73" s="254">
        <v>83.05</v>
      </c>
      <c r="E73" s="254">
        <v>0</v>
      </c>
      <c r="F73" s="254">
        <f>C73*D73+E73</f>
        <v>3322</v>
      </c>
      <c r="G73" s="551">
        <v>42739</v>
      </c>
      <c r="H73" s="259">
        <v>40</v>
      </c>
      <c r="I73" s="254">
        <v>96.5</v>
      </c>
      <c r="J73" s="254">
        <v>0.08</v>
      </c>
      <c r="K73" s="254">
        <f>I73*H73-J73</f>
        <v>3859.92</v>
      </c>
      <c r="L73" s="258"/>
      <c r="M73" s="254"/>
    </row>
    <row r="74" spans="1:31" x14ac:dyDescent="0.25">
      <c r="A74" s="260" t="s">
        <v>71</v>
      </c>
      <c r="B74" s="645">
        <v>42768</v>
      </c>
      <c r="C74" s="634">
        <v>40</v>
      </c>
      <c r="D74" s="632">
        <v>91.52</v>
      </c>
      <c r="E74" s="632">
        <v>0</v>
      </c>
      <c r="F74" s="632">
        <f>D74*C74+E74</f>
        <v>3660.7999999999997</v>
      </c>
      <c r="G74" s="645">
        <v>42803</v>
      </c>
      <c r="H74" s="634">
        <v>20</v>
      </c>
      <c r="I74" s="632">
        <v>91.58</v>
      </c>
      <c r="J74" s="632">
        <v>0.04</v>
      </c>
      <c r="K74" s="632">
        <f>I74*H74-J74</f>
        <v>1831.56</v>
      </c>
      <c r="L74" s="633"/>
      <c r="M74" s="632"/>
    </row>
    <row r="75" spans="1:31" x14ac:dyDescent="0.25">
      <c r="A75" s="253"/>
      <c r="B75" s="645">
        <v>42768</v>
      </c>
      <c r="C75" s="634">
        <v>40</v>
      </c>
      <c r="D75" s="632">
        <v>88.8</v>
      </c>
      <c r="E75" s="632">
        <v>0</v>
      </c>
      <c r="F75" s="632">
        <f>D75*C75+E75</f>
        <v>3552</v>
      </c>
      <c r="G75" s="645">
        <v>42803</v>
      </c>
      <c r="H75" s="643">
        <v>20</v>
      </c>
      <c r="I75" s="632">
        <v>92.2</v>
      </c>
      <c r="J75" s="632">
        <v>0.04</v>
      </c>
      <c r="K75" s="632">
        <f t="shared" ref="K75:K76" si="3">I75*H75-J75</f>
        <v>1843.96</v>
      </c>
      <c r="L75" s="634"/>
      <c r="M75" s="634"/>
    </row>
    <row r="76" spans="1:31" x14ac:dyDescent="0.25">
      <c r="A76" s="253"/>
      <c r="B76" s="645"/>
      <c r="C76" s="634"/>
      <c r="D76" s="632"/>
      <c r="E76" s="632"/>
      <c r="F76" s="632"/>
      <c r="G76" s="645">
        <v>42803</v>
      </c>
      <c r="H76" s="643">
        <v>40</v>
      </c>
      <c r="I76" s="632">
        <v>93</v>
      </c>
      <c r="J76" s="632">
        <v>0.08</v>
      </c>
      <c r="K76" s="632">
        <f t="shared" si="3"/>
        <v>3719.92</v>
      </c>
      <c r="L76" s="634"/>
      <c r="M76" s="634"/>
    </row>
    <row r="77" spans="1:31" x14ac:dyDescent="0.25">
      <c r="A77" s="253"/>
      <c r="B77" s="551"/>
      <c r="C77" s="253"/>
      <c r="D77" s="254"/>
      <c r="E77" s="254"/>
      <c r="F77" s="254"/>
      <c r="G77" s="551"/>
      <c r="H77" s="259"/>
      <c r="I77" s="254"/>
      <c r="J77" s="254"/>
      <c r="K77" s="254"/>
      <c r="L77" s="253"/>
      <c r="M77" s="253"/>
    </row>
    <row r="78" spans="1:31" x14ac:dyDescent="0.25">
      <c r="A78" s="253"/>
      <c r="B78" s="551"/>
      <c r="C78" s="253"/>
      <c r="D78" s="254"/>
      <c r="E78" s="254"/>
      <c r="F78" s="254"/>
      <c r="G78" s="551"/>
      <c r="H78" s="259"/>
      <c r="I78" s="254"/>
      <c r="J78" s="254"/>
      <c r="K78" s="254"/>
      <c r="L78" s="253"/>
      <c r="M78" s="253"/>
    </row>
    <row r="79" spans="1:31" x14ac:dyDescent="0.25">
      <c r="A79" s="253"/>
      <c r="B79" s="551"/>
      <c r="C79" s="253"/>
      <c r="D79" s="254"/>
      <c r="E79" s="254"/>
      <c r="F79" s="254"/>
      <c r="G79" s="551"/>
      <c r="H79" s="259"/>
      <c r="I79" s="254"/>
      <c r="J79" s="254"/>
      <c r="K79" s="254"/>
      <c r="L79" s="253"/>
      <c r="M79" s="253"/>
    </row>
    <row r="80" spans="1:31" x14ac:dyDescent="0.25">
      <c r="A80" s="253"/>
      <c r="B80" s="551"/>
      <c r="C80" s="253"/>
      <c r="D80" s="254"/>
      <c r="E80" s="254"/>
      <c r="F80" s="254"/>
      <c r="G80" s="551"/>
      <c r="H80" s="259"/>
      <c r="I80" s="254"/>
      <c r="J80" s="254"/>
      <c r="K80" s="254"/>
      <c r="L80" s="253"/>
      <c r="M80" s="253"/>
    </row>
    <row r="81" spans="1:13" x14ac:dyDescent="0.25">
      <c r="A81" s="253"/>
      <c r="B81" s="551"/>
      <c r="C81" s="253"/>
      <c r="D81" s="254"/>
      <c r="E81" s="254"/>
      <c r="F81" s="254"/>
      <c r="G81" s="551"/>
      <c r="H81" s="259"/>
      <c r="I81" s="254"/>
      <c r="J81" s="254"/>
      <c r="K81" s="254"/>
      <c r="L81" s="253"/>
      <c r="M81" s="253"/>
    </row>
    <row r="82" spans="1:13" x14ac:dyDescent="0.25">
      <c r="A82" s="253"/>
      <c r="B82" s="551"/>
      <c r="C82" s="253"/>
      <c r="D82" s="254"/>
      <c r="E82" s="254"/>
      <c r="F82" s="254"/>
      <c r="G82" s="551"/>
      <c r="H82" s="259"/>
      <c r="I82" s="254"/>
      <c r="J82" s="254"/>
      <c r="K82" s="254"/>
      <c r="L82" s="253"/>
      <c r="M82" s="253"/>
    </row>
    <row r="83" spans="1:13" x14ac:dyDescent="0.25">
      <c r="A83" s="253"/>
      <c r="B83" s="551"/>
      <c r="C83" s="253"/>
      <c r="D83" s="254"/>
      <c r="E83" s="254"/>
      <c r="F83" s="254"/>
      <c r="G83" s="551"/>
      <c r="H83" s="259"/>
      <c r="I83" s="254"/>
      <c r="J83" s="254"/>
      <c r="K83" s="254"/>
      <c r="L83" s="253"/>
      <c r="M83" s="253"/>
    </row>
    <row r="84" spans="1:13" x14ac:dyDescent="0.25">
      <c r="A84" s="253"/>
      <c r="B84" s="551"/>
      <c r="C84" s="253"/>
      <c r="D84" s="254"/>
      <c r="E84" s="254"/>
      <c r="F84" s="254"/>
      <c r="G84" s="551"/>
      <c r="H84" s="259"/>
      <c r="I84" s="254"/>
      <c r="J84" s="254"/>
      <c r="K84" s="254"/>
      <c r="L84" s="253"/>
      <c r="M84" s="253"/>
    </row>
    <row r="85" spans="1:13" x14ac:dyDescent="0.25">
      <c r="A85" s="253"/>
      <c r="B85" s="551"/>
      <c r="C85" s="253"/>
      <c r="D85" s="254"/>
      <c r="E85" s="254"/>
      <c r="F85" s="254"/>
      <c r="G85" s="551"/>
      <c r="H85" s="259"/>
      <c r="I85" s="254"/>
      <c r="J85" s="254"/>
      <c r="K85" s="254"/>
      <c r="L85" s="253"/>
      <c r="M85" s="253"/>
    </row>
    <row r="86" spans="1:13" x14ac:dyDescent="0.25">
      <c r="A86" s="253"/>
      <c r="B86" s="551"/>
      <c r="C86" s="253"/>
      <c r="D86" s="254"/>
      <c r="E86" s="254"/>
      <c r="F86" s="254"/>
      <c r="G86" s="551"/>
      <c r="H86" s="259"/>
      <c r="I86" s="254"/>
      <c r="J86" s="254"/>
      <c r="K86" s="254"/>
      <c r="L86" s="253"/>
      <c r="M86" s="253"/>
    </row>
    <row r="87" spans="1:13" x14ac:dyDescent="0.25">
      <c r="A87" s="253"/>
      <c r="B87" s="551"/>
      <c r="C87" s="253"/>
      <c r="D87" s="254"/>
      <c r="E87" s="254"/>
      <c r="F87" s="254"/>
      <c r="G87" s="551"/>
      <c r="H87" s="259"/>
      <c r="I87" s="254"/>
      <c r="J87" s="254"/>
      <c r="K87" s="254"/>
      <c r="L87" s="253"/>
      <c r="M87" s="253"/>
    </row>
    <row r="88" spans="1:13" x14ac:dyDescent="0.25">
      <c r="A88" s="253"/>
      <c r="B88" s="551"/>
      <c r="C88" s="253"/>
      <c r="D88" s="254"/>
      <c r="E88" s="254"/>
      <c r="F88" s="254"/>
      <c r="G88" s="551"/>
      <c r="H88" s="253"/>
      <c r="I88" s="254"/>
      <c r="J88" s="254"/>
      <c r="K88" s="254"/>
      <c r="L88" s="253"/>
      <c r="M88" s="253"/>
    </row>
    <row r="89" spans="1:13" x14ac:dyDescent="0.25">
      <c r="A89" s="31" t="s">
        <v>81</v>
      </c>
      <c r="B89" s="48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2" t="s">
        <v>194</v>
      </c>
      <c r="B90" s="552"/>
      <c r="C90" s="444">
        <f>SumByColor($A$19,C73:C88)</f>
        <v>0</v>
      </c>
      <c r="D90" s="444"/>
      <c r="E90" s="444"/>
      <c r="F90" s="445">
        <f>SumByColor($A$19,F73:F88)</f>
        <v>0</v>
      </c>
      <c r="G90" s="444"/>
      <c r="H90" s="444">
        <f>SumByColor($A$19,H73:H88)</f>
        <v>0</v>
      </c>
      <c r="I90" s="444"/>
      <c r="J90" s="444"/>
      <c r="K90" s="445">
        <f>SumByColor($A$19,K73:K88)</f>
        <v>0</v>
      </c>
      <c r="L90" s="444"/>
      <c r="M90" s="445">
        <f>SumByColor($A$19,M73:M88)</f>
        <v>0</v>
      </c>
    </row>
    <row r="95" spans="1:13" x14ac:dyDescent="0.25">
      <c r="B95" s="483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</row>
    <row r="96" spans="1:13" x14ac:dyDescent="0.25">
      <c r="B96" s="624">
        <v>42704</v>
      </c>
      <c r="C96" s="365">
        <v>40</v>
      </c>
      <c r="D96" s="366">
        <v>83.05</v>
      </c>
      <c r="E96" s="366">
        <v>82.85</v>
      </c>
      <c r="F96" s="366">
        <f>C96*(E96-D96)</f>
        <v>-8.0000000000001137</v>
      </c>
      <c r="G96" s="366">
        <f>D96*C96</f>
        <v>3322</v>
      </c>
      <c r="H96" s="367">
        <f>(E96-D96)/D96</f>
        <v>-2.4081878386514491E-3</v>
      </c>
      <c r="I96" s="366"/>
    </row>
    <row r="97" spans="1:10" x14ac:dyDescent="0.25">
      <c r="B97" s="624">
        <v>42708</v>
      </c>
      <c r="C97" s="365">
        <v>40</v>
      </c>
      <c r="D97" s="366">
        <v>83.05</v>
      </c>
      <c r="E97" s="366">
        <v>83.35</v>
      </c>
      <c r="F97" s="366">
        <f>C97*(E97-D97)</f>
        <v>11.999999999999886</v>
      </c>
      <c r="G97" s="366">
        <f>D97*C97</f>
        <v>3322</v>
      </c>
      <c r="H97" s="367">
        <f>(E97-D97)/D97</f>
        <v>3.612281757977088E-3</v>
      </c>
      <c r="I97" s="366"/>
    </row>
    <row r="98" spans="1:10" x14ac:dyDescent="0.25">
      <c r="B98" s="624">
        <v>42729</v>
      </c>
      <c r="C98" s="365">
        <v>40</v>
      </c>
      <c r="D98" s="366">
        <v>83.05</v>
      </c>
      <c r="E98" s="366">
        <v>93</v>
      </c>
      <c r="F98" s="366">
        <f>C98*(E98-D98)</f>
        <v>398.00000000000011</v>
      </c>
      <c r="G98" s="366">
        <f>D98*C98</f>
        <v>3322</v>
      </c>
      <c r="H98" s="367">
        <f>(E98-D98)/D98</f>
        <v>0.11980734497290793</v>
      </c>
      <c r="I98" s="366"/>
    </row>
    <row r="99" spans="1:10" x14ac:dyDescent="0.25">
      <c r="B99" s="624">
        <v>42739</v>
      </c>
      <c r="C99" s="365">
        <v>0</v>
      </c>
      <c r="D99" s="366"/>
      <c r="E99" s="366"/>
      <c r="F99" s="366">
        <v>537.91999999999996</v>
      </c>
      <c r="G99" s="366"/>
      <c r="H99" s="367"/>
      <c r="I99" s="366"/>
    </row>
    <row r="100" spans="1:10" x14ac:dyDescent="0.25">
      <c r="A100" t="s">
        <v>353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5">
        <f>(E100-D100)/D100</f>
        <v>-4.7692990239573269E-3</v>
      </c>
      <c r="I100" s="39"/>
      <c r="J100" s="39"/>
    </row>
    <row r="101" spans="1:10" x14ac:dyDescent="0.25">
      <c r="A101" t="s">
        <v>353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5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5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5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5"/>
      <c r="I104" s="39"/>
      <c r="J104" s="39"/>
    </row>
    <row r="105" spans="1:10" x14ac:dyDescent="0.25">
      <c r="B105" s="624"/>
      <c r="C105" s="365"/>
      <c r="D105" s="366"/>
      <c r="E105" s="366"/>
      <c r="F105" s="366"/>
      <c r="G105" s="366"/>
      <c r="H105" s="367"/>
      <c r="I105" s="366"/>
    </row>
    <row r="106" spans="1:10" x14ac:dyDescent="0.25">
      <c r="B106" s="624"/>
      <c r="C106" s="365"/>
      <c r="D106" s="366"/>
      <c r="E106" s="366"/>
      <c r="F106" s="366"/>
      <c r="G106" s="366"/>
      <c r="H106" s="367"/>
      <c r="I106" s="366"/>
    </row>
    <row r="107" spans="1:10" x14ac:dyDescent="0.25">
      <c r="B107" s="624"/>
      <c r="C107" s="365"/>
      <c r="D107" s="366"/>
      <c r="E107" s="366"/>
      <c r="F107" s="366"/>
      <c r="G107" s="366"/>
      <c r="H107" s="367"/>
      <c r="I107" s="366"/>
    </row>
    <row r="108" spans="1:10" x14ac:dyDescent="0.25">
      <c r="B108" s="624"/>
      <c r="C108" s="365"/>
      <c r="D108" s="366"/>
      <c r="E108" s="366"/>
      <c r="F108" s="366"/>
      <c r="G108" s="366"/>
      <c r="H108" s="367"/>
      <c r="I108" s="366"/>
    </row>
    <row r="109" spans="1:10" x14ac:dyDescent="0.25">
      <c r="B109" s="624"/>
      <c r="C109" s="365"/>
      <c r="D109" s="366"/>
      <c r="E109" s="366"/>
      <c r="F109" s="366"/>
      <c r="G109" s="366"/>
      <c r="H109" s="367"/>
      <c r="I109" s="366"/>
    </row>
    <row r="110" spans="1:10" x14ac:dyDescent="0.25">
      <c r="B110" s="624"/>
      <c r="C110" s="365"/>
      <c r="D110" s="366"/>
      <c r="E110" s="366"/>
      <c r="F110" s="366"/>
      <c r="G110" s="366"/>
      <c r="H110" s="367"/>
      <c r="I110" s="366"/>
    </row>
    <row r="111" spans="1:10" x14ac:dyDescent="0.25">
      <c r="B111" s="624"/>
      <c r="C111" s="365"/>
      <c r="D111" s="366"/>
      <c r="E111" s="366"/>
      <c r="F111" s="366"/>
      <c r="G111" s="366"/>
      <c r="H111" s="367"/>
      <c r="I111" s="366"/>
    </row>
    <row r="112" spans="1:10" x14ac:dyDescent="0.25">
      <c r="B112" s="624"/>
      <c r="C112" s="365"/>
      <c r="D112" s="366"/>
      <c r="E112" s="366"/>
      <c r="F112" s="366"/>
      <c r="G112" s="366"/>
      <c r="H112" s="367"/>
      <c r="I112" s="366"/>
    </row>
    <row r="113" spans="2:9" x14ac:dyDescent="0.25">
      <c r="B113" s="624"/>
      <c r="C113" s="365"/>
      <c r="D113" s="366"/>
      <c r="E113" s="366"/>
      <c r="F113" s="366"/>
      <c r="G113" s="366"/>
      <c r="H113" s="367"/>
      <c r="I113" s="366"/>
    </row>
    <row r="114" spans="2:9" x14ac:dyDescent="0.25">
      <c r="B114" s="624"/>
      <c r="C114" s="365"/>
      <c r="D114" s="366"/>
      <c r="E114" s="366"/>
      <c r="F114" s="366"/>
      <c r="G114" s="366"/>
      <c r="H114" s="367"/>
      <c r="I114" s="366"/>
    </row>
    <row r="115" spans="2:9" x14ac:dyDescent="0.25">
      <c r="B115" s="624"/>
      <c r="C115" s="365"/>
      <c r="D115" s="366"/>
      <c r="E115" s="366"/>
      <c r="F115" s="366"/>
      <c r="G115" s="366"/>
      <c r="H115" s="367"/>
      <c r="I115" s="366"/>
    </row>
    <row r="116" spans="2:9" x14ac:dyDescent="0.25">
      <c r="B116" s="624"/>
      <c r="C116" s="365"/>
      <c r="D116" s="366"/>
      <c r="E116" s="366"/>
      <c r="F116" s="366"/>
      <c r="G116" s="366"/>
      <c r="H116" s="367"/>
      <c r="I116" s="366"/>
    </row>
    <row r="117" spans="2:9" x14ac:dyDescent="0.25">
      <c r="B117" s="624"/>
      <c r="C117" s="365"/>
      <c r="D117" s="366"/>
      <c r="E117" s="366"/>
      <c r="F117" s="366"/>
      <c r="G117" s="366"/>
      <c r="H117" s="367"/>
      <c r="I117" s="366"/>
    </row>
    <row r="118" spans="2:9" x14ac:dyDescent="0.25">
      <c r="B118" s="624"/>
      <c r="C118" s="365"/>
      <c r="D118" s="366"/>
      <c r="E118" s="366"/>
      <c r="F118" s="366"/>
      <c r="G118" s="366"/>
      <c r="H118" s="367"/>
      <c r="I118" s="446"/>
    </row>
    <row r="119" spans="2:9" x14ac:dyDescent="0.25">
      <c r="B119" s="624"/>
      <c r="C119" s="365"/>
      <c r="D119" s="366"/>
      <c r="E119" s="366"/>
      <c r="F119" s="366"/>
      <c r="G119" s="366"/>
      <c r="H119" s="367"/>
      <c r="I119" s="366"/>
    </row>
    <row r="120" spans="2:9" x14ac:dyDescent="0.25">
      <c r="B120" s="624"/>
      <c r="C120" s="365"/>
      <c r="D120" s="366"/>
      <c r="E120" s="366"/>
      <c r="F120" s="366"/>
      <c r="G120" s="366"/>
      <c r="H120" s="367"/>
      <c r="I120" s="366"/>
    </row>
    <row r="121" spans="2:9" x14ac:dyDescent="0.25">
      <c r="B121" s="624"/>
      <c r="C121" s="365"/>
      <c r="D121" s="366"/>
      <c r="E121" s="366"/>
      <c r="F121" s="366"/>
      <c r="G121" s="366"/>
      <c r="H121" s="367"/>
      <c r="I121" s="366"/>
    </row>
    <row r="122" spans="2:9" x14ac:dyDescent="0.25">
      <c r="B122" s="624"/>
      <c r="C122" s="365"/>
      <c r="D122" s="366"/>
      <c r="E122" s="366"/>
      <c r="F122" s="366"/>
      <c r="G122" s="366"/>
      <c r="H122" s="367"/>
      <c r="I122" s="366"/>
    </row>
    <row r="123" spans="2:9" x14ac:dyDescent="0.25">
      <c r="B123" s="624"/>
      <c r="C123" s="365"/>
      <c r="D123" s="366"/>
      <c r="E123" s="366"/>
      <c r="F123" s="366"/>
      <c r="G123" s="366"/>
      <c r="H123" s="367"/>
      <c r="I123" s="366"/>
    </row>
    <row r="124" spans="2:9" x14ac:dyDescent="0.25">
      <c r="B124" s="624"/>
      <c r="C124" s="365"/>
      <c r="D124" s="366"/>
      <c r="E124" s="366"/>
      <c r="F124" s="366"/>
      <c r="G124" s="366"/>
      <c r="H124" s="367"/>
      <c r="I124" s="366"/>
    </row>
    <row r="125" spans="2:9" x14ac:dyDescent="0.25">
      <c r="B125" s="624"/>
      <c r="C125" s="365"/>
      <c r="D125" s="366"/>
      <c r="E125" s="366"/>
      <c r="F125" s="366"/>
      <c r="G125" s="366"/>
      <c r="H125" s="367"/>
      <c r="I125" s="366"/>
    </row>
    <row r="126" spans="2:9" x14ac:dyDescent="0.25">
      <c r="B126" s="624"/>
      <c r="C126" s="365"/>
      <c r="D126" s="366"/>
      <c r="E126" s="366"/>
      <c r="F126" s="366"/>
      <c r="G126" s="366"/>
      <c r="H126" s="367"/>
      <c r="I126" s="366"/>
    </row>
    <row r="127" spans="2:9" x14ac:dyDescent="0.25">
      <c r="B127" s="624"/>
      <c r="C127" s="365"/>
      <c r="D127" s="366"/>
      <c r="E127" s="366"/>
      <c r="F127" s="366"/>
      <c r="G127" s="366"/>
      <c r="H127" s="367"/>
      <c r="I127" s="366"/>
    </row>
    <row r="128" spans="2:9" x14ac:dyDescent="0.25">
      <c r="B128" s="624"/>
      <c r="C128" s="365"/>
      <c r="D128" s="366"/>
      <c r="E128" s="366"/>
      <c r="F128" s="366"/>
      <c r="G128" s="366"/>
      <c r="H128" s="367"/>
      <c r="I128" s="366"/>
    </row>
    <row r="129" spans="2:9" x14ac:dyDescent="0.25">
      <c r="B129" s="624"/>
      <c r="C129" s="365"/>
      <c r="D129" s="366"/>
      <c r="E129" s="366"/>
      <c r="F129" s="366"/>
      <c r="G129" s="366"/>
      <c r="H129" s="367"/>
      <c r="I129" s="366"/>
    </row>
    <row r="130" spans="2:9" x14ac:dyDescent="0.25">
      <c r="B130" s="624"/>
      <c r="C130" s="365"/>
      <c r="D130" s="366"/>
      <c r="E130" s="366"/>
      <c r="F130" s="366"/>
      <c r="G130" s="366"/>
      <c r="H130" s="367"/>
      <c r="I130" s="366"/>
    </row>
    <row r="131" spans="2:9" x14ac:dyDescent="0.25">
      <c r="B131" s="624"/>
      <c r="C131" s="365"/>
      <c r="D131" s="366"/>
      <c r="E131" s="366"/>
      <c r="F131" s="366"/>
      <c r="G131" s="366"/>
      <c r="H131" s="367"/>
      <c r="I131" s="366"/>
    </row>
    <row r="132" spans="2:9" x14ac:dyDescent="0.25">
      <c r="B132" s="624"/>
      <c r="C132" s="365"/>
      <c r="D132" s="366"/>
      <c r="E132" s="366"/>
      <c r="F132" s="366"/>
      <c r="G132" s="366"/>
      <c r="H132" s="367"/>
      <c r="I132" s="366"/>
    </row>
    <row r="133" spans="2:9" x14ac:dyDescent="0.25">
      <c r="B133" s="624"/>
      <c r="C133" s="365"/>
      <c r="D133" s="366"/>
      <c r="E133" s="366"/>
      <c r="F133" s="366"/>
      <c r="G133" s="366"/>
      <c r="H133" s="367"/>
      <c r="I133" s="366"/>
    </row>
    <row r="134" spans="2:9" x14ac:dyDescent="0.25">
      <c r="B134" s="624"/>
      <c r="C134" s="365"/>
      <c r="D134" s="366"/>
      <c r="E134" s="366"/>
      <c r="F134" s="366"/>
      <c r="G134" s="366"/>
      <c r="H134" s="367"/>
      <c r="I134" s="366"/>
    </row>
    <row r="135" spans="2:9" x14ac:dyDescent="0.25">
      <c r="B135" s="624"/>
      <c r="C135" s="365"/>
      <c r="D135" s="366"/>
      <c r="E135" s="366"/>
      <c r="F135" s="366"/>
      <c r="G135" s="366"/>
      <c r="H135" s="367"/>
      <c r="I135" s="366"/>
    </row>
    <row r="136" spans="2:9" x14ac:dyDescent="0.25">
      <c r="B136" s="624"/>
      <c r="C136" s="365"/>
      <c r="D136" s="366"/>
      <c r="E136" s="366"/>
      <c r="F136" s="366"/>
      <c r="G136" s="366"/>
      <c r="H136" s="367"/>
      <c r="I136" s="366"/>
    </row>
    <row r="137" spans="2:9" x14ac:dyDescent="0.25">
      <c r="B137" s="624"/>
      <c r="C137" s="365"/>
      <c r="D137" s="366"/>
      <c r="E137" s="366"/>
      <c r="F137" s="366"/>
      <c r="G137" s="366"/>
      <c r="H137" s="367"/>
      <c r="I137" s="366"/>
    </row>
    <row r="138" spans="2:9" x14ac:dyDescent="0.25">
      <c r="B138" s="624"/>
      <c r="C138" s="365"/>
      <c r="D138" s="366"/>
      <c r="E138" s="366"/>
      <c r="F138" s="366"/>
      <c r="G138" s="366"/>
      <c r="H138" s="367"/>
      <c r="I138" s="366"/>
    </row>
    <row r="139" spans="2:9" x14ac:dyDescent="0.25">
      <c r="B139" s="624"/>
      <c r="C139" s="365"/>
      <c r="D139" s="366"/>
      <c r="E139" s="366"/>
      <c r="F139" s="366"/>
      <c r="G139" s="366"/>
      <c r="H139" s="367"/>
      <c r="I139" s="366"/>
    </row>
    <row r="140" spans="2:9" x14ac:dyDescent="0.25">
      <c r="B140" s="624"/>
      <c r="C140" s="365"/>
      <c r="D140" s="366"/>
      <c r="E140" s="366"/>
      <c r="F140" s="366"/>
      <c r="G140" s="366"/>
      <c r="H140" s="367"/>
      <c r="I140" s="36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13" priority="43">
      <formula>F33&gt;0</formula>
    </cfRule>
    <cfRule type="expression" dxfId="1412" priority="44">
      <formula>F33&lt;0</formula>
    </cfRule>
  </conditionalFormatting>
  <conditionalFormatting sqref="Q7">
    <cfRule type="expression" dxfId="1411" priority="41">
      <formula>Q7&gt;0</formula>
    </cfRule>
    <cfRule type="expression" dxfId="1410" priority="42">
      <formula>Q7&lt;0</formula>
    </cfRule>
  </conditionalFormatting>
  <conditionalFormatting sqref="Q8">
    <cfRule type="expression" dxfId="1409" priority="39">
      <formula>Q8&gt;0</formula>
    </cfRule>
    <cfRule type="expression" dxfId="1408" priority="40">
      <formula>Q8&lt;0</formula>
    </cfRule>
  </conditionalFormatting>
  <conditionalFormatting sqref="F29 F32">
    <cfRule type="expression" dxfId="1407" priority="37">
      <formula>F29&gt;0</formula>
    </cfRule>
    <cfRule type="expression" dxfId="1406" priority="38">
      <formula>F29&lt;0</formula>
    </cfRule>
  </conditionalFormatting>
  <conditionalFormatting sqref="H29 H32">
    <cfRule type="expression" dxfId="1405" priority="35">
      <formula>H29&gt;0</formula>
    </cfRule>
    <cfRule type="expression" dxfId="1404" priority="36">
      <formula>H29&lt;0</formula>
    </cfRule>
  </conditionalFormatting>
  <conditionalFormatting sqref="F30:F31">
    <cfRule type="expression" dxfId="1403" priority="33">
      <formula>F30&gt;0</formula>
    </cfRule>
    <cfRule type="expression" dxfId="1402" priority="34">
      <formula>F30&lt;0</formula>
    </cfRule>
  </conditionalFormatting>
  <conditionalFormatting sqref="H30:H31">
    <cfRule type="expression" dxfId="1401" priority="31">
      <formula>H30&gt;0</formula>
    </cfRule>
    <cfRule type="expression" dxfId="1400" priority="32">
      <formula>H30&lt;0</formula>
    </cfRule>
  </conditionalFormatting>
  <conditionalFormatting sqref="F105:F140 H105:H140">
    <cfRule type="expression" dxfId="1399" priority="29">
      <formula>F105&gt;0</formula>
    </cfRule>
    <cfRule type="expression" dxfId="1398" priority="30">
      <formula>F105&lt;0</formula>
    </cfRule>
  </conditionalFormatting>
  <conditionalFormatting sqref="F96:F99">
    <cfRule type="expression" dxfId="1397" priority="27">
      <formula>F96&gt;0</formula>
    </cfRule>
    <cfRule type="expression" dxfId="1396" priority="28">
      <formula>F96&lt;0</formula>
    </cfRule>
  </conditionalFormatting>
  <conditionalFormatting sqref="H96:H99">
    <cfRule type="expression" dxfId="1395" priority="25">
      <formula>H96&gt;0</formula>
    </cfRule>
    <cfRule type="expression" dxfId="1394" priority="26">
      <formula>H96&lt;0</formula>
    </cfRule>
  </conditionalFormatting>
  <conditionalFormatting sqref="F25:F28">
    <cfRule type="expression" dxfId="1393" priority="19">
      <formula>F25&gt;0</formula>
    </cfRule>
    <cfRule type="expression" dxfId="1392" priority="20">
      <formula>F25&lt;0</formula>
    </cfRule>
  </conditionalFormatting>
  <conditionalFormatting sqref="H25:H28">
    <cfRule type="expression" dxfId="1391" priority="17">
      <formula>H25&gt;0</formula>
    </cfRule>
    <cfRule type="expression" dxfId="1390" priority="18">
      <formula>H25&lt;0</formula>
    </cfRule>
  </conditionalFormatting>
  <conditionalFormatting sqref="J27">
    <cfRule type="expression" dxfId="1389" priority="15">
      <formula>J27&gt;0</formula>
    </cfRule>
    <cfRule type="expression" dxfId="1388" priority="16">
      <formula>J27&lt;0</formula>
    </cfRule>
  </conditionalFormatting>
  <conditionalFormatting sqref="F104">
    <cfRule type="expression" dxfId="1387" priority="13">
      <formula>F104&gt;0</formula>
    </cfRule>
    <cfRule type="expression" dxfId="1386" priority="14">
      <formula>F104&lt;0</formula>
    </cfRule>
  </conditionalFormatting>
  <conditionalFormatting sqref="H104">
    <cfRule type="expression" dxfId="1385" priority="11">
      <formula>H104&gt;0</formula>
    </cfRule>
    <cfRule type="expression" dxfId="1384" priority="12">
      <formula>H104&lt;0</formula>
    </cfRule>
  </conditionalFormatting>
  <conditionalFormatting sqref="F100:F103">
    <cfRule type="expression" dxfId="1383" priority="9">
      <formula>F100&gt;0</formula>
    </cfRule>
    <cfRule type="expression" dxfId="1382" priority="10">
      <formula>F100&lt;0</formula>
    </cfRule>
  </conditionalFormatting>
  <conditionalFormatting sqref="H100:H103">
    <cfRule type="expression" dxfId="1381" priority="7">
      <formula>H100&gt;0</formula>
    </cfRule>
    <cfRule type="expression" dxfId="1380" priority="8">
      <formula>H100&lt;0</formula>
    </cfRule>
  </conditionalFormatting>
  <conditionalFormatting sqref="J102">
    <cfRule type="expression" dxfId="1379" priority="5">
      <formula>J102&gt;0</formula>
    </cfRule>
    <cfRule type="expression" dxfId="1378" priority="6">
      <formula>J102&lt;0</formula>
    </cfRule>
  </conditionalFormatting>
  <conditionalFormatting sqref="Q10">
    <cfRule type="expression" dxfId="1377" priority="3">
      <formula>Q10&gt;0</formula>
    </cfRule>
    <cfRule type="expression" dxfId="1376" priority="4">
      <formula>Q10&lt;0</formula>
    </cfRule>
  </conditionalFormatting>
  <conditionalFormatting sqref="M71">
    <cfRule type="expression" dxfId="1375" priority="1">
      <formula>M71&gt;0</formula>
    </cfRule>
    <cfRule type="expression" dxfId="137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83.97</v>
      </c>
      <c r="T3" s="1"/>
    </row>
    <row r="4" spans="1:2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83.97</v>
      </c>
      <c r="R4" s="478">
        <v>1.9900000000000001E-2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B25" s="187"/>
      <c r="C25" s="10"/>
      <c r="D25" s="39"/>
      <c r="E25" s="39"/>
      <c r="F25" s="39"/>
      <c r="G25" s="39"/>
      <c r="H25" s="225"/>
      <c r="I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</row>
    <row r="33" spans="1:21" x14ac:dyDescent="0.25">
      <c r="B33" s="187"/>
      <c r="C33" s="10"/>
      <c r="D33" s="39"/>
      <c r="E33" s="39"/>
      <c r="F33" s="39"/>
      <c r="G33" s="39"/>
      <c r="H33" s="225"/>
      <c r="I33" s="230"/>
    </row>
    <row r="34" spans="1:21" x14ac:dyDescent="0.25">
      <c r="B34" s="187"/>
      <c r="C34" s="10"/>
      <c r="D34" s="39"/>
      <c r="E34" s="39"/>
      <c r="F34" s="39"/>
      <c r="G34" s="39"/>
      <c r="H34" s="225"/>
      <c r="I34" s="39"/>
    </row>
    <row r="35" spans="1:21" x14ac:dyDescent="0.25">
      <c r="B35" s="187"/>
      <c r="C35" s="10"/>
      <c r="D35" s="39"/>
      <c r="E35" s="39"/>
      <c r="F35" s="39"/>
      <c r="G35" s="39"/>
      <c r="H35" s="225"/>
      <c r="I35" s="39"/>
    </row>
    <row r="36" spans="1:21" x14ac:dyDescent="0.25">
      <c r="B36" s="187"/>
      <c r="C36" s="10"/>
      <c r="D36" s="39"/>
      <c r="E36" s="39"/>
      <c r="F36" s="39"/>
      <c r="G36" s="39"/>
      <c r="H36" s="225"/>
      <c r="I36" s="39"/>
    </row>
    <row r="37" spans="1:21" x14ac:dyDescent="0.25">
      <c r="B37" s="187"/>
      <c r="C37" s="10"/>
      <c r="D37" s="39"/>
      <c r="E37" s="39"/>
      <c r="F37" s="39"/>
      <c r="G37" s="39"/>
      <c r="H37" s="225"/>
      <c r="I37" s="39"/>
    </row>
    <row r="38" spans="1:21" x14ac:dyDescent="0.25">
      <c r="B38" s="187"/>
      <c r="C38" s="10"/>
      <c r="D38" s="39"/>
      <c r="E38" s="39"/>
      <c r="F38" s="39"/>
      <c r="G38" s="39"/>
      <c r="H38" s="225"/>
      <c r="I38" s="39"/>
    </row>
    <row r="39" spans="1:21" x14ac:dyDescent="0.25">
      <c r="B39" s="187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</row>
    <row r="41" spans="1:2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92.367000000000004</v>
      </c>
      <c r="Q41" s="2"/>
    </row>
    <row r="42" spans="1:2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91.527300000000011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90.687600000000003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89.84790000000001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89.008200000000002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88.168500000000009</v>
      </c>
      <c r="Q46" s="2"/>
      <c r="T46" s="91"/>
      <c r="U46" s="127"/>
    </row>
    <row r="47" spans="1:2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87.328800000000001</v>
      </c>
      <c r="Q47" s="2"/>
      <c r="T47" s="91"/>
      <c r="U47" s="127"/>
    </row>
    <row r="48" spans="1:21" x14ac:dyDescent="0.25">
      <c r="A48" s="257" t="s">
        <v>703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3"/>
      <c r="O48" s="81">
        <v>1.03</v>
      </c>
      <c r="P48" s="81">
        <f t="shared" si="0"/>
        <v>86.489100000000008</v>
      </c>
      <c r="Q48" s="2"/>
      <c r="T48" s="91"/>
      <c r="U48" s="127"/>
    </row>
    <row r="49" spans="1:21" x14ac:dyDescent="0.25">
      <c r="A49" s="260" t="s">
        <v>71</v>
      </c>
      <c r="B49" s="258"/>
      <c r="C49" s="253"/>
      <c r="D49" s="254"/>
      <c r="E49" s="254"/>
      <c r="F49" s="254"/>
      <c r="G49" s="258"/>
      <c r="H49" s="259"/>
      <c r="I49" s="254"/>
      <c r="J49" s="254"/>
      <c r="K49" s="254"/>
      <c r="L49" s="253"/>
      <c r="M49" s="253"/>
      <c r="O49" s="81">
        <v>1.02</v>
      </c>
      <c r="P49" s="81">
        <f t="shared" si="0"/>
        <v>85.6494</v>
      </c>
      <c r="Q49" s="2"/>
      <c r="T49" s="91"/>
      <c r="U49" s="127"/>
    </row>
    <row r="50" spans="1:21" x14ac:dyDescent="0.25">
      <c r="A50" s="253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84.809700000000007</v>
      </c>
      <c r="Q50" s="2"/>
      <c r="T50" s="91"/>
      <c r="U50" s="127"/>
    </row>
    <row r="51" spans="1:2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83.97</v>
      </c>
      <c r="Q51" s="2"/>
      <c r="T51" s="91"/>
      <c r="U51" s="127"/>
    </row>
    <row r="52" spans="1:21" x14ac:dyDescent="0.25">
      <c r="A52" s="253"/>
      <c r="B52" s="258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0"/>
        <v>83.130299999999991</v>
      </c>
      <c r="Q52" s="2"/>
      <c r="T52" s="91"/>
      <c r="U52" s="127"/>
    </row>
    <row r="53" spans="1:2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82.290599999999998</v>
      </c>
      <c r="Q53" s="2"/>
      <c r="T53" s="91"/>
      <c r="U53" s="128"/>
    </row>
    <row r="54" spans="1:2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81.45089999999999</v>
      </c>
      <c r="T54" s="91"/>
      <c r="U54" s="128"/>
    </row>
    <row r="55" spans="1:2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80.611199999999997</v>
      </c>
      <c r="T55" s="91"/>
      <c r="U55" s="127"/>
    </row>
    <row r="56" spans="1:2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79.771499999999989</v>
      </c>
      <c r="T56" s="91"/>
      <c r="U56" s="127"/>
    </row>
    <row r="57" spans="1:2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78.931799999999996</v>
      </c>
      <c r="T57" s="91"/>
      <c r="U57" s="127"/>
    </row>
    <row r="58" spans="1:2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78.092100000000002</v>
      </c>
      <c r="T58" s="91"/>
      <c r="U58" s="127"/>
    </row>
    <row r="59" spans="1:2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77.252400000000009</v>
      </c>
    </row>
    <row r="60" spans="1:2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76.412700000000001</v>
      </c>
    </row>
    <row r="61" spans="1:2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75.573000000000008</v>
      </c>
    </row>
    <row r="62" spans="1:2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</row>
    <row r="63" spans="1:2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2" t="s">
        <v>194</v>
      </c>
      <c r="B65" s="443"/>
      <c r="C65" s="444">
        <f>SumByColor($A$19,C48:C63)</f>
        <v>0</v>
      </c>
      <c r="D65" s="444"/>
      <c r="E65" s="444"/>
      <c r="F65" s="445">
        <f>SumByColor($A$19,F48:F63)</f>
        <v>0</v>
      </c>
      <c r="G65" s="444"/>
      <c r="H65" s="444">
        <f>SumByColor($A$19,H48:H63)</f>
        <v>0</v>
      </c>
      <c r="I65" s="444"/>
      <c r="J65" s="444"/>
      <c r="K65" s="445">
        <f>SumByColor($A$19,K48:K63)</f>
        <v>0</v>
      </c>
      <c r="L65" s="444"/>
      <c r="M65" s="445">
        <f>SumByColor($A$19,M48:M63)</f>
        <v>0</v>
      </c>
    </row>
    <row r="69" spans="1:13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</row>
    <row r="70" spans="1:13" x14ac:dyDescent="0.25">
      <c r="B70" s="187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5">
        <f>(E70-D70)/D70</f>
        <v>6.8886337543052484E-3</v>
      </c>
      <c r="I70" s="39"/>
    </row>
    <row r="71" spans="1:13" x14ac:dyDescent="0.25">
      <c r="B71" s="187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5">
        <f>(E71-D71)/D71</f>
        <v>3.8174512055109015E-2</v>
      </c>
      <c r="I71" s="39"/>
    </row>
    <row r="72" spans="1:13" x14ac:dyDescent="0.25">
      <c r="B72" s="187">
        <v>42997</v>
      </c>
      <c r="C72" s="10">
        <v>0</v>
      </c>
      <c r="D72" s="39"/>
      <c r="E72" s="39"/>
      <c r="F72" s="39">
        <v>125.93</v>
      </c>
      <c r="G72" s="39"/>
      <c r="H72" s="225"/>
      <c r="I72" s="39"/>
    </row>
    <row r="73" spans="1:13" x14ac:dyDescent="0.25">
      <c r="B73" s="364"/>
      <c r="C73" s="365"/>
      <c r="D73" s="366"/>
      <c r="E73" s="366"/>
      <c r="F73" s="366"/>
      <c r="G73" s="366"/>
      <c r="H73" s="367"/>
      <c r="I73" s="366"/>
    </row>
    <row r="74" spans="1:13" x14ac:dyDescent="0.25">
      <c r="B74" s="187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5">
        <f>(E74-D74)/D74</f>
        <v>3.7422037422036869E-3</v>
      </c>
      <c r="I74" s="39"/>
    </row>
    <row r="75" spans="1:13" x14ac:dyDescent="0.25">
      <c r="B75" s="187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5">
        <f>(E75-D75)/D75</f>
        <v>4.8895075691665055E-2</v>
      </c>
      <c r="I75" s="39"/>
    </row>
    <row r="76" spans="1:13" x14ac:dyDescent="0.25">
      <c r="B76" s="187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5"/>
      <c r="I76" s="39"/>
    </row>
    <row r="77" spans="1:13" x14ac:dyDescent="0.25">
      <c r="B77" s="364"/>
      <c r="C77" s="365"/>
      <c r="D77" s="366"/>
      <c r="E77" s="366"/>
      <c r="F77" s="366"/>
      <c r="G77" s="366"/>
      <c r="H77" s="367"/>
      <c r="I77" s="366"/>
    </row>
    <row r="78" spans="1:13" x14ac:dyDescent="0.25">
      <c r="B78" s="364"/>
      <c r="C78" s="365"/>
      <c r="D78" s="366"/>
      <c r="E78" s="366"/>
      <c r="F78" s="366"/>
      <c r="G78" s="366"/>
      <c r="H78" s="367"/>
      <c r="I78" s="446"/>
    </row>
    <row r="79" spans="1:13" x14ac:dyDescent="0.25">
      <c r="B79" s="364"/>
      <c r="C79" s="365"/>
      <c r="D79" s="366"/>
      <c r="E79" s="366"/>
      <c r="F79" s="366"/>
      <c r="G79" s="366"/>
      <c r="H79" s="367"/>
      <c r="I79" s="366"/>
    </row>
    <row r="80" spans="1:13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73" priority="33">
      <formula>F34&gt;0</formula>
    </cfRule>
    <cfRule type="expression" dxfId="1372" priority="34">
      <formula>F34&lt;0</formula>
    </cfRule>
  </conditionalFormatting>
  <conditionalFormatting sqref="Q7">
    <cfRule type="expression" dxfId="1371" priority="31">
      <formula>Q7&gt;0</formula>
    </cfRule>
    <cfRule type="expression" dxfId="1370" priority="32">
      <formula>Q7&lt;0</formula>
    </cfRule>
  </conditionalFormatting>
  <conditionalFormatting sqref="Q8">
    <cfRule type="expression" dxfId="1369" priority="29">
      <formula>Q8&gt;0</formula>
    </cfRule>
    <cfRule type="expression" dxfId="1368" priority="30">
      <formula>Q8&lt;0</formula>
    </cfRule>
  </conditionalFormatting>
  <conditionalFormatting sqref="F27:F33">
    <cfRule type="expression" dxfId="1367" priority="27">
      <formula>F27&gt;0</formula>
    </cfRule>
    <cfRule type="expression" dxfId="1366" priority="28">
      <formula>F27&lt;0</formula>
    </cfRule>
  </conditionalFormatting>
  <conditionalFormatting sqref="H27:H33">
    <cfRule type="expression" dxfId="1365" priority="25">
      <formula>H27&gt;0</formula>
    </cfRule>
    <cfRule type="expression" dxfId="1364" priority="26">
      <formula>H27&lt;0</formula>
    </cfRule>
  </conditionalFormatting>
  <conditionalFormatting sqref="M46">
    <cfRule type="expression" dxfId="1363" priority="23">
      <formula>M46&gt;0</formula>
    </cfRule>
    <cfRule type="expression" dxfId="1362" priority="24">
      <formula>M46&lt;0</formula>
    </cfRule>
  </conditionalFormatting>
  <conditionalFormatting sqref="F79:F87 H79:H87">
    <cfRule type="expression" dxfId="1361" priority="21">
      <formula>F79&gt;0</formula>
    </cfRule>
    <cfRule type="expression" dxfId="1360" priority="22">
      <formula>F79&lt;0</formula>
    </cfRule>
  </conditionalFormatting>
  <conditionalFormatting sqref="F73 F77:F78">
    <cfRule type="expression" dxfId="1359" priority="19">
      <formula>F73&gt;0</formula>
    </cfRule>
    <cfRule type="expression" dxfId="1358" priority="20">
      <formula>F73&lt;0</formula>
    </cfRule>
  </conditionalFormatting>
  <conditionalFormatting sqref="H73 H77:H78">
    <cfRule type="expression" dxfId="1357" priority="17">
      <formula>H73&gt;0</formula>
    </cfRule>
    <cfRule type="expression" dxfId="1356" priority="18">
      <formula>H73&lt;0</formula>
    </cfRule>
  </conditionalFormatting>
  <conditionalFormatting sqref="F70:F72">
    <cfRule type="expression" dxfId="1355" priority="15">
      <formula>F70&gt;0</formula>
    </cfRule>
    <cfRule type="expression" dxfId="1354" priority="16">
      <formula>F70&lt;0</formula>
    </cfRule>
  </conditionalFormatting>
  <conditionalFormatting sqref="H70:H72">
    <cfRule type="expression" dxfId="1353" priority="13">
      <formula>H70&gt;0</formula>
    </cfRule>
    <cfRule type="expression" dxfId="1352" priority="14">
      <formula>H70&lt;0</formula>
    </cfRule>
  </conditionalFormatting>
  <conditionalFormatting sqref="F25:F26">
    <cfRule type="expression" dxfId="1351" priority="11">
      <formula>F25&gt;0</formula>
    </cfRule>
    <cfRule type="expression" dxfId="1350" priority="12">
      <formula>F25&lt;0</formula>
    </cfRule>
  </conditionalFormatting>
  <conditionalFormatting sqref="H25:H26">
    <cfRule type="expression" dxfId="1349" priority="9">
      <formula>H25&gt;0</formula>
    </cfRule>
    <cfRule type="expression" dxfId="1348" priority="10">
      <formula>H25&lt;0</formula>
    </cfRule>
  </conditionalFormatting>
  <conditionalFormatting sqref="F76">
    <cfRule type="expression" dxfId="1347" priority="7">
      <formula>F76&gt;0</formula>
    </cfRule>
    <cfRule type="expression" dxfId="1346" priority="8">
      <formula>F76&lt;0</formula>
    </cfRule>
  </conditionalFormatting>
  <conditionalFormatting sqref="H76">
    <cfRule type="expression" dxfId="1345" priority="5">
      <formula>H76&gt;0</formula>
    </cfRule>
    <cfRule type="expression" dxfId="1344" priority="6">
      <formula>H76&lt;0</formula>
    </cfRule>
  </conditionalFormatting>
  <conditionalFormatting sqref="F74:F75">
    <cfRule type="expression" dxfId="1343" priority="3">
      <formula>F74&gt;0</formula>
    </cfRule>
    <cfRule type="expression" dxfId="1342" priority="4">
      <formula>F74&lt;0</formula>
    </cfRule>
  </conditionalFormatting>
  <conditionalFormatting sqref="H74:H75">
    <cfRule type="expression" dxfId="1341" priority="1">
      <formula>H74&gt;0</formula>
    </cfRule>
    <cfRule type="expression" dxfId="134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983</v>
      </c>
      <c r="B2" s="437">
        <v>43178</v>
      </c>
      <c r="C2" s="4">
        <v>25</v>
      </c>
      <c r="D2" s="3">
        <v>166.11</v>
      </c>
      <c r="E2" s="3">
        <v>0</v>
      </c>
      <c r="F2" s="3">
        <f t="shared" ref="F2:F5" si="0">C2*D2+E2</f>
        <v>4152.75</v>
      </c>
      <c r="G2" s="437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7" t="s">
        <v>1026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37">
        <v>43200</v>
      </c>
      <c r="H3" s="829">
        <v>25</v>
      </c>
      <c r="I3" s="830">
        <v>161</v>
      </c>
      <c r="J3" s="830">
        <v>0.09</v>
      </c>
      <c r="K3" s="830">
        <f>H3*I3-J3</f>
        <v>4024.91</v>
      </c>
      <c r="L3" s="4"/>
      <c r="M3" s="4"/>
      <c r="O3" s="11" t="s">
        <v>58</v>
      </c>
      <c r="Q3" s="224">
        <f>IF(Q2=0, Q4, (F18-K18-M18)/Q2)</f>
        <v>161.49620000000002</v>
      </c>
      <c r="T3" s="1"/>
    </row>
    <row r="4" spans="1:21" x14ac:dyDescent="0.25">
      <c r="B4" s="477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166.44</v>
      </c>
      <c r="R4" s="498">
        <v>2.0999999999999999E-3</v>
      </c>
      <c r="T4" s="779"/>
      <c r="U4" s="30"/>
    </row>
    <row r="5" spans="1:21" x14ac:dyDescent="0.25">
      <c r="B5" s="477">
        <v>43196</v>
      </c>
      <c r="C5" s="831">
        <v>25</v>
      </c>
      <c r="D5" s="830">
        <v>156.5</v>
      </c>
      <c r="E5" s="830">
        <v>0</v>
      </c>
      <c r="F5" s="830">
        <f t="shared" si="0"/>
        <v>3912.5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8322</v>
      </c>
    </row>
    <row r="6" spans="1:21" x14ac:dyDescent="0.25">
      <c r="L6" s="4"/>
      <c r="M6" s="4"/>
      <c r="O6" s="11" t="s">
        <v>64</v>
      </c>
      <c r="Q6" s="2">
        <f>Q3*Q2</f>
        <v>8074.81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247.1899999999996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247.1899999999996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3.0612484999646999E-2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7.6904590242730117E-3</v>
      </c>
      <c r="R11">
        <v>0.32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v>19.68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16226.75</v>
      </c>
      <c r="G18" s="14"/>
      <c r="H18" s="71">
        <f>SUM(H2:H5)</f>
        <v>50</v>
      </c>
      <c r="I18" s="18"/>
      <c r="J18" s="18"/>
      <c r="K18" s="18">
        <f>SUM(K2:K5)</f>
        <v>8151.94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4087</v>
      </c>
      <c r="G19" s="346"/>
      <c r="H19" s="346">
        <f>SumByColor($A$19,H2:H17)</f>
        <v>25</v>
      </c>
      <c r="I19" s="346"/>
      <c r="J19" s="346"/>
      <c r="K19" s="347">
        <f>SumByColor($A$19,K2:K17)</f>
        <v>4127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183.084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181.4196</v>
      </c>
      <c r="Q24" s="2"/>
    </row>
    <row r="25" spans="1:17" x14ac:dyDescent="0.25">
      <c r="B25" s="187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5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179.7552</v>
      </c>
      <c r="Q25" s="2"/>
    </row>
    <row r="26" spans="1:17" x14ac:dyDescent="0.25">
      <c r="B26" s="187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5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178.0908</v>
      </c>
      <c r="Q26" s="2"/>
    </row>
    <row r="27" spans="1:17" x14ac:dyDescent="0.25">
      <c r="B27" s="187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5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176.4264</v>
      </c>
      <c r="Q27" s="2"/>
    </row>
    <row r="28" spans="1:17" x14ac:dyDescent="0.25">
      <c r="B28" s="187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5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174.762</v>
      </c>
      <c r="Q28" s="2"/>
    </row>
    <row r="29" spans="1:17" x14ac:dyDescent="0.25">
      <c r="B29" s="187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5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173.0976</v>
      </c>
      <c r="Q29" s="2"/>
    </row>
    <row r="30" spans="1:17" x14ac:dyDescent="0.25">
      <c r="B30" s="187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5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171.4332</v>
      </c>
      <c r="Q30" s="2"/>
    </row>
    <row r="31" spans="1:17" x14ac:dyDescent="0.25">
      <c r="B31" s="187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5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169.7688</v>
      </c>
      <c r="Q31" s="2"/>
    </row>
    <row r="32" spans="1:17" x14ac:dyDescent="0.25">
      <c r="A32">
        <v>0</v>
      </c>
      <c r="B32" s="187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5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168.1044</v>
      </c>
      <c r="Q32" s="2"/>
    </row>
    <row r="33" spans="2:17" x14ac:dyDescent="0.25">
      <c r="B33" s="187">
        <v>43202</v>
      </c>
      <c r="C33" s="10">
        <v>50</v>
      </c>
      <c r="D33" s="39">
        <v>161.49600000000001</v>
      </c>
      <c r="E33" s="39">
        <v>162.21</v>
      </c>
      <c r="F33" s="39">
        <f t="shared" ref="F33" si="23">C33*(E33-D33)</f>
        <v>35.699999999999932</v>
      </c>
      <c r="G33" s="39">
        <f t="shared" ref="G33" si="24">D33*C33</f>
        <v>8074.8</v>
      </c>
      <c r="H33" s="225">
        <f t="shared" ref="H33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166.44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164.7756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163.1112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161.4468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159.7824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158.11799999999999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156.45359999999999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154.78919999999999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153.12479999999999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151.46039999999999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149.79599999999999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9" priority="37">
      <formula>F47&gt;0</formula>
    </cfRule>
    <cfRule type="expression" dxfId="1338" priority="38">
      <formula>F47&lt;0</formula>
    </cfRule>
  </conditionalFormatting>
  <conditionalFormatting sqref="Q7">
    <cfRule type="expression" dxfId="1337" priority="35">
      <formula>Q7&gt;0</formula>
    </cfRule>
    <cfRule type="expression" dxfId="1336" priority="36">
      <formula>Q7&lt;0</formula>
    </cfRule>
  </conditionalFormatting>
  <conditionalFormatting sqref="Q8">
    <cfRule type="expression" dxfId="1335" priority="33">
      <formula>Q8&gt;0</formula>
    </cfRule>
    <cfRule type="expression" dxfId="1334" priority="34">
      <formula>Q8&lt;0</formula>
    </cfRule>
  </conditionalFormatting>
  <conditionalFormatting sqref="F31:F46">
    <cfRule type="expression" dxfId="1333" priority="31">
      <formula>F31&gt;0</formula>
    </cfRule>
    <cfRule type="expression" dxfId="1332" priority="32">
      <formula>F31&lt;0</formula>
    </cfRule>
  </conditionalFormatting>
  <conditionalFormatting sqref="H31:H46">
    <cfRule type="expression" dxfId="1331" priority="29">
      <formula>H31&gt;0</formula>
    </cfRule>
    <cfRule type="expression" dxfId="1330" priority="30">
      <formula>H31&lt;0</formula>
    </cfRule>
  </conditionalFormatting>
  <conditionalFormatting sqref="Q10">
    <cfRule type="expression" dxfId="1329" priority="27">
      <formula>Q10&gt;0</formula>
    </cfRule>
    <cfRule type="expression" dxfId="1328" priority="28">
      <formula>Q10&lt;0</formula>
    </cfRule>
  </conditionalFormatting>
  <conditionalFormatting sqref="J25:J38">
    <cfRule type="expression" dxfId="1327" priority="25">
      <formula>J25&gt;0</formula>
    </cfRule>
    <cfRule type="expression" dxfId="1326" priority="26">
      <formula>J25&lt;0</formula>
    </cfRule>
  </conditionalFormatting>
  <conditionalFormatting sqref="K25:K38">
    <cfRule type="expression" dxfId="1325" priority="23">
      <formula>K25&gt;0</formula>
    </cfRule>
    <cfRule type="expression" dxfId="1324" priority="24">
      <formula>K25&lt;0</formula>
    </cfRule>
  </conditionalFormatting>
  <conditionalFormatting sqref="L25:L38">
    <cfRule type="expression" dxfId="1323" priority="21">
      <formula>L25&gt;0</formula>
    </cfRule>
    <cfRule type="expression" dxfId="1322" priority="22">
      <formula>L25&lt;0</formula>
    </cfRule>
  </conditionalFormatting>
  <conditionalFormatting sqref="F89:F110">
    <cfRule type="expression" dxfId="1321" priority="19">
      <formula>F89&gt;0</formula>
    </cfRule>
    <cfRule type="expression" dxfId="1320" priority="20">
      <formula>F89&lt;0</formula>
    </cfRule>
  </conditionalFormatting>
  <conditionalFormatting sqref="H89:H110">
    <cfRule type="expression" dxfId="1319" priority="17">
      <formula>H89&gt;0</formula>
    </cfRule>
    <cfRule type="expression" dxfId="1318" priority="18">
      <formula>H89&lt;0</formula>
    </cfRule>
  </conditionalFormatting>
  <conditionalFormatting sqref="J89:J102">
    <cfRule type="expression" dxfId="1317" priority="15">
      <formula>J89&gt;0</formula>
    </cfRule>
    <cfRule type="expression" dxfId="1316" priority="16">
      <formula>J89&lt;0</formula>
    </cfRule>
  </conditionalFormatting>
  <conditionalFormatting sqref="K89:K102">
    <cfRule type="expression" dxfId="1315" priority="13">
      <formula>K89&gt;0</formula>
    </cfRule>
    <cfRule type="expression" dxfId="1314" priority="14">
      <formula>K89&lt;0</formula>
    </cfRule>
  </conditionalFormatting>
  <conditionalFormatting sqref="L89:L102">
    <cfRule type="expression" dxfId="1313" priority="11">
      <formula>L89&gt;0</formula>
    </cfRule>
    <cfRule type="expression" dxfId="1312" priority="12">
      <formula>L89&lt;0</formula>
    </cfRule>
  </conditionalFormatting>
  <conditionalFormatting sqref="F25:F28">
    <cfRule type="expression" dxfId="1311" priority="9">
      <formula>F25&gt;0</formula>
    </cfRule>
    <cfRule type="expression" dxfId="1310" priority="10">
      <formula>F25&lt;0</formula>
    </cfRule>
  </conditionalFormatting>
  <conditionalFormatting sqref="H25:H28">
    <cfRule type="expression" dxfId="1309" priority="7">
      <formula>H25&gt;0</formula>
    </cfRule>
    <cfRule type="expression" dxfId="1308" priority="8">
      <formula>H25&lt;0</formula>
    </cfRule>
  </conditionalFormatting>
  <conditionalFormatting sqref="F29:F30">
    <cfRule type="expression" dxfId="1307" priority="3">
      <formula>F29&gt;0</formula>
    </cfRule>
    <cfRule type="expression" dxfId="1306" priority="4">
      <formula>F29&lt;0</formula>
    </cfRule>
  </conditionalFormatting>
  <conditionalFormatting sqref="H29:H30">
    <cfRule type="expression" dxfId="1305" priority="1">
      <formula>H29&gt;0</formula>
    </cfRule>
    <cfRule type="expression" dxfId="130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749</v>
      </c>
      <c r="B2" s="437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37">
        <v>43040</v>
      </c>
      <c r="H2" s="7">
        <v>100</v>
      </c>
      <c r="I2" s="51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906</v>
      </c>
      <c r="V2" s="134"/>
    </row>
    <row r="3" spans="1:22" x14ac:dyDescent="0.25">
      <c r="A3" s="22" t="s">
        <v>71</v>
      </c>
      <c r="B3" s="437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7">
        <v>43052</v>
      </c>
      <c r="H3" s="80">
        <v>50</v>
      </c>
      <c r="I3" s="511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4">
        <f>IF(Q2=0, Q4, (F18-K18-M18)/Q2)</f>
        <v>69.008250000000004</v>
      </c>
      <c r="T3" s="1"/>
      <c r="U3" t="s">
        <v>907</v>
      </c>
      <c r="V3" s="134"/>
    </row>
    <row r="4" spans="1:22" x14ac:dyDescent="0.25">
      <c r="B4" s="437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7">
        <v>43069</v>
      </c>
      <c r="H4" s="80">
        <v>50</v>
      </c>
      <c r="I4" s="51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66.260000000000005</v>
      </c>
      <c r="R4" s="498">
        <v>4.4000000000000003E-3</v>
      </c>
      <c r="T4" s="158"/>
      <c r="U4" s="1"/>
      <c r="V4" s="134"/>
    </row>
    <row r="5" spans="1:22" x14ac:dyDescent="0.25">
      <c r="B5" s="437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7">
        <v>43090</v>
      </c>
      <c r="H5" s="80">
        <v>100</v>
      </c>
      <c r="I5" s="51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13252.000000000002</v>
      </c>
      <c r="T5" s="1">
        <v>43187</v>
      </c>
      <c r="U5" t="s">
        <v>1002</v>
      </c>
      <c r="V5" s="134"/>
    </row>
    <row r="6" spans="1:22" x14ac:dyDescent="0.25">
      <c r="B6" s="43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7">
        <v>43105</v>
      </c>
      <c r="H6" s="80">
        <v>50</v>
      </c>
      <c r="I6" s="51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3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7">
        <v>43166</v>
      </c>
      <c r="H7" s="80">
        <v>100</v>
      </c>
      <c r="I7" s="51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-549.64999999999964</v>
      </c>
      <c r="R7">
        <v>200</v>
      </c>
      <c r="V7" s="134"/>
    </row>
    <row r="8" spans="1:22" x14ac:dyDescent="0.25">
      <c r="B8" s="43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9"/>
      <c r="I8" s="558"/>
      <c r="J8" s="3"/>
      <c r="K8" s="3"/>
      <c r="L8" s="4"/>
      <c r="M8" s="4"/>
      <c r="O8" s="11" t="s">
        <v>180</v>
      </c>
      <c r="P8" s="33"/>
      <c r="Q8" s="2">
        <f>K18+M18-F18+Q2*Q4</f>
        <v>-549.64999999999964</v>
      </c>
      <c r="V8" s="134"/>
    </row>
    <row r="9" spans="1:22" x14ac:dyDescent="0.25">
      <c r="B9" s="437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9"/>
      <c r="I9" s="558"/>
      <c r="J9" s="3"/>
      <c r="K9" s="3"/>
      <c r="L9" s="4"/>
      <c r="M9" s="4"/>
      <c r="O9" s="11" t="s">
        <v>210</v>
      </c>
      <c r="Q9" s="134">
        <f>IF(Q2=0, 0, Q8/Q6)</f>
        <v>-3.9824948466306534E-2</v>
      </c>
      <c r="V9" s="134"/>
    </row>
    <row r="10" spans="1:22" x14ac:dyDescent="0.25">
      <c r="A10" t="s">
        <v>799</v>
      </c>
      <c r="B10" s="437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2.4147298520977967E-2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968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997</v>
      </c>
      <c r="Q13">
        <f>Q4/(5.85+6.05)*2</f>
        <v>11.136134453781516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0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4" t="s">
        <v>194</v>
      </c>
      <c r="B19" s="345"/>
      <c r="C19" s="346">
        <f>SumByColor($A$19,C2:C17)</f>
        <v>450</v>
      </c>
      <c r="D19" s="346"/>
      <c r="E19" s="346"/>
      <c r="F19" s="347">
        <f>SumByColor($A$19,F2:F17)</f>
        <v>31491</v>
      </c>
      <c r="G19" s="346"/>
      <c r="H19" s="346">
        <f>SumByColor($A$19,H2:H17)</f>
        <v>450</v>
      </c>
      <c r="I19" s="805"/>
      <c r="J19" s="346"/>
      <c r="K19" s="347">
        <f>SumByColor($A$19,K2:K17)</f>
        <v>32022</v>
      </c>
      <c r="L19" s="346"/>
      <c r="M19" s="347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7" t="s">
        <v>78</v>
      </c>
      <c r="P21" s="847"/>
      <c r="V21" s="134"/>
    </row>
    <row r="22" spans="1:22" ht="15.75" thickTop="1" x14ac:dyDescent="0.25">
      <c r="O22" s="81">
        <v>1.1000000000000001</v>
      </c>
      <c r="P22" s="81">
        <f>O22*$Q$4</f>
        <v>72.88600000000001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72.223400000000012</v>
      </c>
      <c r="V23" s="134"/>
    </row>
    <row r="24" spans="1:22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997</v>
      </c>
      <c r="O24" s="81">
        <v>1.08</v>
      </c>
      <c r="P24" s="81">
        <f t="shared" si="2"/>
        <v>71.560800000000015</v>
      </c>
      <c r="V24" s="134"/>
    </row>
    <row r="25" spans="1:22" x14ac:dyDescent="0.25">
      <c r="B25" s="187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5">
        <f t="shared" ref="H25" si="5">(E25-D25)/D25</f>
        <v>1.6033547113960959E-3</v>
      </c>
      <c r="I25" s="196">
        <v>80.5</v>
      </c>
      <c r="J25" s="39"/>
      <c r="K25" s="39"/>
      <c r="L25" s="39"/>
      <c r="M25" s="39"/>
      <c r="O25" s="81">
        <v>1.07</v>
      </c>
      <c r="P25" s="81">
        <f t="shared" si="2"/>
        <v>70.898200000000003</v>
      </c>
      <c r="V25" s="134"/>
    </row>
    <row r="26" spans="1:22" x14ac:dyDescent="0.25">
      <c r="A26" s="1">
        <v>43028</v>
      </c>
      <c r="B26" s="187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5">
        <f t="shared" ref="H26" si="8">(E26-D26)/D26</f>
        <v>-2.9675108723458778E-2</v>
      </c>
      <c r="I26" s="196">
        <v>78</v>
      </c>
      <c r="J26" s="39"/>
      <c r="K26" s="39"/>
      <c r="L26" s="39"/>
      <c r="M26" s="39"/>
      <c r="O26" s="81">
        <v>1.06</v>
      </c>
      <c r="P26" s="81">
        <f t="shared" si="2"/>
        <v>70.235600000000005</v>
      </c>
      <c r="V26" s="134"/>
    </row>
    <row r="27" spans="1:22" x14ac:dyDescent="0.25">
      <c r="A27" s="1">
        <v>43028</v>
      </c>
      <c r="B27" s="187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5">
        <f t="shared" ref="H27" si="11">(E27-D27)/D27</f>
        <v>-4.3564974978206328E-2</v>
      </c>
      <c r="I27" s="196">
        <v>76</v>
      </c>
      <c r="J27" s="39"/>
      <c r="K27" s="39"/>
      <c r="L27" s="157"/>
      <c r="M27" s="157"/>
      <c r="O27" s="81">
        <v>1.05</v>
      </c>
      <c r="P27" s="81">
        <f t="shared" si="2"/>
        <v>69.573000000000008</v>
      </c>
      <c r="V27" s="134"/>
    </row>
    <row r="28" spans="1:22" x14ac:dyDescent="0.25">
      <c r="A28" s="1">
        <v>43028</v>
      </c>
      <c r="B28" s="187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5">
        <f t="shared" ref="H28" si="14">(E28-D28)/D28</f>
        <v>-5.7955602818024712E-2</v>
      </c>
      <c r="I28" s="196">
        <v>75</v>
      </c>
      <c r="J28" s="39"/>
      <c r="K28" s="39"/>
      <c r="L28" s="157"/>
      <c r="M28" s="157"/>
      <c r="O28" s="81">
        <v>1.04</v>
      </c>
      <c r="P28" s="81">
        <f t="shared" si="2"/>
        <v>68.91040000000001</v>
      </c>
      <c r="V28" s="134"/>
    </row>
    <row r="29" spans="1:22" x14ac:dyDescent="0.25">
      <c r="B29" s="187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5">
        <f t="shared" ref="H29" si="17">(E29-D29)/D29</f>
        <v>-5.7955602818024712E-2</v>
      </c>
      <c r="I29" s="196"/>
      <c r="J29" s="39"/>
      <c r="K29" s="39"/>
      <c r="L29" s="733"/>
      <c r="M29" s="733"/>
      <c r="O29" s="81">
        <v>1.03</v>
      </c>
      <c r="P29" s="81">
        <f t="shared" si="2"/>
        <v>68.247800000000012</v>
      </c>
      <c r="V29" s="134"/>
    </row>
    <row r="30" spans="1:22" x14ac:dyDescent="0.25">
      <c r="B30" s="187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5">
        <f t="shared" ref="H30:H40" si="20">(E30-D30)/D30</f>
        <v>-0.10195400770969031</v>
      </c>
      <c r="I30" s="196"/>
      <c r="J30" s="39"/>
      <c r="K30" s="39"/>
      <c r="L30" s="733">
        <v>15.91</v>
      </c>
      <c r="M30" s="733"/>
      <c r="O30" s="81">
        <v>1.02</v>
      </c>
      <c r="P30" s="81">
        <f t="shared" si="2"/>
        <v>67.5852</v>
      </c>
      <c r="V30" s="134"/>
    </row>
    <row r="31" spans="1:22" x14ac:dyDescent="0.25">
      <c r="B31" s="187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5">
        <f t="shared" si="20"/>
        <v>-8.6230309614339959E-2</v>
      </c>
      <c r="I31" s="196">
        <v>73.2</v>
      </c>
      <c r="J31" s="39"/>
      <c r="K31" s="39"/>
      <c r="L31" s="733"/>
      <c r="M31" s="733"/>
      <c r="O31" s="81">
        <v>1.01</v>
      </c>
      <c r="P31" s="81">
        <f t="shared" si="2"/>
        <v>66.922600000000003</v>
      </c>
      <c r="V31" s="134"/>
    </row>
    <row r="32" spans="1:22" x14ac:dyDescent="0.25">
      <c r="B32" s="187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5">
        <f t="shared" si="20"/>
        <v>-0.10939410212965534</v>
      </c>
      <c r="I32" s="196">
        <v>71.5</v>
      </c>
      <c r="J32" s="39"/>
      <c r="K32" s="39"/>
      <c r="L32" s="733"/>
      <c r="M32" s="733"/>
      <c r="O32" s="81">
        <v>1</v>
      </c>
      <c r="P32" s="81">
        <f t="shared" si="2"/>
        <v>66.260000000000005</v>
      </c>
      <c r="V32" s="134"/>
    </row>
    <row r="33" spans="1:22" x14ac:dyDescent="0.25">
      <c r="A33" s="29"/>
      <c r="B33" s="187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5">
        <f t="shared" si="20"/>
        <v>-9.8792562248002133E-2</v>
      </c>
      <c r="I33" s="196" t="s">
        <v>779</v>
      </c>
      <c r="J33" s="39"/>
      <c r="K33" s="39"/>
      <c r="L33" s="733"/>
      <c r="M33" s="733"/>
      <c r="O33" s="81">
        <v>0.99</v>
      </c>
      <c r="P33" s="81">
        <f t="shared" si="2"/>
        <v>65.597400000000007</v>
      </c>
      <c r="V33" s="134"/>
    </row>
    <row r="34" spans="1:22" x14ac:dyDescent="0.25">
      <c r="B34" s="187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5">
        <f t="shared" si="20"/>
        <v>-5.6948480155899379E-2</v>
      </c>
      <c r="I34" s="196" t="s">
        <v>781</v>
      </c>
      <c r="J34" s="39"/>
      <c r="K34" s="39"/>
      <c r="L34" s="733"/>
      <c r="M34" s="733"/>
      <c r="O34" s="81">
        <v>0.98</v>
      </c>
      <c r="P34" s="81">
        <f t="shared" si="2"/>
        <v>64.93480000000001</v>
      </c>
      <c r="V34" s="134"/>
    </row>
    <row r="35" spans="1:22" x14ac:dyDescent="0.25">
      <c r="B35" s="187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5">
        <f t="shared" si="20"/>
        <v>-3.885658624714651E-2</v>
      </c>
      <c r="I35" s="196"/>
      <c r="J35" s="39"/>
      <c r="K35" s="39"/>
      <c r="L35" s="733"/>
      <c r="M35" s="733"/>
      <c r="O35" s="81">
        <v>0.97</v>
      </c>
      <c r="P35" s="81">
        <f t="shared" si="2"/>
        <v>64.272199999999998</v>
      </c>
      <c r="V35" s="134"/>
    </row>
    <row r="36" spans="1:22" x14ac:dyDescent="0.25">
      <c r="A36">
        <v>100</v>
      </c>
      <c r="B36" s="187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5">
        <f t="shared" si="20"/>
        <v>-1.4743638352958912E-2</v>
      </c>
      <c r="I36" s="196" t="s">
        <v>786</v>
      </c>
      <c r="J36" s="39"/>
      <c r="K36" s="39"/>
      <c r="L36" s="733"/>
      <c r="M36" s="733"/>
      <c r="O36" s="81">
        <v>0.96</v>
      </c>
      <c r="P36" s="81">
        <f t="shared" si="2"/>
        <v>63.6096</v>
      </c>
      <c r="V36" s="134"/>
    </row>
    <row r="37" spans="1:22" x14ac:dyDescent="0.25">
      <c r="A37">
        <v>100</v>
      </c>
      <c r="B37" s="187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5">
        <f t="shared" si="20"/>
        <v>-2.1762110331376056E-2</v>
      </c>
      <c r="I37" s="196" t="s">
        <v>790</v>
      </c>
      <c r="J37" s="39"/>
      <c r="K37" s="39"/>
      <c r="L37" s="39"/>
      <c r="M37" s="39"/>
      <c r="O37" s="81">
        <v>0.95</v>
      </c>
      <c r="P37" s="81">
        <f t="shared" si="2"/>
        <v>62.947000000000003</v>
      </c>
      <c r="V37" s="134"/>
    </row>
    <row r="38" spans="1:22" x14ac:dyDescent="0.25">
      <c r="A38">
        <v>0</v>
      </c>
      <c r="B38" s="187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5">
        <f t="shared" si="20"/>
        <v>3.8287980309038858E-3</v>
      </c>
      <c r="I38" s="196" t="s">
        <v>797</v>
      </c>
      <c r="J38" s="39"/>
      <c r="K38" s="39"/>
      <c r="L38" s="39"/>
      <c r="M38" s="39"/>
      <c r="O38" s="81">
        <v>0.94</v>
      </c>
      <c r="P38" s="81">
        <f t="shared" si="2"/>
        <v>62.284399999999998</v>
      </c>
      <c r="V38" s="134"/>
    </row>
    <row r="39" spans="1:22" x14ac:dyDescent="0.25">
      <c r="A39">
        <v>50</v>
      </c>
      <c r="B39" s="187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5">
        <f t="shared" si="20"/>
        <v>-1.4988223439588328E-2</v>
      </c>
      <c r="I39" s="196" t="s">
        <v>863</v>
      </c>
      <c r="J39" s="39"/>
      <c r="K39" s="39"/>
      <c r="L39" s="39"/>
      <c r="M39" s="39"/>
      <c r="O39" s="81">
        <v>0.93</v>
      </c>
      <c r="P39" s="81">
        <f t="shared" si="2"/>
        <v>61.621800000000007</v>
      </c>
      <c r="V39" s="134"/>
    </row>
    <row r="40" spans="1:22" x14ac:dyDescent="0.25">
      <c r="A40">
        <v>0</v>
      </c>
      <c r="B40" s="187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5">
        <f t="shared" si="20"/>
        <v>2.0125515168981138E-2</v>
      </c>
      <c r="I40" s="196" t="s">
        <v>869</v>
      </c>
      <c r="J40" s="39"/>
      <c r="K40" s="39"/>
      <c r="L40" s="39"/>
      <c r="M40" s="39"/>
      <c r="O40" s="81">
        <v>0.92</v>
      </c>
      <c r="P40" s="81">
        <f t="shared" si="2"/>
        <v>60.95920000000001</v>
      </c>
      <c r="V40" s="134"/>
    </row>
    <row r="41" spans="1:22" x14ac:dyDescent="0.25">
      <c r="A41" s="1"/>
      <c r="B41" s="187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5">
        <f t="shared" ref="H41" si="23">(E41-D41)/D41</f>
        <v>3.3135892693763706E-2</v>
      </c>
      <c r="I41" s="196"/>
      <c r="J41" s="39"/>
      <c r="K41" s="39"/>
      <c r="L41" s="39"/>
      <c r="M41" s="39"/>
      <c r="O41" s="81">
        <v>0.91</v>
      </c>
      <c r="P41" s="81">
        <f t="shared" si="2"/>
        <v>60.296600000000005</v>
      </c>
      <c r="Q41" s="2"/>
      <c r="V41" s="134"/>
    </row>
    <row r="42" spans="1:22" ht="20.25" thickBot="1" x14ac:dyDescent="0.35">
      <c r="A42">
        <v>50</v>
      </c>
      <c r="B42" s="187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5">
        <f t="shared" ref="H42:H47" si="26">(E42-D42)/D42</f>
        <v>6.0135923471000961E-2</v>
      </c>
      <c r="I42" s="196"/>
      <c r="J42" s="39"/>
      <c r="K42" s="39"/>
      <c r="L42" s="39"/>
      <c r="M42" s="39"/>
      <c r="O42" s="81">
        <v>0.9</v>
      </c>
      <c r="P42" s="81">
        <f t="shared" si="2"/>
        <v>59.634000000000007</v>
      </c>
      <c r="Q42" s="2"/>
      <c r="T42" s="89"/>
      <c r="V42" s="134"/>
    </row>
    <row r="43" spans="1:22" ht="15.75" thickTop="1" x14ac:dyDescent="0.25">
      <c r="A43">
        <v>50</v>
      </c>
      <c r="B43" s="187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5">
        <f t="shared" si="26"/>
        <v>-5.5785307751065553E-3</v>
      </c>
      <c r="I43" s="196"/>
      <c r="J43" s="39"/>
      <c r="K43" s="39"/>
      <c r="L43" s="39"/>
      <c r="M43" s="39"/>
      <c r="Q43" s="2"/>
      <c r="T43" s="125"/>
      <c r="U43" s="126"/>
      <c r="V43" s="134"/>
    </row>
    <row r="44" spans="1:22" x14ac:dyDescent="0.25">
      <c r="A44">
        <v>50</v>
      </c>
      <c r="B44" s="187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5">
        <f t="shared" si="26"/>
        <v>-2.6032431321152405E-2</v>
      </c>
      <c r="I44" s="196" t="s">
        <v>975</v>
      </c>
      <c r="J44" s="39"/>
      <c r="K44" s="39"/>
      <c r="L44" s="39"/>
      <c r="M44" s="39"/>
      <c r="Q44" s="2"/>
      <c r="T44" s="91"/>
      <c r="U44" s="127"/>
      <c r="V44" s="134"/>
    </row>
    <row r="45" spans="1:22" x14ac:dyDescent="0.25">
      <c r="A45">
        <v>50</v>
      </c>
      <c r="B45" s="187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5">
        <f t="shared" si="26"/>
        <v>-5.7281970499773794E-4</v>
      </c>
      <c r="I45" s="196" t="s">
        <v>976</v>
      </c>
      <c r="J45" s="39"/>
      <c r="K45" s="39"/>
      <c r="L45" s="39"/>
      <c r="M45" s="39"/>
      <c r="Q45" s="2"/>
      <c r="T45" s="91"/>
      <c r="U45" s="127"/>
      <c r="V45" s="134"/>
    </row>
    <row r="46" spans="1:22" x14ac:dyDescent="0.25">
      <c r="A46">
        <v>0</v>
      </c>
      <c r="B46" s="187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5">
        <f t="shared" si="26"/>
        <v>8.9182968929805029E-3</v>
      </c>
      <c r="I46" s="196" t="s">
        <v>977</v>
      </c>
      <c r="J46" s="39"/>
      <c r="K46" s="39"/>
      <c r="L46" s="39"/>
      <c r="M46" s="39"/>
      <c r="Q46" s="2"/>
      <c r="T46" s="91"/>
      <c r="U46" s="127"/>
      <c r="V46" s="134"/>
    </row>
    <row r="47" spans="1:22" x14ac:dyDescent="0.25">
      <c r="A47">
        <v>0</v>
      </c>
      <c r="B47" s="187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5">
        <f t="shared" si="26"/>
        <v>-3.0010965545104835E-3</v>
      </c>
      <c r="I47" s="196">
        <v>69</v>
      </c>
      <c r="J47" s="39"/>
      <c r="K47" s="39"/>
      <c r="L47" s="39"/>
      <c r="M47" s="39"/>
      <c r="Q47" s="2"/>
      <c r="T47" s="91"/>
      <c r="U47" s="127"/>
      <c r="V47" s="134"/>
    </row>
    <row r="48" spans="1:22" x14ac:dyDescent="0.25">
      <c r="A48">
        <v>0</v>
      </c>
      <c r="B48" s="187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5">
        <f t="shared" ref="H48:H49" si="29">(E48-D48)/D48</f>
        <v>1.8641426675131113E-2</v>
      </c>
      <c r="I48" s="196"/>
      <c r="J48" s="39"/>
      <c r="K48" s="39"/>
      <c r="L48" s="39"/>
      <c r="M48" s="39"/>
      <c r="Q48" s="2"/>
      <c r="T48" s="91"/>
      <c r="U48" s="127"/>
      <c r="V48" s="134"/>
    </row>
    <row r="49" spans="1:22" x14ac:dyDescent="0.25">
      <c r="A49">
        <v>50</v>
      </c>
      <c r="B49" s="187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5">
        <f t="shared" si="29"/>
        <v>2.2779967539995404E-2</v>
      </c>
      <c r="I49" s="196" t="s">
        <v>185</v>
      </c>
      <c r="J49" s="39"/>
      <c r="K49" s="39"/>
      <c r="L49" s="39"/>
      <c r="M49" s="39"/>
      <c r="Q49" s="2"/>
      <c r="T49" s="91"/>
      <c r="U49" s="127"/>
      <c r="V49" s="134"/>
    </row>
    <row r="50" spans="1:22" x14ac:dyDescent="0.25">
      <c r="A50">
        <v>50</v>
      </c>
      <c r="B50" s="187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5">
        <f t="shared" ref="H50" si="32">(E50-D50)/D50</f>
        <v>-2.0838163691166277E-2</v>
      </c>
      <c r="I50" s="196"/>
      <c r="J50" s="39"/>
      <c r="K50" s="39"/>
      <c r="L50" s="39"/>
      <c r="M50" s="39"/>
      <c r="Q50" s="2"/>
      <c r="T50" s="91"/>
      <c r="U50" s="127"/>
      <c r="V50" s="134"/>
    </row>
    <row r="51" spans="1:22" x14ac:dyDescent="0.25">
      <c r="A51">
        <v>50</v>
      </c>
      <c r="B51" s="187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5">
        <f t="shared" ref="H51" si="35">(E51-D51)/D51</f>
        <v>-3.4604683514954659E-2</v>
      </c>
      <c r="I51" s="196"/>
      <c r="J51" s="39"/>
      <c r="K51" s="39"/>
      <c r="L51" s="39"/>
      <c r="M51" s="39"/>
      <c r="Q51" s="2"/>
      <c r="T51" s="91"/>
      <c r="U51" s="127"/>
      <c r="V51" s="134"/>
    </row>
    <row r="52" spans="1:22" x14ac:dyDescent="0.25">
      <c r="A52">
        <v>50</v>
      </c>
      <c r="B52" s="187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5">
        <f t="shared" ref="H52" si="38">(E52-D52)/D52</f>
        <v>-4.4168792024113175E-2</v>
      </c>
      <c r="I52" s="196"/>
      <c r="J52" s="39"/>
      <c r="K52" s="39"/>
      <c r="L52" s="39"/>
      <c r="M52" s="39"/>
      <c r="Q52" s="2"/>
      <c r="T52" s="91"/>
      <c r="U52" s="127"/>
      <c r="V52" s="134"/>
    </row>
    <row r="53" spans="1:22" x14ac:dyDescent="0.25">
      <c r="A53">
        <v>200</v>
      </c>
      <c r="B53" s="187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5">
        <f t="shared" ref="H53:H54" si="41">(E53-D53)/D53</f>
        <v>-8.0251565035937819E-2</v>
      </c>
      <c r="I53" s="196">
        <v>69</v>
      </c>
      <c r="J53" s="39"/>
      <c r="K53" s="39"/>
      <c r="L53" s="39"/>
      <c r="M53" s="39">
        <v>10.67</v>
      </c>
      <c r="Q53" s="2"/>
      <c r="T53" s="91"/>
      <c r="U53" s="128"/>
      <c r="V53" s="134"/>
    </row>
    <row r="54" spans="1:22" x14ac:dyDescent="0.25">
      <c r="A54" s="4">
        <v>200</v>
      </c>
      <c r="B54" s="187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5">
        <f t="shared" si="41"/>
        <v>-4.0428923344442924E-2</v>
      </c>
      <c r="I54" s="196"/>
      <c r="J54" s="39"/>
      <c r="K54" s="39"/>
      <c r="L54" s="39"/>
      <c r="M54" s="39"/>
      <c r="T54" s="91"/>
      <c r="U54" s="128"/>
      <c r="V54" s="134"/>
    </row>
    <row r="55" spans="1:22" x14ac:dyDescent="0.25">
      <c r="A55" s="4"/>
      <c r="B55" s="187"/>
      <c r="C55" s="10"/>
      <c r="D55" s="39"/>
      <c r="E55" s="39"/>
      <c r="F55" s="39"/>
      <c r="G55" s="39"/>
      <c r="H55" s="225"/>
      <c r="I55" s="196"/>
      <c r="J55" s="39"/>
      <c r="K55" s="39"/>
      <c r="L55" s="39"/>
      <c r="M55" s="39"/>
      <c r="T55" s="91"/>
      <c r="U55" s="127"/>
      <c r="V55" s="134"/>
    </row>
    <row r="56" spans="1:22" x14ac:dyDescent="0.25">
      <c r="A56" s="4"/>
      <c r="B56" s="187"/>
      <c r="C56" s="10"/>
      <c r="D56" s="39"/>
      <c r="E56" s="39"/>
      <c r="F56" s="39"/>
      <c r="G56" s="39"/>
      <c r="H56" s="225"/>
      <c r="I56" s="196"/>
      <c r="J56" s="39"/>
      <c r="K56" s="39"/>
      <c r="L56" s="39"/>
      <c r="M56" s="39"/>
      <c r="T56" s="91"/>
      <c r="U56" s="127"/>
      <c r="V56" s="134"/>
    </row>
    <row r="57" spans="1:22" x14ac:dyDescent="0.25">
      <c r="A57" s="4"/>
      <c r="B57" s="187"/>
      <c r="C57" s="10"/>
      <c r="D57" s="39"/>
      <c r="E57" s="39"/>
      <c r="F57" s="39"/>
      <c r="G57" s="39"/>
      <c r="H57" s="225"/>
      <c r="I57" s="196"/>
      <c r="J57" s="39"/>
      <c r="K57" s="39"/>
      <c r="L57" s="39"/>
      <c r="M57" s="39"/>
      <c r="T57" s="91"/>
      <c r="U57" s="127"/>
      <c r="V57" s="134"/>
    </row>
    <row r="58" spans="1:22" x14ac:dyDescent="0.25">
      <c r="A58" s="4"/>
      <c r="B58" s="187"/>
      <c r="C58" s="10"/>
      <c r="D58" s="39"/>
      <c r="E58" s="39"/>
      <c r="F58" s="39"/>
      <c r="G58" s="39"/>
      <c r="H58" s="225"/>
      <c r="I58" s="196"/>
      <c r="J58" s="39"/>
      <c r="K58" s="39"/>
      <c r="L58" s="39"/>
      <c r="M58" s="39"/>
      <c r="T58" s="91"/>
      <c r="U58" s="127"/>
      <c r="V58" s="134"/>
    </row>
    <row r="59" spans="1:22" x14ac:dyDescent="0.25">
      <c r="A59" s="4"/>
      <c r="B59" s="187"/>
      <c r="C59" s="10"/>
      <c r="D59" s="39"/>
      <c r="E59" s="39"/>
      <c r="F59" s="39"/>
      <c r="G59" s="39"/>
      <c r="H59" s="225"/>
      <c r="I59" s="196"/>
      <c r="J59" s="39"/>
      <c r="K59" s="39"/>
      <c r="L59" s="39"/>
      <c r="M59" s="39"/>
      <c r="V59" s="134"/>
    </row>
    <row r="60" spans="1:22" x14ac:dyDescent="0.25">
      <c r="A60" s="4"/>
      <c r="B60" s="187"/>
      <c r="C60" s="10"/>
      <c r="D60" s="39"/>
      <c r="E60" s="39"/>
      <c r="F60" s="39"/>
      <c r="G60" s="39"/>
      <c r="H60" s="225"/>
      <c r="I60" s="196"/>
      <c r="J60" s="39"/>
      <c r="K60" s="39"/>
      <c r="L60" s="39"/>
      <c r="M60" s="39"/>
      <c r="V60" s="134"/>
    </row>
    <row r="61" spans="1:22" x14ac:dyDescent="0.25">
      <c r="A61" s="4"/>
      <c r="B61" s="187"/>
      <c r="C61" s="10"/>
      <c r="D61" s="39"/>
      <c r="E61" s="39"/>
      <c r="F61" s="39"/>
      <c r="G61" s="39"/>
      <c r="H61" s="225"/>
      <c r="I61" s="196"/>
      <c r="J61" s="39"/>
      <c r="K61" s="39"/>
      <c r="L61" s="39"/>
      <c r="M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2"/>
      <c r="I62" s="55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2"/>
      <c r="I63" s="55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5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806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V67" s="134"/>
    </row>
    <row r="68" spans="1:22" x14ac:dyDescent="0.25">
      <c r="A68" s="516" t="s">
        <v>748</v>
      </c>
      <c r="B68" s="499"/>
      <c r="C68" s="500"/>
      <c r="D68" s="502"/>
      <c r="E68" s="502"/>
      <c r="F68" s="502"/>
      <c r="G68" s="499"/>
      <c r="H68" s="517"/>
      <c r="I68" s="807"/>
      <c r="J68" s="502"/>
      <c r="K68" s="502"/>
      <c r="L68" s="499"/>
      <c r="M68" s="502"/>
      <c r="V68" s="134"/>
    </row>
    <row r="69" spans="1:22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807"/>
      <c r="J69" s="502"/>
      <c r="K69" s="502"/>
      <c r="L69" s="500"/>
      <c r="M69" s="500"/>
      <c r="V69" s="134"/>
    </row>
    <row r="70" spans="1:22" x14ac:dyDescent="0.25">
      <c r="A70" s="500"/>
      <c r="B70" s="499"/>
      <c r="C70" s="500"/>
      <c r="D70" s="502"/>
      <c r="E70" s="502"/>
      <c r="F70" s="502"/>
      <c r="G70" s="499"/>
      <c r="H70" s="517"/>
      <c r="I70" s="807"/>
      <c r="J70" s="502"/>
      <c r="K70" s="502"/>
      <c r="L70" s="500"/>
      <c r="M70" s="500"/>
    </row>
    <row r="71" spans="1:22" x14ac:dyDescent="0.25">
      <c r="A71" s="500"/>
      <c r="B71" s="499"/>
      <c r="C71" s="500"/>
      <c r="D71" s="502"/>
      <c r="E71" s="502"/>
      <c r="F71" s="502"/>
      <c r="G71" s="500"/>
      <c r="H71" s="517"/>
      <c r="I71" s="807"/>
      <c r="J71" s="502"/>
      <c r="K71" s="502"/>
      <c r="L71" s="500"/>
      <c r="M71" s="500"/>
    </row>
    <row r="72" spans="1:22" x14ac:dyDescent="0.25">
      <c r="A72" s="500"/>
      <c r="B72" s="499"/>
      <c r="C72" s="500"/>
      <c r="D72" s="502"/>
      <c r="E72" s="502"/>
      <c r="F72" s="502"/>
      <c r="G72" s="500"/>
      <c r="H72" s="517"/>
      <c r="I72" s="807"/>
      <c r="J72" s="502"/>
      <c r="K72" s="502"/>
      <c r="L72" s="500"/>
      <c r="M72" s="500"/>
    </row>
    <row r="73" spans="1:22" x14ac:dyDescent="0.25">
      <c r="A73" s="500"/>
      <c r="B73" s="500"/>
      <c r="C73" s="500"/>
      <c r="D73" s="502"/>
      <c r="E73" s="502"/>
      <c r="F73" s="502"/>
      <c r="G73" s="500"/>
      <c r="H73" s="517"/>
      <c r="I73" s="807"/>
      <c r="J73" s="502"/>
      <c r="K73" s="502"/>
      <c r="L73" s="500"/>
      <c r="M73" s="500"/>
    </row>
    <row r="74" spans="1:22" x14ac:dyDescent="0.25">
      <c r="A74" s="500"/>
      <c r="B74" s="500"/>
      <c r="C74" s="500"/>
      <c r="D74" s="502"/>
      <c r="E74" s="502"/>
      <c r="F74" s="502"/>
      <c r="G74" s="500"/>
      <c r="H74" s="517"/>
      <c r="I74" s="807"/>
      <c r="J74" s="502"/>
      <c r="K74" s="502"/>
      <c r="L74" s="500"/>
      <c r="M74" s="500"/>
    </row>
    <row r="75" spans="1:22" x14ac:dyDescent="0.25">
      <c r="A75" s="500"/>
      <c r="B75" s="500"/>
      <c r="C75" s="500"/>
      <c r="D75" s="502"/>
      <c r="E75" s="502"/>
      <c r="F75" s="502"/>
      <c r="G75" s="500"/>
      <c r="H75" s="517"/>
      <c r="I75" s="807"/>
      <c r="J75" s="502"/>
      <c r="K75" s="502"/>
      <c r="L75" s="500"/>
      <c r="M75" s="500"/>
    </row>
    <row r="76" spans="1:22" x14ac:dyDescent="0.25">
      <c r="A76" s="500"/>
      <c r="B76" s="500"/>
      <c r="C76" s="500"/>
      <c r="D76" s="502"/>
      <c r="E76" s="502"/>
      <c r="F76" s="502"/>
      <c r="G76" s="500"/>
      <c r="H76" s="517"/>
      <c r="I76" s="807"/>
      <c r="J76" s="502"/>
      <c r="K76" s="502"/>
      <c r="L76" s="500"/>
      <c r="M76" s="500"/>
    </row>
    <row r="77" spans="1:22" x14ac:dyDescent="0.25">
      <c r="A77" s="500"/>
      <c r="B77" s="500"/>
      <c r="C77" s="500"/>
      <c r="D77" s="502"/>
      <c r="E77" s="502"/>
      <c r="F77" s="502"/>
      <c r="G77" s="500"/>
      <c r="H77" s="517"/>
      <c r="I77" s="807"/>
      <c r="J77" s="502"/>
      <c r="K77" s="502"/>
      <c r="L77" s="500"/>
      <c r="M77" s="500"/>
    </row>
    <row r="78" spans="1:22" x14ac:dyDescent="0.25">
      <c r="A78" s="500"/>
      <c r="B78" s="500"/>
      <c r="C78" s="500"/>
      <c r="D78" s="502"/>
      <c r="E78" s="502"/>
      <c r="F78" s="502"/>
      <c r="G78" s="500"/>
      <c r="H78" s="517"/>
      <c r="I78" s="807"/>
      <c r="J78" s="502"/>
      <c r="K78" s="502"/>
      <c r="L78" s="500"/>
      <c r="M78" s="500"/>
    </row>
    <row r="79" spans="1:22" x14ac:dyDescent="0.25">
      <c r="A79" s="500"/>
      <c r="B79" s="500"/>
      <c r="C79" s="500"/>
      <c r="D79" s="502"/>
      <c r="E79" s="502"/>
      <c r="F79" s="502"/>
      <c r="G79" s="500"/>
      <c r="H79" s="517"/>
      <c r="I79" s="807"/>
      <c r="J79" s="502"/>
      <c r="K79" s="502"/>
      <c r="L79" s="500"/>
      <c r="M79" s="500"/>
    </row>
    <row r="80" spans="1:22" x14ac:dyDescent="0.25">
      <c r="A80" s="500"/>
      <c r="B80" s="500"/>
      <c r="C80" s="500"/>
      <c r="D80" s="502"/>
      <c r="E80" s="502"/>
      <c r="F80" s="502"/>
      <c r="G80" s="500"/>
      <c r="H80" s="517"/>
      <c r="I80" s="807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807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807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807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808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809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196"/>
    </row>
    <row r="90" spans="1:13" x14ac:dyDescent="0.25">
      <c r="B90" s="187"/>
      <c r="C90" s="10"/>
      <c r="D90" s="39"/>
      <c r="E90" s="39"/>
      <c r="F90" s="39"/>
      <c r="G90" s="39"/>
      <c r="H90" s="225"/>
      <c r="I90" s="196"/>
    </row>
    <row r="91" spans="1:13" x14ac:dyDescent="0.25">
      <c r="B91" s="187"/>
      <c r="C91" s="10"/>
      <c r="D91" s="39"/>
      <c r="E91" s="39"/>
      <c r="F91" s="39"/>
      <c r="G91" s="39"/>
      <c r="H91" s="225"/>
      <c r="I91" s="196"/>
    </row>
    <row r="92" spans="1:13" x14ac:dyDescent="0.25">
      <c r="B92" s="187"/>
      <c r="C92" s="10"/>
      <c r="D92" s="39"/>
      <c r="E92" s="39"/>
      <c r="F92" s="39"/>
      <c r="G92" s="39"/>
      <c r="H92" s="225"/>
      <c r="I92" s="196"/>
    </row>
    <row r="93" spans="1:13" x14ac:dyDescent="0.25">
      <c r="B93" s="187"/>
      <c r="C93" s="10"/>
      <c r="D93" s="39"/>
      <c r="E93" s="39"/>
      <c r="F93" s="39"/>
      <c r="G93" s="39"/>
      <c r="H93" s="225"/>
      <c r="I93" s="196"/>
    </row>
    <row r="94" spans="1:13" x14ac:dyDescent="0.25">
      <c r="B94" s="187"/>
      <c r="C94" s="10"/>
      <c r="D94" s="39"/>
      <c r="E94" s="39"/>
      <c r="F94" s="39"/>
      <c r="G94" s="39"/>
      <c r="H94" s="225"/>
      <c r="I94" s="196"/>
    </row>
    <row r="95" spans="1:13" x14ac:dyDescent="0.25">
      <c r="B95" s="187"/>
      <c r="C95" s="10"/>
      <c r="D95" s="39"/>
      <c r="E95" s="39"/>
      <c r="F95" s="39"/>
      <c r="G95" s="39"/>
      <c r="H95" s="225"/>
      <c r="I95" s="196"/>
    </row>
    <row r="96" spans="1:13" x14ac:dyDescent="0.25">
      <c r="B96" s="187"/>
      <c r="C96" s="10"/>
      <c r="D96" s="39"/>
      <c r="E96" s="39"/>
      <c r="F96" s="39"/>
      <c r="G96" s="39"/>
      <c r="H96" s="225"/>
      <c r="I96" s="196"/>
    </row>
    <row r="97" spans="2:9" x14ac:dyDescent="0.25">
      <c r="B97" s="187"/>
      <c r="C97" s="10"/>
      <c r="D97" s="39"/>
      <c r="E97" s="39"/>
      <c r="F97" s="39"/>
      <c r="G97" s="39"/>
      <c r="H97" s="225"/>
      <c r="I97" s="196"/>
    </row>
    <row r="98" spans="2:9" x14ac:dyDescent="0.25">
      <c r="B98" s="187"/>
      <c r="C98" s="10"/>
      <c r="D98" s="39"/>
      <c r="E98" s="39"/>
      <c r="F98" s="39"/>
      <c r="G98" s="39"/>
      <c r="H98" s="225"/>
      <c r="I98" s="196"/>
    </row>
    <row r="99" spans="2:9" x14ac:dyDescent="0.25">
      <c r="B99" s="187"/>
      <c r="C99" s="10"/>
      <c r="D99" s="39"/>
      <c r="E99" s="39"/>
      <c r="F99" s="39"/>
      <c r="G99" s="39"/>
      <c r="H99" s="225"/>
      <c r="I99" s="196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196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196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196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196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196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196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196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196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196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196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196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303" priority="23">
      <formula>F62&gt;0</formula>
    </cfRule>
    <cfRule type="expression" dxfId="1302" priority="24">
      <formula>F62&lt;0</formula>
    </cfRule>
  </conditionalFormatting>
  <conditionalFormatting sqref="Q7">
    <cfRule type="expression" dxfId="1301" priority="21">
      <formula>Q7&gt;0</formula>
    </cfRule>
    <cfRule type="expression" dxfId="1300" priority="22">
      <formula>Q7&lt;0</formula>
    </cfRule>
  </conditionalFormatting>
  <conditionalFormatting sqref="Q8">
    <cfRule type="expression" dxfId="1299" priority="19">
      <formula>Q8&gt;0</formula>
    </cfRule>
    <cfRule type="expression" dxfId="1298" priority="20">
      <formula>Q8&lt;0</formula>
    </cfRule>
  </conditionalFormatting>
  <conditionalFormatting sqref="F25:F61">
    <cfRule type="expression" dxfId="1297" priority="17">
      <formula>F25&gt;0</formula>
    </cfRule>
    <cfRule type="expression" dxfId="1296" priority="18">
      <formula>F25&lt;0</formula>
    </cfRule>
  </conditionalFormatting>
  <conditionalFormatting sqref="H25:H61">
    <cfRule type="expression" dxfId="1295" priority="15">
      <formula>H25&gt;0</formula>
    </cfRule>
    <cfRule type="expression" dxfId="1294" priority="16">
      <formula>H25&lt;0</formula>
    </cfRule>
  </conditionalFormatting>
  <conditionalFormatting sqref="F89:F110">
    <cfRule type="expression" dxfId="1293" priority="13">
      <formula>F89&gt;0</formula>
    </cfRule>
    <cfRule type="expression" dxfId="1292" priority="14">
      <formula>F89&lt;0</formula>
    </cfRule>
  </conditionalFormatting>
  <conditionalFormatting sqref="H89:H110">
    <cfRule type="expression" dxfId="1291" priority="11">
      <formula>H89&gt;0</formula>
    </cfRule>
    <cfRule type="expression" dxfId="1290" priority="12">
      <formula>H89&lt;0</formula>
    </cfRule>
  </conditionalFormatting>
  <conditionalFormatting sqref="Q10">
    <cfRule type="expression" dxfId="1289" priority="9">
      <formula>Q10&gt;0</formula>
    </cfRule>
    <cfRule type="expression" dxfId="1288" priority="10">
      <formula>Q10&lt;0</formula>
    </cfRule>
  </conditionalFormatting>
  <conditionalFormatting sqref="J25:J38">
    <cfRule type="expression" dxfId="1287" priority="7">
      <formula>J25&gt;0</formula>
    </cfRule>
    <cfRule type="expression" dxfId="1286" priority="8">
      <formula>J25&lt;0</formula>
    </cfRule>
  </conditionalFormatting>
  <conditionalFormatting sqref="K25:K38">
    <cfRule type="expression" dxfId="1285" priority="5">
      <formula>K25&gt;0</formula>
    </cfRule>
    <cfRule type="expression" dxfId="1284" priority="6">
      <formula>K25&lt;0</formula>
    </cfRule>
  </conditionalFormatting>
  <conditionalFormatting sqref="L25:L38">
    <cfRule type="expression" dxfId="1283" priority="3">
      <formula>L25&gt;0</formula>
    </cfRule>
    <cfRule type="expression" dxfId="1282" priority="4">
      <formula>L25&lt;0</formula>
    </cfRule>
  </conditionalFormatting>
  <conditionalFormatting sqref="M25:M38">
    <cfRule type="expression" dxfId="1281" priority="1">
      <formula>M25&gt;0</formula>
    </cfRule>
    <cfRule type="expression" dxfId="1280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628.65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628.65</v>
      </c>
      <c r="R4" s="498">
        <v>1.52E-2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5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5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43042</v>
      </c>
      <c r="C27" s="10">
        <v>0</v>
      </c>
      <c r="D27" s="39"/>
      <c r="E27" s="39"/>
      <c r="F27" s="39">
        <v>559.89</v>
      </c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691.51499999999999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685.22850000000005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678.94200000000001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672.65549999999996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666.36900000000003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660.08249999999998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653.79600000000005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647.5095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641.22299999999996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634.93650000000002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628.65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622.36349999999993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616.077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609.79049999999995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603.50399999999991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597.21749999999997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590.93099999999993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584.64449999999999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578.35800000000006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572.07150000000001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565.78499999999997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748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8</v>
      </c>
      <c r="D84" s="521"/>
      <c r="E84" s="521"/>
      <c r="F84" s="521">
        <f>SUM(F68:F72)</f>
        <v>4304</v>
      </c>
      <c r="G84" s="520"/>
      <c r="H84" s="542">
        <f>SUM(H68:H71)</f>
        <v>8</v>
      </c>
      <c r="I84" s="521"/>
      <c r="J84" s="521"/>
      <c r="K84" s="521">
        <f>SUM(K68:K71)</f>
        <v>4863.8900000000003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79" priority="21">
      <formula>F47&gt;0</formula>
    </cfRule>
    <cfRule type="expression" dxfId="1278" priority="22">
      <formula>F47&lt;0</formula>
    </cfRule>
  </conditionalFormatting>
  <conditionalFormatting sqref="Q7">
    <cfRule type="expression" dxfId="1277" priority="19">
      <formula>Q7&gt;0</formula>
    </cfRule>
    <cfRule type="expression" dxfId="1276" priority="20">
      <formula>Q7&lt;0</formula>
    </cfRule>
  </conditionalFormatting>
  <conditionalFormatting sqref="Q8">
    <cfRule type="expression" dxfId="1275" priority="17">
      <formula>Q8&gt;0</formula>
    </cfRule>
    <cfRule type="expression" dxfId="1274" priority="18">
      <formula>Q8&lt;0</formula>
    </cfRule>
  </conditionalFormatting>
  <conditionalFormatting sqref="F25:F46">
    <cfRule type="expression" dxfId="1273" priority="15">
      <formula>F25&gt;0</formula>
    </cfRule>
    <cfRule type="expression" dxfId="1272" priority="16">
      <formula>F25&lt;0</formula>
    </cfRule>
  </conditionalFormatting>
  <conditionalFormatting sqref="H25:H46">
    <cfRule type="expression" dxfId="1271" priority="13">
      <formula>H25&gt;0</formula>
    </cfRule>
    <cfRule type="expression" dxfId="1270" priority="14">
      <formula>H25&lt;0</formula>
    </cfRule>
  </conditionalFormatting>
  <conditionalFormatting sqref="F89:F110">
    <cfRule type="expression" dxfId="1269" priority="11">
      <formula>F89&gt;0</formula>
    </cfRule>
    <cfRule type="expression" dxfId="1268" priority="12">
      <formula>F89&lt;0</formula>
    </cfRule>
  </conditionalFormatting>
  <conditionalFormatting sqref="H89:H110">
    <cfRule type="expression" dxfId="1267" priority="9">
      <formula>H89&gt;0</formula>
    </cfRule>
    <cfRule type="expression" dxfId="1266" priority="10">
      <formula>H89&lt;0</formula>
    </cfRule>
  </conditionalFormatting>
  <conditionalFormatting sqref="Q10">
    <cfRule type="expression" dxfId="1265" priority="7">
      <formula>Q10&gt;0</formula>
    </cfRule>
    <cfRule type="expression" dxfId="1264" priority="8">
      <formula>Q10&lt;0</formula>
    </cfRule>
  </conditionalFormatting>
  <conditionalFormatting sqref="J25:J38">
    <cfRule type="expression" dxfId="1263" priority="5">
      <formula>J25&gt;0</formula>
    </cfRule>
    <cfRule type="expression" dxfId="1262" priority="6">
      <formula>J25&lt;0</formula>
    </cfRule>
  </conditionalFormatting>
  <conditionalFormatting sqref="K25:K38">
    <cfRule type="expression" dxfId="1261" priority="3">
      <formula>K25&gt;0</formula>
    </cfRule>
    <cfRule type="expression" dxfId="1260" priority="4">
      <formula>K25&lt;0</formula>
    </cfRule>
  </conditionalFormatting>
  <conditionalFormatting sqref="L25:L38">
    <cfRule type="expression" dxfId="1259" priority="1">
      <formula>L25&gt;0</formula>
    </cfRule>
    <cfRule type="expression" dxfId="125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967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38.78</v>
      </c>
      <c r="T3" s="1">
        <v>43161</v>
      </c>
      <c r="U3" t="s">
        <v>1014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42.42</v>
      </c>
      <c r="R4" s="498">
        <v>1.1999999999999999E-3</v>
      </c>
      <c r="T4" s="779"/>
      <c r="U4" s="30" t="s">
        <v>1015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8484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728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728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9.3862815884476536E-2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3.2531824611032531E-2</v>
      </c>
      <c r="R11">
        <f>0.345</f>
        <v>0.34499999999999997</v>
      </c>
    </row>
    <row r="12" spans="1:21" x14ac:dyDescent="0.25">
      <c r="H12" s="70"/>
      <c r="O12" s="11" t="s">
        <v>968</v>
      </c>
    </row>
    <row r="13" spans="1:21" x14ac:dyDescent="0.25">
      <c r="H13" s="70"/>
      <c r="O13" s="11" t="s">
        <v>997</v>
      </c>
      <c r="Q13">
        <f>Q4/4.4</f>
        <v>9.6409090909090907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997</v>
      </c>
    </row>
    <row r="25" spans="1:13" x14ac:dyDescent="0.25">
      <c r="B25" s="187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5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7">
        <v>43172</v>
      </c>
      <c r="C26" s="10">
        <v>200</v>
      </c>
      <c r="D26" s="39">
        <v>38.78</v>
      </c>
      <c r="E26" s="39">
        <v>43.86</v>
      </c>
      <c r="F26" s="39">
        <f t="shared" ref="F26:F29" si="4">C26*(E26-D26)</f>
        <v>1015.9999999999997</v>
      </c>
      <c r="G26" s="39">
        <f t="shared" ref="G26:G29" si="5">D26*C26</f>
        <v>7756</v>
      </c>
      <c r="H26" s="225">
        <f t="shared" ref="H26:H29" si="6">(E26-D26)/D26</f>
        <v>0.13099535843218149</v>
      </c>
      <c r="I26" s="39"/>
      <c r="J26" s="39"/>
      <c r="K26" s="39"/>
      <c r="L26" s="39"/>
    </row>
    <row r="27" spans="1:13" x14ac:dyDescent="0.25">
      <c r="B27" s="187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5">
        <f t="shared" si="6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7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5">
        <f t="shared" si="6"/>
        <v>0.16709644146467242</v>
      </c>
      <c r="I28" s="39"/>
      <c r="J28" s="39"/>
      <c r="K28" s="39"/>
      <c r="L28" s="39">
        <v>10.56</v>
      </c>
    </row>
    <row r="29" spans="1:13" x14ac:dyDescent="0.25">
      <c r="A29">
        <v>200</v>
      </c>
      <c r="B29" s="187">
        <v>43206</v>
      </c>
      <c r="C29" s="10">
        <v>200</v>
      </c>
      <c r="D29" s="39">
        <v>38.78</v>
      </c>
      <c r="E29" s="39">
        <v>43.35</v>
      </c>
      <c r="F29" s="39">
        <f t="shared" si="4"/>
        <v>914</v>
      </c>
      <c r="G29" s="39">
        <f t="shared" si="5"/>
        <v>7756</v>
      </c>
      <c r="H29" s="225">
        <f t="shared" si="6"/>
        <v>0.11784424961320268</v>
      </c>
      <c r="I29" s="39"/>
      <c r="J29" s="39"/>
      <c r="K29" s="39"/>
      <c r="L29" s="39">
        <v>9.85</v>
      </c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46.662000000000006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7">O42*$Q$4</f>
        <v>46.237800000000007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7"/>
        <v>45.813600000000008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7"/>
        <v>45.389400000000002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7"/>
        <v>44.965200000000003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7"/>
        <v>44.541000000000004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7"/>
        <v>44.116800000000005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7"/>
        <v>43.692600000000006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7"/>
        <v>43.2684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7"/>
        <v>42.844200000000001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7"/>
        <v>42.42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7"/>
        <v>41.995800000000003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7"/>
        <v>41.571600000000004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7"/>
        <v>41.147399999999998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7"/>
        <v>40.723199999999999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7"/>
        <v>40.298999999999999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7"/>
        <v>39.8748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7"/>
        <v>39.450600000000001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7"/>
        <v>39.026400000000002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7"/>
        <v>38.602200000000003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7"/>
        <v>38.178000000000004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7" priority="35">
      <formula>F47&gt;0</formula>
    </cfRule>
    <cfRule type="expression" dxfId="1256" priority="36">
      <formula>F47&lt;0</formula>
    </cfRule>
  </conditionalFormatting>
  <conditionalFormatting sqref="Q7">
    <cfRule type="expression" dxfId="1255" priority="33">
      <formula>Q7&gt;0</formula>
    </cfRule>
    <cfRule type="expression" dxfId="1254" priority="34">
      <formula>Q7&lt;0</formula>
    </cfRule>
  </conditionalFormatting>
  <conditionalFormatting sqref="Q8">
    <cfRule type="expression" dxfId="1253" priority="31">
      <formula>Q8&gt;0</formula>
    </cfRule>
    <cfRule type="expression" dxfId="1252" priority="32">
      <formula>Q8&lt;0</formula>
    </cfRule>
  </conditionalFormatting>
  <conditionalFormatting sqref="F30:F46">
    <cfRule type="expression" dxfId="1251" priority="29">
      <formula>F30&gt;0</formula>
    </cfRule>
    <cfRule type="expression" dxfId="1250" priority="30">
      <formula>F30&lt;0</formula>
    </cfRule>
  </conditionalFormatting>
  <conditionalFormatting sqref="H30:H46">
    <cfRule type="expression" dxfId="1249" priority="27">
      <formula>H30&gt;0</formula>
    </cfRule>
    <cfRule type="expression" dxfId="1248" priority="28">
      <formula>H30&lt;0</formula>
    </cfRule>
  </conditionalFormatting>
  <conditionalFormatting sqref="Q10">
    <cfRule type="expression" dxfId="1247" priority="25">
      <formula>Q10&gt;0</formula>
    </cfRule>
    <cfRule type="expression" dxfId="1246" priority="26">
      <formula>Q10&lt;0</formula>
    </cfRule>
  </conditionalFormatting>
  <conditionalFormatting sqref="J25:J38">
    <cfRule type="expression" dxfId="1245" priority="23">
      <formula>J25&gt;0</formula>
    </cfRule>
    <cfRule type="expression" dxfId="1244" priority="24">
      <formula>J25&lt;0</formula>
    </cfRule>
  </conditionalFormatting>
  <conditionalFormatting sqref="K25:K38">
    <cfRule type="expression" dxfId="1243" priority="21">
      <formula>K25&gt;0</formula>
    </cfRule>
    <cfRule type="expression" dxfId="1242" priority="22">
      <formula>K25&lt;0</formula>
    </cfRule>
  </conditionalFormatting>
  <conditionalFormatting sqref="L25">
    <cfRule type="expression" dxfId="1241" priority="19">
      <formula>L25&gt;0</formula>
    </cfRule>
    <cfRule type="expression" dxfId="1240" priority="20">
      <formula>L25&lt;0</formula>
    </cfRule>
  </conditionalFormatting>
  <conditionalFormatting sqref="F89:F110">
    <cfRule type="expression" dxfId="1239" priority="17">
      <formula>F89&gt;0</formula>
    </cfRule>
    <cfRule type="expression" dxfId="1238" priority="18">
      <formula>F89&lt;0</formula>
    </cfRule>
  </conditionalFormatting>
  <conditionalFormatting sqref="H89:H110">
    <cfRule type="expression" dxfId="1237" priority="15">
      <formula>H89&gt;0</formula>
    </cfRule>
    <cfRule type="expression" dxfId="1236" priority="16">
      <formula>H89&lt;0</formula>
    </cfRule>
  </conditionalFormatting>
  <conditionalFormatting sqref="J89:J102">
    <cfRule type="expression" dxfId="1235" priority="13">
      <formula>J89&gt;0</formula>
    </cfRule>
    <cfRule type="expression" dxfId="1234" priority="14">
      <formula>J89&lt;0</formula>
    </cfRule>
  </conditionalFormatting>
  <conditionalFormatting sqref="K89:K102">
    <cfRule type="expression" dxfId="1233" priority="11">
      <formula>K89&gt;0</formula>
    </cfRule>
    <cfRule type="expression" dxfId="1232" priority="12">
      <formula>K89&lt;0</formula>
    </cfRule>
  </conditionalFormatting>
  <conditionalFormatting sqref="L89:L102">
    <cfRule type="expression" dxfId="1231" priority="9">
      <formula>L89&gt;0</formula>
    </cfRule>
    <cfRule type="expression" dxfId="1230" priority="10">
      <formula>L89&lt;0</formula>
    </cfRule>
  </conditionalFormatting>
  <conditionalFormatting sqref="F29">
    <cfRule type="expression" dxfId="1229" priority="7">
      <formula>F29&gt;0</formula>
    </cfRule>
    <cfRule type="expression" dxfId="1228" priority="8">
      <formula>F29&lt;0</formula>
    </cfRule>
  </conditionalFormatting>
  <conditionalFormatting sqref="H29">
    <cfRule type="expression" dxfId="1227" priority="5">
      <formula>H29&gt;0</formula>
    </cfRule>
    <cfRule type="expression" dxfId="1226" priority="6">
      <formula>H29&lt;0</formula>
    </cfRule>
  </conditionalFormatting>
  <conditionalFormatting sqref="F25:F28">
    <cfRule type="expression" dxfId="1225" priority="3">
      <formula>F25&gt;0</formula>
    </cfRule>
    <cfRule type="expression" dxfId="1224" priority="4">
      <formula>F25&lt;0</formula>
    </cfRule>
  </conditionalFormatting>
  <conditionalFormatting sqref="H25:H28">
    <cfRule type="expression" dxfId="1223" priority="1">
      <formula>H25&gt;0</formula>
    </cfRule>
    <cfRule type="expression" dxfId="12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203.54</v>
      </c>
      <c r="R4" s="498">
        <v>8.3999999999999995E-3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4070.7999999999997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110.79999999999973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110.79999999999973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2.797979797979791E-2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R11/Q4</f>
        <v>8.646949002653042E-3</v>
      </c>
      <c r="R11">
        <v>1.76</v>
      </c>
    </row>
    <row r="12" spans="1:21" x14ac:dyDescent="0.25">
      <c r="H12" s="70"/>
      <c r="O12" s="11" t="s">
        <v>1021</v>
      </c>
      <c r="Q12" s="29" t="s">
        <v>1024</v>
      </c>
    </row>
    <row r="13" spans="1:21" x14ac:dyDescent="0.25">
      <c r="H13" s="70"/>
      <c r="O13" s="11" t="s">
        <v>997</v>
      </c>
      <c r="Q13">
        <f>Q4/8.62</f>
        <v>23.612529002320187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43161</v>
      </c>
      <c r="C25" s="10">
        <v>20</v>
      </c>
      <c r="D25" s="39">
        <v>198</v>
      </c>
      <c r="E25" s="39"/>
      <c r="F25" s="39"/>
      <c r="G25" s="39"/>
      <c r="H25" s="225"/>
      <c r="I25" s="39"/>
      <c r="J25" s="39"/>
      <c r="K25" s="39"/>
      <c r="L25" s="39"/>
    </row>
    <row r="26" spans="1:13" x14ac:dyDescent="0.25">
      <c r="A26" s="1">
        <v>43192</v>
      </c>
      <c r="B26" s="187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223.89400000000001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">O42*$Q$4</f>
        <v>221.8586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"/>
        <v>219.82320000000001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"/>
        <v>217.7878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"/>
        <v>215.75239999999999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"/>
        <v>213.71700000000001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"/>
        <v>211.6816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"/>
        <v>209.64619999999999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"/>
        <v>207.61079999999998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"/>
        <v>205.5754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"/>
        <v>203.54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"/>
        <v>201.50459999999998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"/>
        <v>199.4692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"/>
        <v>197.43379999999999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"/>
        <v>195.39839999999998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"/>
        <v>193.36299999999997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191.32759999999999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"/>
        <v>189.29220000000001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"/>
        <v>187.2568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"/>
        <v>185.22139999999999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"/>
        <v>183.18600000000001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1" priority="31">
      <formula>F47&gt;0</formula>
    </cfRule>
    <cfRule type="expression" dxfId="1220" priority="32">
      <formula>F47&lt;0</formula>
    </cfRule>
  </conditionalFormatting>
  <conditionalFormatting sqref="Q7">
    <cfRule type="expression" dxfId="1219" priority="29">
      <formula>Q7&gt;0</formula>
    </cfRule>
    <cfRule type="expression" dxfId="1218" priority="30">
      <formula>Q7&lt;0</formula>
    </cfRule>
  </conditionalFormatting>
  <conditionalFormatting sqref="Q8">
    <cfRule type="expression" dxfId="1217" priority="27">
      <formula>Q8&gt;0</formula>
    </cfRule>
    <cfRule type="expression" dxfId="1216" priority="28">
      <formula>Q8&lt;0</formula>
    </cfRule>
  </conditionalFormatting>
  <conditionalFormatting sqref="F30:F46">
    <cfRule type="expression" dxfId="1215" priority="25">
      <formula>F30&gt;0</formula>
    </cfRule>
    <cfRule type="expression" dxfId="1214" priority="26">
      <formula>F30&lt;0</formula>
    </cfRule>
  </conditionalFormatting>
  <conditionalFormatting sqref="H30:H46">
    <cfRule type="expression" dxfId="1213" priority="23">
      <formula>H30&gt;0</formula>
    </cfRule>
    <cfRule type="expression" dxfId="1212" priority="24">
      <formula>H30&lt;0</formula>
    </cfRule>
  </conditionalFormatting>
  <conditionalFormatting sqref="Q10">
    <cfRule type="expression" dxfId="1211" priority="21">
      <formula>Q10&gt;0</formula>
    </cfRule>
    <cfRule type="expression" dxfId="1210" priority="22">
      <formula>Q10&lt;0</formula>
    </cfRule>
  </conditionalFormatting>
  <conditionalFormatting sqref="J25:J38">
    <cfRule type="expression" dxfId="1209" priority="19">
      <formula>J25&gt;0</formula>
    </cfRule>
    <cfRule type="expression" dxfId="1208" priority="20">
      <formula>J25&lt;0</formula>
    </cfRule>
  </conditionalFormatting>
  <conditionalFormatting sqref="K25:K38">
    <cfRule type="expression" dxfId="1207" priority="17">
      <formula>K25&gt;0</formula>
    </cfRule>
    <cfRule type="expression" dxfId="1206" priority="18">
      <formula>K25&lt;0</formula>
    </cfRule>
  </conditionalFormatting>
  <conditionalFormatting sqref="L25:L38">
    <cfRule type="expression" dxfId="1205" priority="15">
      <formula>L25&gt;0</formula>
    </cfRule>
    <cfRule type="expression" dxfId="1204" priority="16">
      <formula>L25&lt;0</formula>
    </cfRule>
  </conditionalFormatting>
  <conditionalFormatting sqref="F89:F110">
    <cfRule type="expression" dxfId="1203" priority="13">
      <formula>F89&gt;0</formula>
    </cfRule>
    <cfRule type="expression" dxfId="1202" priority="14">
      <formula>F89&lt;0</formula>
    </cfRule>
  </conditionalFormatting>
  <conditionalFormatting sqref="H89:H110">
    <cfRule type="expression" dxfId="1201" priority="11">
      <formula>H89&gt;0</formula>
    </cfRule>
    <cfRule type="expression" dxfId="1200" priority="12">
      <formula>H89&lt;0</formula>
    </cfRule>
  </conditionalFormatting>
  <conditionalFormatting sqref="J89:J102">
    <cfRule type="expression" dxfId="1199" priority="9">
      <formula>J89&gt;0</formula>
    </cfRule>
    <cfRule type="expression" dxfId="1198" priority="10">
      <formula>J89&lt;0</formula>
    </cfRule>
  </conditionalFormatting>
  <conditionalFormatting sqref="K89:K102">
    <cfRule type="expression" dxfId="1197" priority="7">
      <formula>K89&gt;0</formula>
    </cfRule>
    <cfRule type="expression" dxfId="1196" priority="8">
      <formula>K89&lt;0</formula>
    </cfRule>
  </conditionalFormatting>
  <conditionalFormatting sqref="L89:L102">
    <cfRule type="expression" dxfId="1195" priority="5">
      <formula>L89&gt;0</formula>
    </cfRule>
    <cfRule type="expression" dxfId="1194" priority="6">
      <formula>L89&lt;0</formula>
    </cfRule>
  </conditionalFormatting>
  <conditionalFormatting sqref="F25:F29">
    <cfRule type="expression" dxfId="1193" priority="3">
      <formula>F25&gt;0</formula>
    </cfRule>
    <cfRule type="expression" dxfId="1192" priority="4">
      <formula>F25&lt;0</formula>
    </cfRule>
  </conditionalFormatting>
  <conditionalFormatting sqref="H25:H29">
    <cfRule type="expression" dxfId="1191" priority="1">
      <formula>H25&gt;0</formula>
    </cfRule>
    <cfRule type="expression" dxfId="11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77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60.79</v>
      </c>
      <c r="R4" s="498">
        <v>-1.46E-2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6079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-355.75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-355.75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-5.5285753137262521E-2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4.1125185063332785E-2</v>
      </c>
      <c r="R11">
        <f>0.625</f>
        <v>0.625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f>Q4/3.79</f>
        <v>16.03957783641161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31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5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7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5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7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5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7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5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7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5">
        <f t="shared" ref="H29" si="15">(E29-D29)/D29</f>
        <v>-5.6684408873693526E-2</v>
      </c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7" t="s">
        <v>78</v>
      </c>
      <c r="P40" s="847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66.869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6">O42*$Q$4</f>
        <v>66.261099999999999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6"/>
        <v>65.653199999999998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6"/>
        <v>65.045299999999997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6"/>
        <v>64.437399999999997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6"/>
        <v>63.829500000000003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6"/>
        <v>63.221600000000002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6"/>
        <v>62.613700000000001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6"/>
        <v>62.005800000000001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6"/>
        <v>61.3979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6"/>
        <v>60.79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6"/>
        <v>60.182099999999998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6"/>
        <v>59.574199999999998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6"/>
        <v>58.966299999999997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6"/>
        <v>58.358399999999996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6"/>
        <v>57.750499999999995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6"/>
        <v>57.142599999999995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6"/>
        <v>56.534700000000001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6"/>
        <v>55.9268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6"/>
        <v>55.318899999999999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6"/>
        <v>54.710999999999999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9" priority="31">
      <formula>F47&gt;0</formula>
    </cfRule>
    <cfRule type="expression" dxfId="1188" priority="32">
      <formula>F47&lt;0</formula>
    </cfRule>
  </conditionalFormatting>
  <conditionalFormatting sqref="Q7">
    <cfRule type="expression" dxfId="1187" priority="29">
      <formula>Q7&gt;0</formula>
    </cfRule>
    <cfRule type="expression" dxfId="1186" priority="30">
      <formula>Q7&lt;0</formula>
    </cfRule>
  </conditionalFormatting>
  <conditionalFormatting sqref="Q8">
    <cfRule type="expression" dxfId="1185" priority="27">
      <formula>Q8&gt;0</formula>
    </cfRule>
    <cfRule type="expression" dxfId="1184" priority="28">
      <formula>Q8&lt;0</formula>
    </cfRule>
  </conditionalFormatting>
  <conditionalFormatting sqref="F30:F46">
    <cfRule type="expression" dxfId="1183" priority="25">
      <formula>F30&gt;0</formula>
    </cfRule>
    <cfRule type="expression" dxfId="1182" priority="26">
      <formula>F30&lt;0</formula>
    </cfRule>
  </conditionalFormatting>
  <conditionalFormatting sqref="H30:H46">
    <cfRule type="expression" dxfId="1181" priority="23">
      <formula>H30&gt;0</formula>
    </cfRule>
    <cfRule type="expression" dxfId="1180" priority="24">
      <formula>H30&lt;0</formula>
    </cfRule>
  </conditionalFormatting>
  <conditionalFormatting sqref="Q10">
    <cfRule type="expression" dxfId="1179" priority="21">
      <formula>Q10&gt;0</formula>
    </cfRule>
    <cfRule type="expression" dxfId="1178" priority="22">
      <formula>Q10&lt;0</formula>
    </cfRule>
  </conditionalFormatting>
  <conditionalFormatting sqref="J25:J38">
    <cfRule type="expression" dxfId="1177" priority="19">
      <formula>J25&gt;0</formula>
    </cfRule>
    <cfRule type="expression" dxfId="1176" priority="20">
      <formula>J25&lt;0</formula>
    </cfRule>
  </conditionalFormatting>
  <conditionalFormatting sqref="K25:K38">
    <cfRule type="expression" dxfId="1175" priority="17">
      <formula>K25&gt;0</formula>
    </cfRule>
    <cfRule type="expression" dxfId="1174" priority="18">
      <formula>K25&lt;0</formula>
    </cfRule>
  </conditionalFormatting>
  <conditionalFormatting sqref="L25:L38">
    <cfRule type="expression" dxfId="1173" priority="15">
      <formula>L25&gt;0</formula>
    </cfRule>
    <cfRule type="expression" dxfId="1172" priority="16">
      <formula>L25&lt;0</formula>
    </cfRule>
  </conditionalFormatting>
  <conditionalFormatting sqref="F89:F110">
    <cfRule type="expression" dxfId="1171" priority="13">
      <formula>F89&gt;0</formula>
    </cfRule>
    <cfRule type="expression" dxfId="1170" priority="14">
      <formula>F89&lt;0</formula>
    </cfRule>
  </conditionalFormatting>
  <conditionalFormatting sqref="H89:H110">
    <cfRule type="expression" dxfId="1169" priority="11">
      <formula>H89&gt;0</formula>
    </cfRule>
    <cfRule type="expression" dxfId="1168" priority="12">
      <formula>H89&lt;0</formula>
    </cfRule>
  </conditionalFormatting>
  <conditionalFormatting sqref="J89:J102">
    <cfRule type="expression" dxfId="1167" priority="9">
      <formula>J89&gt;0</formula>
    </cfRule>
    <cfRule type="expression" dxfId="1166" priority="10">
      <formula>J89&lt;0</formula>
    </cfRule>
  </conditionalFormatting>
  <conditionalFormatting sqref="K89:K102">
    <cfRule type="expression" dxfId="1165" priority="7">
      <formula>K89&gt;0</formula>
    </cfRule>
    <cfRule type="expression" dxfId="1164" priority="8">
      <formula>K89&lt;0</formula>
    </cfRule>
  </conditionalFormatting>
  <conditionalFormatting sqref="L89:L102">
    <cfRule type="expression" dxfId="1163" priority="5">
      <formula>L89&gt;0</formula>
    </cfRule>
    <cfRule type="expression" dxfId="1162" priority="6">
      <formula>L89&lt;0</formula>
    </cfRule>
  </conditionalFormatting>
  <conditionalFormatting sqref="F25:F29">
    <cfRule type="expression" dxfId="1161" priority="3">
      <formula>F25&gt;0</formula>
    </cfRule>
    <cfRule type="expression" dxfId="1160" priority="4">
      <formula>F25&lt;0</formula>
    </cfRule>
  </conditionalFormatting>
  <conditionalFormatting sqref="H25:H29">
    <cfRule type="expression" dxfId="1159" priority="1">
      <formula>H25&gt;0</formula>
    </cfRule>
    <cfRule type="expression" dxfId="11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7">
        <v>43137</v>
      </c>
      <c r="C2" s="7">
        <v>200</v>
      </c>
      <c r="D2" s="43">
        <v>30.58</v>
      </c>
      <c r="E2" s="43">
        <v>0</v>
      </c>
      <c r="F2" s="43">
        <f t="shared" ref="F2:F4" si="0">C2*D2+E2</f>
        <v>6116</v>
      </c>
      <c r="G2" s="437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948</v>
      </c>
    </row>
    <row r="3" spans="1:21" x14ac:dyDescent="0.25">
      <c r="A3" s="22" t="s">
        <v>71</v>
      </c>
      <c r="B3" s="7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79"/>
      <c r="I3" s="3"/>
      <c r="J3" s="3"/>
      <c r="K3" s="3"/>
      <c r="L3" s="72">
        <v>43188</v>
      </c>
      <c r="M3" s="7">
        <v>65.92</v>
      </c>
      <c r="O3" s="11" t="s">
        <v>58</v>
      </c>
      <c r="Q3" s="224">
        <f>IF(Q2=0, Q4, (F18-K18-M18)/Q2)</f>
        <v>29.493499999999997</v>
      </c>
      <c r="T3" s="1"/>
    </row>
    <row r="4" spans="1:21" x14ac:dyDescent="0.25">
      <c r="B4" s="477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31.85</v>
      </c>
      <c r="R4" s="498">
        <v>-2.2000000000000001E-3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6370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5898.7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471.30000000000018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471.30000000000018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7.9898960787970263E-2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8.2888540031397173E-2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7" t="s">
        <v>78</v>
      </c>
      <c r="P16" s="847"/>
    </row>
    <row r="17" spans="1:16" ht="15.75" thickTop="1" x14ac:dyDescent="0.25">
      <c r="O17" s="81">
        <v>1.1000000000000001</v>
      </c>
      <c r="P17" s="81">
        <f>O17*$Q$4</f>
        <v>35.035000000000004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200</v>
      </c>
      <c r="I18" s="18"/>
      <c r="J18" s="18"/>
      <c r="K18" s="18">
        <f>SUM(K2:K5)</f>
        <v>6335.85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34.716500000000003</v>
      </c>
    </row>
    <row r="19" spans="1:16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6116</v>
      </c>
      <c r="G19" s="346"/>
      <c r="H19" s="346">
        <f>SumByColor($A$19,H2:H17)</f>
        <v>200</v>
      </c>
      <c r="I19" s="346"/>
      <c r="J19" s="346"/>
      <c r="K19" s="347">
        <f>SumByColor($A$19,K2:K17)</f>
        <v>6336</v>
      </c>
      <c r="L19" s="346"/>
      <c r="M19" s="347">
        <f>SumByColor($A$19,M2:M17)</f>
        <v>110</v>
      </c>
      <c r="O19" s="81">
        <v>1.08</v>
      </c>
      <c r="P19" s="81">
        <f t="shared" si="1"/>
        <v>34.398000000000003</v>
      </c>
    </row>
    <row r="20" spans="1:16" x14ac:dyDescent="0.25">
      <c r="O20" s="81">
        <v>1.07</v>
      </c>
      <c r="P20" s="81">
        <f t="shared" si="1"/>
        <v>34.079500000000003</v>
      </c>
    </row>
    <row r="21" spans="1:16" x14ac:dyDescent="0.25">
      <c r="O21" s="81">
        <v>1.06</v>
      </c>
      <c r="P21" s="81">
        <f t="shared" si="1"/>
        <v>33.761000000000003</v>
      </c>
    </row>
    <row r="22" spans="1:16" x14ac:dyDescent="0.25">
      <c r="O22" s="81">
        <v>1.05</v>
      </c>
      <c r="P22" s="81">
        <f t="shared" si="1"/>
        <v>33.442500000000003</v>
      </c>
    </row>
    <row r="23" spans="1:16" x14ac:dyDescent="0.25">
      <c r="O23" s="81">
        <v>1.04</v>
      </c>
      <c r="P23" s="81">
        <f t="shared" si="1"/>
        <v>33.124000000000002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32.805500000000002</v>
      </c>
    </row>
    <row r="25" spans="1:16" x14ac:dyDescent="0.25">
      <c r="B25" s="187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5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32.487000000000002</v>
      </c>
    </row>
    <row r="26" spans="1:16" x14ac:dyDescent="0.25">
      <c r="B26" s="187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5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32.168500000000002</v>
      </c>
    </row>
    <row r="27" spans="1:16" x14ac:dyDescent="0.25">
      <c r="B27" s="187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5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31.85</v>
      </c>
    </row>
    <row r="28" spans="1:16" x14ac:dyDescent="0.25">
      <c r="B28" s="187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5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31.531500000000001</v>
      </c>
    </row>
    <row r="29" spans="1:16" x14ac:dyDescent="0.25">
      <c r="B29" s="187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5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31.213000000000001</v>
      </c>
    </row>
    <row r="30" spans="1:16" x14ac:dyDescent="0.25">
      <c r="B30" s="187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5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30.894500000000001</v>
      </c>
    </row>
    <row r="31" spans="1:16" x14ac:dyDescent="0.25">
      <c r="B31" s="187">
        <v>43191</v>
      </c>
      <c r="C31" s="10">
        <v>400</v>
      </c>
      <c r="D31" s="39">
        <v>30.586400000000001</v>
      </c>
      <c r="E31" s="39">
        <v>31.26</v>
      </c>
      <c r="F31" s="39">
        <f t="shared" ref="F31:F32" si="20">C31*(E31-D31)</f>
        <v>269.44000000000017</v>
      </c>
      <c r="G31" s="39">
        <f t="shared" ref="G31:G32" si="21">D31*C31</f>
        <v>12234.560000000001</v>
      </c>
      <c r="H31" s="225">
        <f t="shared" ref="H31:H32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30.576000000000001</v>
      </c>
    </row>
    <row r="32" spans="1:16" x14ac:dyDescent="0.25">
      <c r="A32">
        <v>0</v>
      </c>
      <c r="B32" s="187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5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30.2575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29.939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29.620500000000003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29.302000000000003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28.983500000000003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28.665000000000003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7" priority="35">
      <formula>F47&gt;0</formula>
    </cfRule>
    <cfRule type="expression" dxfId="1156" priority="36">
      <formula>F47&lt;0</formula>
    </cfRule>
  </conditionalFormatting>
  <conditionalFormatting sqref="Q7">
    <cfRule type="expression" dxfId="1155" priority="33">
      <formula>Q7&gt;0</formula>
    </cfRule>
    <cfRule type="expression" dxfId="1154" priority="34">
      <formula>Q7&lt;0</formula>
    </cfRule>
  </conditionalFormatting>
  <conditionalFormatting sqref="Q8">
    <cfRule type="expression" dxfId="1153" priority="31">
      <formula>Q8&gt;0</formula>
    </cfRule>
    <cfRule type="expression" dxfId="1152" priority="32">
      <formula>Q8&lt;0</formula>
    </cfRule>
  </conditionalFormatting>
  <conditionalFormatting sqref="F32:F46">
    <cfRule type="expression" dxfId="1151" priority="29">
      <formula>F32&gt;0</formula>
    </cfRule>
    <cfRule type="expression" dxfId="1150" priority="30">
      <formula>F32&lt;0</formula>
    </cfRule>
  </conditionalFormatting>
  <conditionalFormatting sqref="H32:H46">
    <cfRule type="expression" dxfId="1149" priority="27">
      <formula>H32&gt;0</formula>
    </cfRule>
    <cfRule type="expression" dxfId="1148" priority="28">
      <formula>H32&lt;0</formula>
    </cfRule>
  </conditionalFormatting>
  <conditionalFormatting sqref="Q10">
    <cfRule type="expression" dxfId="1147" priority="25">
      <formula>Q10&gt;0</formula>
    </cfRule>
    <cfRule type="expression" dxfId="1146" priority="26">
      <formula>Q10&lt;0</formula>
    </cfRule>
  </conditionalFormatting>
  <conditionalFormatting sqref="J25:J38">
    <cfRule type="expression" dxfId="1145" priority="23">
      <formula>J25&gt;0</formula>
    </cfRule>
    <cfRule type="expression" dxfId="1144" priority="24">
      <formula>J25&lt;0</formula>
    </cfRule>
  </conditionalFormatting>
  <conditionalFormatting sqref="K25:K38">
    <cfRule type="expression" dxfId="1143" priority="21">
      <formula>K25&gt;0</formula>
    </cfRule>
    <cfRule type="expression" dxfId="1142" priority="22">
      <formula>K25&lt;0</formula>
    </cfRule>
  </conditionalFormatting>
  <conditionalFormatting sqref="L25:L38">
    <cfRule type="expression" dxfId="1141" priority="19">
      <formula>L25&gt;0</formula>
    </cfRule>
    <cfRule type="expression" dxfId="1140" priority="20">
      <formula>L25&lt;0</formula>
    </cfRule>
  </conditionalFormatting>
  <conditionalFormatting sqref="F89:F110">
    <cfRule type="expression" dxfId="1139" priority="17">
      <formula>F89&gt;0</formula>
    </cfRule>
    <cfRule type="expression" dxfId="1138" priority="18">
      <formula>F89&lt;0</formula>
    </cfRule>
  </conditionalFormatting>
  <conditionalFormatting sqref="H89:H110">
    <cfRule type="expression" dxfId="1137" priority="15">
      <formula>H89&gt;0</formula>
    </cfRule>
    <cfRule type="expression" dxfId="1136" priority="16">
      <formula>H89&lt;0</formula>
    </cfRule>
  </conditionalFormatting>
  <conditionalFormatting sqref="J89:J102">
    <cfRule type="expression" dxfId="1135" priority="13">
      <formula>J89&gt;0</formula>
    </cfRule>
    <cfRule type="expression" dxfId="1134" priority="14">
      <formula>J89&lt;0</formula>
    </cfRule>
  </conditionalFormatting>
  <conditionalFormatting sqref="K89:K102">
    <cfRule type="expression" dxfId="1133" priority="11">
      <formula>K89&gt;0</formula>
    </cfRule>
    <cfRule type="expression" dxfId="1132" priority="12">
      <formula>K89&lt;0</formula>
    </cfRule>
  </conditionalFormatting>
  <conditionalFormatting sqref="L89:L102">
    <cfRule type="expression" dxfId="1131" priority="9">
      <formula>L89&gt;0</formula>
    </cfRule>
    <cfRule type="expression" dxfId="1130" priority="10">
      <formula>L89&lt;0</formula>
    </cfRule>
  </conditionalFormatting>
  <conditionalFormatting sqref="F25:F28">
    <cfRule type="expression" dxfId="1129" priority="7">
      <formula>F25&gt;0</formula>
    </cfRule>
    <cfRule type="expression" dxfId="1128" priority="8">
      <formula>F25&lt;0</formula>
    </cfRule>
  </conditionalFormatting>
  <conditionalFormatting sqref="H25:H28">
    <cfRule type="expression" dxfId="1127" priority="5">
      <formula>H25&gt;0</formula>
    </cfRule>
    <cfRule type="expression" dxfId="1126" priority="6">
      <formula>H25&lt;0</formula>
    </cfRule>
  </conditionalFormatting>
  <conditionalFormatting sqref="F29:F31">
    <cfRule type="expression" dxfId="1125" priority="3">
      <formula>F29&gt;0</formula>
    </cfRule>
    <cfRule type="expression" dxfId="1124" priority="4">
      <formula>F29&lt;0</formula>
    </cfRule>
  </conditionalFormatting>
  <conditionalFormatting sqref="H29:H31">
    <cfRule type="expression" dxfId="1123" priority="1">
      <formula>H29&gt;0</formula>
    </cfRule>
    <cfRule type="expression" dxfId="1122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940</v>
      </c>
      <c r="B2" s="437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37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986</v>
      </c>
      <c r="U2" t="s">
        <v>987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140.6174</v>
      </c>
      <c r="T3" s="1"/>
    </row>
    <row r="4" spans="1:21" x14ac:dyDescent="0.25">
      <c r="B4" s="477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131.26</v>
      </c>
      <c r="R4" s="498">
        <v>-5.7999999999999996E-3</v>
      </c>
      <c r="T4" s="779">
        <v>43193</v>
      </c>
      <c r="U4" s="30" t="s">
        <v>994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6563</v>
      </c>
      <c r="U5" s="478" t="s">
        <v>1031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-467.8700000000008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-467.8700000000008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-6.65451075044768E-2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968</v>
      </c>
      <c r="Q12" s="1"/>
    </row>
    <row r="13" spans="1:21" x14ac:dyDescent="0.25">
      <c r="H13" s="70"/>
      <c r="O13" s="11" t="s">
        <v>997</v>
      </c>
      <c r="Q13">
        <f>Q4/8.62</f>
        <v>15.227378190255221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87" t="s">
        <v>78</v>
      </c>
      <c r="P18" s="787"/>
    </row>
    <row r="19" spans="1:16" ht="16.5" thickTop="1" thickBot="1" x14ac:dyDescent="0.3">
      <c r="A19" s="344" t="s">
        <v>194</v>
      </c>
      <c r="B19" s="345"/>
      <c r="C19" s="346">
        <f>SumByColor($A$19,C2:C17)</f>
        <v>20</v>
      </c>
      <c r="D19" s="346"/>
      <c r="E19" s="346"/>
      <c r="F19" s="347">
        <f>SumByColor($A$19,F2:F17)</f>
        <v>3000</v>
      </c>
      <c r="G19" s="346"/>
      <c r="H19" s="346">
        <f>SumByColor($A$19,H2:H17)</f>
        <v>20</v>
      </c>
      <c r="I19" s="346"/>
      <c r="J19" s="346"/>
      <c r="K19" s="347">
        <f>SumByColor($A$19,K2:K17)</f>
        <v>3031</v>
      </c>
      <c r="L19" s="346"/>
      <c r="M19" s="347">
        <f>SumByColor($A$19,M2:M17)</f>
        <v>0</v>
      </c>
      <c r="O19" s="81">
        <v>1.1000000000000001</v>
      </c>
      <c r="P19" s="81">
        <f>O19*$Q$4</f>
        <v>144.386</v>
      </c>
    </row>
    <row r="20" spans="1:16" x14ac:dyDescent="0.25">
      <c r="O20" s="81">
        <v>1.0900000000000001</v>
      </c>
      <c r="P20" s="81">
        <f t="shared" ref="P20:P39" si="1">O20*$Q$4</f>
        <v>143.07339999999999</v>
      </c>
    </row>
    <row r="21" spans="1:16" x14ac:dyDescent="0.25">
      <c r="O21" s="81">
        <v>1.08</v>
      </c>
      <c r="P21" s="81">
        <f t="shared" si="1"/>
        <v>141.76079999999999</v>
      </c>
    </row>
    <row r="22" spans="1:16" x14ac:dyDescent="0.25">
      <c r="O22" s="81">
        <v>1.07</v>
      </c>
      <c r="P22" s="81">
        <f t="shared" si="1"/>
        <v>140.44819999999999</v>
      </c>
    </row>
    <row r="23" spans="1:16" x14ac:dyDescent="0.25">
      <c r="O23" s="81">
        <v>1.06</v>
      </c>
      <c r="P23" s="81">
        <f t="shared" si="1"/>
        <v>139.13560000000001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997</v>
      </c>
      <c r="O24" s="81">
        <v>1.05</v>
      </c>
      <c r="P24" s="81">
        <f t="shared" si="1"/>
        <v>137.82300000000001</v>
      </c>
    </row>
    <row r="25" spans="1:16" x14ac:dyDescent="0.25">
      <c r="B25" s="187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5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136.5104</v>
      </c>
    </row>
    <row r="26" spans="1:16" x14ac:dyDescent="0.25">
      <c r="B26" s="187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5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135.1978</v>
      </c>
    </row>
    <row r="27" spans="1:16" x14ac:dyDescent="0.25">
      <c r="A27">
        <v>0</v>
      </c>
      <c r="B27" s="187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5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133.8852</v>
      </c>
    </row>
    <row r="28" spans="1:16" x14ac:dyDescent="0.25">
      <c r="B28" s="187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5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132.57259999999999</v>
      </c>
    </row>
    <row r="29" spans="1:16" x14ac:dyDescent="0.25">
      <c r="B29" s="187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5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131.26</v>
      </c>
    </row>
    <row r="30" spans="1:16" x14ac:dyDescent="0.25">
      <c r="B30" s="187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5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129.94739999999999</v>
      </c>
    </row>
    <row r="31" spans="1:16" x14ac:dyDescent="0.25">
      <c r="A31">
        <v>20</v>
      </c>
      <c r="B31" s="187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5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128.63479999999998</v>
      </c>
    </row>
    <row r="32" spans="1:16" x14ac:dyDescent="0.25">
      <c r="A32">
        <v>20</v>
      </c>
      <c r="B32" s="187">
        <v>43198</v>
      </c>
      <c r="C32" s="10">
        <v>50</v>
      </c>
      <c r="D32" s="39">
        <v>140.6174</v>
      </c>
      <c r="E32" s="39">
        <v>131.83000000000001</v>
      </c>
      <c r="F32" s="39">
        <f t="shared" ref="F32" si="23">C32*(E32-D32)</f>
        <v>-439.36999999999955</v>
      </c>
      <c r="G32" s="39">
        <f t="shared" ref="G32" si="24">D32*C32</f>
        <v>7030.87</v>
      </c>
      <c r="H32" s="225">
        <f t="shared" ref="H32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127.32219999999998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0.96</v>
      </c>
      <c r="P33" s="81">
        <f t="shared" si="1"/>
        <v>126.00959999999999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0.95</v>
      </c>
      <c r="P34" s="81">
        <f t="shared" si="1"/>
        <v>124.69699999999999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0.94</v>
      </c>
      <c r="P35" s="81">
        <f t="shared" si="1"/>
        <v>123.38439999999999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1"/>
        <v>122.0718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1"/>
        <v>120.75919999999999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1"/>
        <v>119.44659999999999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1"/>
        <v>118.134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940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1" priority="31">
      <formula>F47&gt;0</formula>
    </cfRule>
    <cfRule type="expression" dxfId="1120" priority="32">
      <formula>F47&lt;0</formula>
    </cfRule>
  </conditionalFormatting>
  <conditionalFormatting sqref="Q7">
    <cfRule type="expression" dxfId="1119" priority="29">
      <formula>Q7&gt;0</formula>
    </cfRule>
    <cfRule type="expression" dxfId="1118" priority="30">
      <formula>Q7&lt;0</formula>
    </cfRule>
  </conditionalFormatting>
  <conditionalFormatting sqref="Q8">
    <cfRule type="expression" dxfId="1117" priority="27">
      <formula>Q8&gt;0</formula>
    </cfRule>
    <cfRule type="expression" dxfId="1116" priority="28">
      <formula>Q8&lt;0</formula>
    </cfRule>
  </conditionalFormatting>
  <conditionalFormatting sqref="F34:F46">
    <cfRule type="expression" dxfId="1115" priority="25">
      <formula>F34&gt;0</formula>
    </cfRule>
    <cfRule type="expression" dxfId="1114" priority="26">
      <formula>F34&lt;0</formula>
    </cfRule>
  </conditionalFormatting>
  <conditionalFormatting sqref="H34:H46">
    <cfRule type="expression" dxfId="1113" priority="23">
      <formula>H34&gt;0</formula>
    </cfRule>
    <cfRule type="expression" dxfId="1112" priority="24">
      <formula>H34&lt;0</formula>
    </cfRule>
  </conditionalFormatting>
  <conditionalFormatting sqref="Q10">
    <cfRule type="expression" dxfId="1111" priority="21">
      <formula>Q10&gt;0</formula>
    </cfRule>
    <cfRule type="expression" dxfId="1110" priority="22">
      <formula>Q10&lt;0</formula>
    </cfRule>
  </conditionalFormatting>
  <conditionalFormatting sqref="J25:J38">
    <cfRule type="expression" dxfId="1109" priority="19">
      <formula>J25&gt;0</formula>
    </cfRule>
    <cfRule type="expression" dxfId="1108" priority="20">
      <formula>J25&lt;0</formula>
    </cfRule>
  </conditionalFormatting>
  <conditionalFormatting sqref="K25:K38">
    <cfRule type="expression" dxfId="1107" priority="17">
      <formula>K25&gt;0</formula>
    </cfRule>
    <cfRule type="expression" dxfId="1106" priority="18">
      <formula>K25&lt;0</formula>
    </cfRule>
  </conditionalFormatting>
  <conditionalFormatting sqref="L25">
    <cfRule type="expression" dxfId="1105" priority="15">
      <formula>L25&gt;0</formula>
    </cfRule>
    <cfRule type="expression" dxfId="1104" priority="16">
      <formula>L25&lt;0</formula>
    </cfRule>
  </conditionalFormatting>
  <conditionalFormatting sqref="F89:F110">
    <cfRule type="expression" dxfId="1103" priority="13">
      <formula>F89&gt;0</formula>
    </cfRule>
    <cfRule type="expression" dxfId="1102" priority="14">
      <formula>F89&lt;0</formula>
    </cfRule>
  </conditionalFormatting>
  <conditionalFormatting sqref="H89:H110">
    <cfRule type="expression" dxfId="1101" priority="11">
      <formula>H89&gt;0</formula>
    </cfRule>
    <cfRule type="expression" dxfId="1100" priority="12">
      <formula>H89&lt;0</formula>
    </cfRule>
  </conditionalFormatting>
  <conditionalFormatting sqref="J89:J102">
    <cfRule type="expression" dxfId="1099" priority="9">
      <formula>J89&gt;0</formula>
    </cfRule>
    <cfRule type="expression" dxfId="1098" priority="10">
      <formula>J89&lt;0</formula>
    </cfRule>
  </conditionalFormatting>
  <conditionalFormatting sqref="K89:K102">
    <cfRule type="expression" dxfId="1097" priority="7">
      <formula>K89&gt;0</formula>
    </cfRule>
    <cfRule type="expression" dxfId="1096" priority="8">
      <formula>K89&lt;0</formula>
    </cfRule>
  </conditionalFormatting>
  <conditionalFormatting sqref="L89:L102">
    <cfRule type="expression" dxfId="1095" priority="5">
      <formula>L89&gt;0</formula>
    </cfRule>
    <cfRule type="expression" dxfId="1094" priority="6">
      <formula>L89&lt;0</formula>
    </cfRule>
  </conditionalFormatting>
  <conditionalFormatting sqref="F25:F33">
    <cfRule type="expression" dxfId="1093" priority="3">
      <formula>F25&gt;0</formula>
    </cfRule>
    <cfRule type="expression" dxfId="1092" priority="4">
      <formula>F25&lt;0</formula>
    </cfRule>
  </conditionalFormatting>
  <conditionalFormatting sqref="H25:H33">
    <cfRule type="expression" dxfId="1091" priority="1">
      <formula>H25&gt;0</formula>
    </cfRule>
    <cfRule type="expression" dxfId="10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7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37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37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4">
        <f>IF(Q2=0, Q4, (F18-K18-M18)/Q2)</f>
        <v>233.50066666666666</v>
      </c>
      <c r="T3" s="1"/>
    </row>
    <row r="4" spans="1:21" x14ac:dyDescent="0.25">
      <c r="B4" s="437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37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247.38</v>
      </c>
      <c r="R4" s="498">
        <v>-1.6999999999999999E-3</v>
      </c>
      <c r="T4" s="779"/>
      <c r="U4" s="30"/>
    </row>
    <row r="5" spans="1:21" x14ac:dyDescent="0.25">
      <c r="B5" s="437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37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7421.4</v>
      </c>
    </row>
    <row r="6" spans="1:21" x14ac:dyDescent="0.25">
      <c r="B6" s="477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7005.0199999999995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416.38000000000102</v>
      </c>
      <c r="R7">
        <v>5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416.38000000000102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5.9440230006481215E-2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  <c r="O13" s="11" t="s">
        <v>997</v>
      </c>
      <c r="Q13">
        <v>16.34</v>
      </c>
      <c r="S13" s="22" t="s">
        <v>1003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85</v>
      </c>
      <c r="D18" s="18"/>
      <c r="E18" s="18"/>
      <c r="F18" s="18">
        <f>SUM(F2:F8)</f>
        <v>20449.75</v>
      </c>
      <c r="G18" s="14"/>
      <c r="H18" s="71">
        <f>SUM(H2:H6)</f>
        <v>55</v>
      </c>
      <c r="I18" s="18"/>
      <c r="J18" s="18"/>
      <c r="K18" s="18">
        <f>SUM(K2:K6)</f>
        <v>13395.29</v>
      </c>
      <c r="L18" s="14"/>
      <c r="M18" s="18">
        <f>SUM(M2:M10)</f>
        <v>49.44</v>
      </c>
    </row>
    <row r="19" spans="1:17" ht="15.75" thickBot="1" x14ac:dyDescent="0.3">
      <c r="A19" s="344" t="s">
        <v>194</v>
      </c>
      <c r="B19" s="345"/>
      <c r="C19" s="346">
        <f>SumByColor($A$19,C2:C17)</f>
        <v>55</v>
      </c>
      <c r="D19" s="346"/>
      <c r="E19" s="346"/>
      <c r="F19" s="347">
        <f>SumByColor($A$19,F2:F17)</f>
        <v>13018</v>
      </c>
      <c r="G19" s="346"/>
      <c r="H19" s="346">
        <f>SumByColor($A$19,H2:H17)</f>
        <v>55</v>
      </c>
      <c r="I19" s="346"/>
      <c r="J19" s="346"/>
      <c r="K19" s="347">
        <f>SumByColor($A$19,K2:K17)</f>
        <v>13395</v>
      </c>
      <c r="L19" s="346"/>
      <c r="M19" s="347">
        <f>SumByColor($A$19,M2:M17)</f>
        <v>49</v>
      </c>
    </row>
    <row r="22" spans="1:17" ht="20.25" thickBot="1" x14ac:dyDescent="0.35">
      <c r="O22" s="787" t="s">
        <v>78</v>
      </c>
      <c r="P22" s="787"/>
    </row>
    <row r="23" spans="1:17" ht="15.75" thickTop="1" x14ac:dyDescent="0.25">
      <c r="O23" s="81">
        <v>1.1000000000000001</v>
      </c>
      <c r="P23" s="81">
        <f>O23*$Q$4</f>
        <v>272.11799999999999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2">O24*$Q$4</f>
        <v>269.64420000000001</v>
      </c>
      <c r="Q24" s="2"/>
    </row>
    <row r="25" spans="1:17" x14ac:dyDescent="0.25">
      <c r="B25" s="187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5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267.17040000000003</v>
      </c>
      <c r="Q25" s="2"/>
    </row>
    <row r="26" spans="1:17" x14ac:dyDescent="0.25">
      <c r="B26" s="187">
        <v>43136</v>
      </c>
      <c r="C26" s="231">
        <v>30</v>
      </c>
      <c r="D26" s="232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5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264.69659999999999</v>
      </c>
      <c r="Q26" s="2"/>
    </row>
    <row r="27" spans="1:17" x14ac:dyDescent="0.25">
      <c r="B27" s="187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5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262.22280000000001</v>
      </c>
      <c r="Q27" s="2"/>
    </row>
    <row r="28" spans="1:17" x14ac:dyDescent="0.25">
      <c r="B28" s="187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5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259.74900000000002</v>
      </c>
      <c r="Q28" s="2"/>
    </row>
    <row r="29" spans="1:17" x14ac:dyDescent="0.25">
      <c r="B29" s="187">
        <v>43172</v>
      </c>
      <c r="C29" s="10">
        <v>45</v>
      </c>
      <c r="D29" s="39">
        <v>240.44710000000001</v>
      </c>
      <c r="E29" s="39"/>
      <c r="F29" s="39"/>
      <c r="G29" s="39"/>
      <c r="H29" s="225"/>
      <c r="I29" s="39"/>
      <c r="J29" s="39"/>
      <c r="K29" s="39"/>
      <c r="L29" s="157" t="s">
        <v>185</v>
      </c>
      <c r="O29" s="81">
        <v>1.04</v>
      </c>
      <c r="P29" s="81">
        <f t="shared" si="2"/>
        <v>257.27519999999998</v>
      </c>
      <c r="Q29" s="2"/>
    </row>
    <row r="30" spans="1:17" x14ac:dyDescent="0.25">
      <c r="B30" s="187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5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254.8014</v>
      </c>
      <c r="Q30" s="2"/>
    </row>
    <row r="31" spans="1:17" x14ac:dyDescent="0.25">
      <c r="B31" s="187">
        <v>43184</v>
      </c>
      <c r="C31" s="10">
        <v>55</v>
      </c>
      <c r="D31" s="39">
        <v>240.00219999999999</v>
      </c>
      <c r="E31" s="39">
        <v>235.13</v>
      </c>
      <c r="F31" s="39">
        <f t="shared" ref="F31:F37" si="15">C31*(E31-D31)</f>
        <v>-267.97099999999955</v>
      </c>
      <c r="G31" s="39">
        <f t="shared" ref="G31:G37" si="16">D31*C31</f>
        <v>13200.120999999999</v>
      </c>
      <c r="H31" s="225">
        <f t="shared" ref="H31:H37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252.32759999999999</v>
      </c>
      <c r="Q31" s="2"/>
    </row>
    <row r="32" spans="1:17" x14ac:dyDescent="0.25">
      <c r="B32" s="187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5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249.85380000000001</v>
      </c>
      <c r="Q32" s="2"/>
    </row>
    <row r="33" spans="1:17" x14ac:dyDescent="0.25">
      <c r="A33">
        <v>35</v>
      </c>
      <c r="B33" s="187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5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247.38</v>
      </c>
      <c r="Q33" s="2"/>
    </row>
    <row r="34" spans="1:17" x14ac:dyDescent="0.25">
      <c r="A34">
        <v>35</v>
      </c>
      <c r="B34" s="187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5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244.90619999999998</v>
      </c>
      <c r="Q34" s="2"/>
    </row>
    <row r="35" spans="1:17" x14ac:dyDescent="0.25">
      <c r="A35">
        <v>20</v>
      </c>
      <c r="B35" s="187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5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242.4324</v>
      </c>
      <c r="Q35" s="2"/>
    </row>
    <row r="36" spans="1:17" x14ac:dyDescent="0.25">
      <c r="A36">
        <v>5</v>
      </c>
      <c r="B36" s="187">
        <v>43206</v>
      </c>
      <c r="C36" s="231">
        <v>30</v>
      </c>
      <c r="D36" s="232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5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239.95859999999999</v>
      </c>
    </row>
    <row r="37" spans="1:17" x14ac:dyDescent="0.25">
      <c r="A37">
        <v>5</v>
      </c>
      <c r="B37" s="187">
        <v>43207</v>
      </c>
      <c r="C37" s="231">
        <v>30</v>
      </c>
      <c r="D37" s="232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5">
        <f t="shared" si="17"/>
        <v>6.1241970021413322E-2</v>
      </c>
      <c r="I37" s="39">
        <v>230</v>
      </c>
      <c r="J37" s="39"/>
      <c r="K37" s="39"/>
      <c r="L37" s="39"/>
      <c r="O37" s="81">
        <v>0.96</v>
      </c>
      <c r="P37" s="81">
        <f t="shared" si="2"/>
        <v>237.48479999999998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2"/>
        <v>235.011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2"/>
        <v>232.53719999999998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2"/>
        <v>230.0634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2"/>
        <v>227.58960000000002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2"/>
        <v>225.11580000000001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2"/>
        <v>222.642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9" priority="31">
      <formula>F47&gt;0</formula>
    </cfRule>
    <cfRule type="expression" dxfId="1088" priority="32">
      <formula>F47&lt;0</formula>
    </cfRule>
  </conditionalFormatting>
  <conditionalFormatting sqref="Q7">
    <cfRule type="expression" dxfId="1087" priority="29">
      <formula>Q7&gt;0</formula>
    </cfRule>
    <cfRule type="expression" dxfId="1086" priority="30">
      <formula>Q7&lt;0</formula>
    </cfRule>
  </conditionalFormatting>
  <conditionalFormatting sqref="Q8">
    <cfRule type="expression" dxfId="1085" priority="27">
      <formula>Q8&gt;0</formula>
    </cfRule>
    <cfRule type="expression" dxfId="1084" priority="28">
      <formula>Q8&lt;0</formula>
    </cfRule>
  </conditionalFormatting>
  <conditionalFormatting sqref="F32:F46">
    <cfRule type="expression" dxfId="1083" priority="25">
      <formula>F32&gt;0</formula>
    </cfRule>
    <cfRule type="expression" dxfId="1082" priority="26">
      <formula>F32&lt;0</formula>
    </cfRule>
  </conditionalFormatting>
  <conditionalFormatting sqref="H32:H46">
    <cfRule type="expression" dxfId="1081" priority="23">
      <formula>H32&gt;0</formula>
    </cfRule>
    <cfRule type="expression" dxfId="1080" priority="24">
      <formula>H32&lt;0</formula>
    </cfRule>
  </conditionalFormatting>
  <conditionalFormatting sqref="Q10">
    <cfRule type="expression" dxfId="1079" priority="21">
      <formula>Q10&gt;0</formula>
    </cfRule>
    <cfRule type="expression" dxfId="1078" priority="22">
      <formula>Q10&lt;0</formula>
    </cfRule>
  </conditionalFormatting>
  <conditionalFormatting sqref="J25:J38">
    <cfRule type="expression" dxfId="1077" priority="19">
      <formula>J25&gt;0</formula>
    </cfRule>
    <cfRule type="expression" dxfId="1076" priority="20">
      <formula>J25&lt;0</formula>
    </cfRule>
  </conditionalFormatting>
  <conditionalFormatting sqref="K25:K38">
    <cfRule type="expression" dxfId="1075" priority="17">
      <formula>K25&gt;0</formula>
    </cfRule>
    <cfRule type="expression" dxfId="1074" priority="18">
      <formula>K25&lt;0</formula>
    </cfRule>
  </conditionalFormatting>
  <conditionalFormatting sqref="L25:L38">
    <cfRule type="expression" dxfId="1073" priority="15">
      <formula>L25&gt;0</formula>
    </cfRule>
    <cfRule type="expression" dxfId="1072" priority="16">
      <formula>L25&lt;0</formula>
    </cfRule>
  </conditionalFormatting>
  <conditionalFormatting sqref="F89:F110">
    <cfRule type="expression" dxfId="1071" priority="13">
      <formula>F89&gt;0</formula>
    </cfRule>
    <cfRule type="expression" dxfId="1070" priority="14">
      <formula>F89&lt;0</formula>
    </cfRule>
  </conditionalFormatting>
  <conditionalFormatting sqref="H89:H110">
    <cfRule type="expression" dxfId="1069" priority="11">
      <formula>H89&gt;0</formula>
    </cfRule>
    <cfRule type="expression" dxfId="1068" priority="12">
      <formula>H89&lt;0</formula>
    </cfRule>
  </conditionalFormatting>
  <conditionalFormatting sqref="J89:J102">
    <cfRule type="expression" dxfId="1067" priority="9">
      <formula>J89&gt;0</formula>
    </cfRule>
    <cfRule type="expression" dxfId="1066" priority="10">
      <formula>J89&lt;0</formula>
    </cfRule>
  </conditionalFormatting>
  <conditionalFormatting sqref="K89:K102">
    <cfRule type="expression" dxfId="1065" priority="7">
      <formula>K89&gt;0</formula>
    </cfRule>
    <cfRule type="expression" dxfId="1064" priority="8">
      <formula>K89&lt;0</formula>
    </cfRule>
  </conditionalFormatting>
  <conditionalFormatting sqref="L89:L102">
    <cfRule type="expression" dxfId="1063" priority="5">
      <formula>L89&gt;0</formula>
    </cfRule>
    <cfRule type="expression" dxfId="1062" priority="6">
      <formula>L89&lt;0</formula>
    </cfRule>
  </conditionalFormatting>
  <conditionalFormatting sqref="F25:F31">
    <cfRule type="expression" dxfId="1061" priority="3">
      <formula>F25&gt;0</formula>
    </cfRule>
    <cfRule type="expression" dxfId="1060" priority="4">
      <formula>F25&lt;0</formula>
    </cfRule>
  </conditionalFormatting>
  <conditionalFormatting sqref="H25:H31">
    <cfRule type="expression" dxfId="1059" priority="1">
      <formula>H25&gt;0</formula>
    </cfRule>
    <cfRule type="expression" dxfId="1058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944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835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74.319999999999993</v>
      </c>
      <c r="R4" s="498">
        <v>1.21E-2</v>
      </c>
      <c r="T4" s="779">
        <v>43103</v>
      </c>
      <c r="U4" s="30" t="s">
        <v>859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2972.7999999999997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279.19999999999982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279.19999999999982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0.10365310365310357</v>
      </c>
      <c r="T9" s="779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1.2917115177610334E-2</v>
      </c>
      <c r="R11">
        <v>0.24</v>
      </c>
    </row>
    <row r="12" spans="1:21" x14ac:dyDescent="0.25">
      <c r="H12" s="70"/>
      <c r="O12" s="11" t="s">
        <v>968</v>
      </c>
      <c r="Q12" s="1" t="s">
        <v>1019</v>
      </c>
    </row>
    <row r="13" spans="1:21" x14ac:dyDescent="0.25">
      <c r="H13" s="70"/>
      <c r="O13" s="11" t="s">
        <v>997</v>
      </c>
      <c r="Q13">
        <f>Q4/3.55</f>
        <v>20.935211267605634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10</v>
      </c>
    </row>
    <row r="22" spans="1:17" ht="20.25" thickBot="1" x14ac:dyDescent="0.35">
      <c r="O22" s="788" t="s">
        <v>78</v>
      </c>
      <c r="P22" s="788"/>
    </row>
    <row r="23" spans="1:17" ht="15.75" thickTop="1" x14ac:dyDescent="0.25">
      <c r="O23" s="81">
        <v>1.1000000000000001</v>
      </c>
      <c r="P23" s="81">
        <f>O23*$Q$4</f>
        <v>81.751999999999995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1.0900000000000001</v>
      </c>
      <c r="P24" s="81">
        <f t="shared" ref="P24:P43" si="1">O24*$Q$4</f>
        <v>81.008799999999994</v>
      </c>
      <c r="Q24" s="2"/>
    </row>
    <row r="25" spans="1:17" x14ac:dyDescent="0.25">
      <c r="B25" s="187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5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80.265599999999992</v>
      </c>
      <c r="Q25" s="2"/>
    </row>
    <row r="26" spans="1:17" x14ac:dyDescent="0.25">
      <c r="B26" s="187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5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79.52239999999999</v>
      </c>
      <c r="Q26" s="2"/>
    </row>
    <row r="27" spans="1:17" x14ac:dyDescent="0.25">
      <c r="B27" s="187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5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78.779200000000003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78.036000000000001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77.2928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76.549599999999998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75.806399999999996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75.063199999999995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74.319999999999993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73.576799999999992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72.83359999999999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72.090399999999988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71.347199999999987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70.603999999999985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69.860799999999983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69.117599999999996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68.374399999999994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67.631199999999993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66.887999999999991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944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7" priority="31">
      <formula>F47&gt;0</formula>
    </cfRule>
    <cfRule type="expression" dxfId="1056" priority="32">
      <formula>F47&lt;0</formula>
    </cfRule>
  </conditionalFormatting>
  <conditionalFormatting sqref="Q7">
    <cfRule type="expression" dxfId="1055" priority="29">
      <formula>Q7&gt;0</formula>
    </cfRule>
    <cfRule type="expression" dxfId="1054" priority="30">
      <formula>Q7&lt;0</formula>
    </cfRule>
  </conditionalFormatting>
  <conditionalFormatting sqref="Q8">
    <cfRule type="expression" dxfId="1053" priority="27">
      <formula>Q8&gt;0</formula>
    </cfRule>
    <cfRule type="expression" dxfId="1052" priority="28">
      <formula>Q8&lt;0</formula>
    </cfRule>
  </conditionalFormatting>
  <conditionalFormatting sqref="F30:F46">
    <cfRule type="expression" dxfId="1051" priority="25">
      <formula>F30&gt;0</formula>
    </cfRule>
    <cfRule type="expression" dxfId="1050" priority="26">
      <formula>F30&lt;0</formula>
    </cfRule>
  </conditionalFormatting>
  <conditionalFormatting sqref="H30:H46">
    <cfRule type="expression" dxfId="1049" priority="23">
      <formula>H30&gt;0</formula>
    </cfRule>
    <cfRule type="expression" dxfId="1048" priority="24">
      <formula>H30&lt;0</formula>
    </cfRule>
  </conditionalFormatting>
  <conditionalFormatting sqref="Q10">
    <cfRule type="expression" dxfId="1047" priority="21">
      <formula>Q10&gt;0</formula>
    </cfRule>
    <cfRule type="expression" dxfId="1046" priority="22">
      <formula>Q10&lt;0</formula>
    </cfRule>
  </conditionalFormatting>
  <conditionalFormatting sqref="J25:J38">
    <cfRule type="expression" dxfId="1045" priority="19">
      <formula>J25&gt;0</formula>
    </cfRule>
    <cfRule type="expression" dxfId="1044" priority="20">
      <formula>J25&lt;0</formula>
    </cfRule>
  </conditionalFormatting>
  <conditionalFormatting sqref="K25:K38">
    <cfRule type="expression" dxfId="1043" priority="17">
      <formula>K25&gt;0</formula>
    </cfRule>
    <cfRule type="expression" dxfId="1042" priority="18">
      <formula>K25&lt;0</formula>
    </cfRule>
  </conditionalFormatting>
  <conditionalFormatting sqref="L25:L38">
    <cfRule type="expression" dxfId="1041" priority="15">
      <formula>L25&gt;0</formula>
    </cfRule>
    <cfRule type="expression" dxfId="1040" priority="16">
      <formula>L25&lt;0</formula>
    </cfRule>
  </conditionalFormatting>
  <conditionalFormatting sqref="F89:F110">
    <cfRule type="expression" dxfId="1039" priority="13">
      <formula>F89&gt;0</formula>
    </cfRule>
    <cfRule type="expression" dxfId="1038" priority="14">
      <formula>F89&lt;0</formula>
    </cfRule>
  </conditionalFormatting>
  <conditionalFormatting sqref="H89:H110">
    <cfRule type="expression" dxfId="1037" priority="11">
      <formula>H89&gt;0</formula>
    </cfRule>
    <cfRule type="expression" dxfId="1036" priority="12">
      <formula>H89&lt;0</formula>
    </cfRule>
  </conditionalFormatting>
  <conditionalFormatting sqref="J89:J102">
    <cfRule type="expression" dxfId="1035" priority="9">
      <formula>J89&gt;0</formula>
    </cfRule>
    <cfRule type="expression" dxfId="1034" priority="10">
      <formula>J89&lt;0</formula>
    </cfRule>
  </conditionalFormatting>
  <conditionalFormatting sqref="K89:K102">
    <cfRule type="expression" dxfId="1033" priority="7">
      <formula>K89&gt;0</formula>
    </cfRule>
    <cfRule type="expression" dxfId="1032" priority="8">
      <formula>K89&lt;0</formula>
    </cfRule>
  </conditionalFormatting>
  <conditionalFormatting sqref="L89:L102">
    <cfRule type="expression" dxfId="1031" priority="5">
      <formula>L89&gt;0</formula>
    </cfRule>
    <cfRule type="expression" dxfId="1030" priority="6">
      <formula>L89&lt;0</formula>
    </cfRule>
  </conditionalFormatting>
  <conditionalFormatting sqref="F25:F29">
    <cfRule type="expression" dxfId="1029" priority="3">
      <formula>F25&gt;0</formula>
    </cfRule>
    <cfRule type="expression" dxfId="1028" priority="4">
      <formula>F25&lt;0</formula>
    </cfRule>
  </conditionalFormatting>
  <conditionalFormatting sqref="H25:H29">
    <cfRule type="expression" dxfId="1027" priority="1">
      <formula>H25&gt;0</formula>
    </cfRule>
    <cfRule type="expression" dxfId="102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68.42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8"/>
      <c r="AO3" s="228"/>
    </row>
    <row r="4" spans="1:42" x14ac:dyDescent="0.25">
      <c r="B4" s="4"/>
      <c r="C4" s="4"/>
      <c r="D4" s="4"/>
      <c r="E4" s="4"/>
      <c r="F4" s="4"/>
      <c r="G4" s="72"/>
      <c r="H4" s="179"/>
      <c r="I4" s="3"/>
      <c r="J4" s="3"/>
      <c r="K4" s="3"/>
      <c r="L4" s="4"/>
      <c r="M4" s="4"/>
      <c r="O4" s="11" t="s">
        <v>66</v>
      </c>
      <c r="Q4" s="195">
        <v>68.42</v>
      </c>
      <c r="R4" s="478">
        <v>2.58E-2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8"/>
      <c r="AO4" s="228"/>
    </row>
    <row r="5" spans="1:4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8"/>
      <c r="AO5" s="228"/>
    </row>
    <row r="6" spans="1:4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8"/>
      <c r="AO6" s="228"/>
    </row>
    <row r="7" spans="1:42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8"/>
      <c r="AO8" s="228"/>
      <c r="AP8" s="228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8"/>
      <c r="AO10" s="228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8"/>
      <c r="AO12" s="228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8"/>
      <c r="AO14" s="228"/>
      <c r="AP14" s="228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8"/>
      <c r="AO18" s="228"/>
    </row>
    <row r="19" spans="1:4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SumByColor($A$19,F2:F5)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9" t="s">
        <v>65</v>
      </c>
      <c r="G22" s="223" t="s">
        <v>151</v>
      </c>
      <c r="H22" s="223" t="s">
        <v>154</v>
      </c>
      <c r="I22" s="223" t="s">
        <v>504</v>
      </c>
      <c r="J22" s="223" t="s">
        <v>150</v>
      </c>
      <c r="K22" s="223" t="s">
        <v>679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7">
        <v>42873</v>
      </c>
      <c r="C23" s="10">
        <v>50</v>
      </c>
      <c r="D23" s="194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7"/>
      <c r="C24" s="10"/>
      <c r="D24" s="194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7"/>
      <c r="C25" s="10"/>
      <c r="D25" s="194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7"/>
      <c r="C26" s="10"/>
      <c r="D26" s="194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7"/>
      <c r="C27" s="10"/>
      <c r="D27" s="194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7"/>
      <c r="C28" s="10"/>
      <c r="D28" s="194"/>
      <c r="E28" s="39"/>
      <c r="F28" s="39"/>
      <c r="G28" s="39"/>
      <c r="H28" s="226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7"/>
      <c r="C29" s="10"/>
      <c r="D29" s="194"/>
      <c r="E29" s="39"/>
      <c r="F29" s="39"/>
      <c r="G29" s="39"/>
      <c r="H29" s="226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7"/>
      <c r="C30" s="10"/>
      <c r="D30" s="194"/>
      <c r="E30" s="39"/>
      <c r="F30" s="39"/>
      <c r="G30" s="39"/>
      <c r="H30" s="226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7"/>
      <c r="C31" s="10"/>
      <c r="D31" s="194"/>
      <c r="E31" s="39"/>
      <c r="F31" s="39"/>
      <c r="G31" s="39"/>
      <c r="H31" s="226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7"/>
      <c r="C32" s="10"/>
      <c r="D32" s="194"/>
      <c r="E32" s="39"/>
      <c r="F32" s="39"/>
      <c r="G32" s="39"/>
      <c r="H32" s="226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7"/>
      <c r="C33" s="10"/>
      <c r="D33" s="194"/>
      <c r="E33" s="39"/>
      <c r="F33" s="39"/>
      <c r="G33" s="39"/>
      <c r="H33" s="226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7"/>
      <c r="C34" s="10"/>
      <c r="D34" s="194"/>
      <c r="E34" s="39"/>
      <c r="F34" s="39"/>
      <c r="G34" s="39"/>
      <c r="H34" s="226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8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2" t="s">
        <v>7</v>
      </c>
      <c r="J37" s="472" t="s">
        <v>95</v>
      </c>
      <c r="K37" s="47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7" t="s">
        <v>195</v>
      </c>
      <c r="B38" s="551">
        <v>42472</v>
      </c>
      <c r="C38" s="253">
        <v>50</v>
      </c>
      <c r="D38" s="254">
        <v>56.99</v>
      </c>
      <c r="E38" s="254">
        <v>0</v>
      </c>
      <c r="F38" s="254">
        <f t="shared" ref="F38:F46" si="0">C38*D38+E38</f>
        <v>2849.5</v>
      </c>
      <c r="G38" s="551">
        <v>42550</v>
      </c>
      <c r="H38" s="259">
        <v>50</v>
      </c>
      <c r="I38" s="254">
        <v>54.95</v>
      </c>
      <c r="J38" s="254">
        <v>7.01</v>
      </c>
      <c r="K38" s="254">
        <f>I38*H38-J38</f>
        <v>2740.49</v>
      </c>
      <c r="L38" s="258">
        <v>42556</v>
      </c>
      <c r="M38" s="254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0" t="s">
        <v>71</v>
      </c>
      <c r="B39" s="551">
        <v>42521</v>
      </c>
      <c r="C39" s="253">
        <v>20</v>
      </c>
      <c r="D39" s="254">
        <v>55.21</v>
      </c>
      <c r="E39" s="254">
        <v>0</v>
      </c>
      <c r="F39" s="254">
        <f t="shared" si="0"/>
        <v>1104.2</v>
      </c>
      <c r="G39" s="551"/>
      <c r="H39" s="259"/>
      <c r="I39" s="254"/>
      <c r="J39" s="254"/>
      <c r="K39" s="254"/>
      <c r="L39" s="253"/>
      <c r="M39" s="253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3"/>
      <c r="B40" s="551">
        <v>42524</v>
      </c>
      <c r="C40" s="253">
        <v>30</v>
      </c>
      <c r="D40" s="254">
        <v>53.75</v>
      </c>
      <c r="E40" s="254">
        <v>0</v>
      </c>
      <c r="F40" s="254">
        <f t="shared" si="0"/>
        <v>1612.5</v>
      </c>
      <c r="G40" s="551"/>
      <c r="H40" s="259"/>
      <c r="I40" s="254"/>
      <c r="J40" s="254"/>
      <c r="K40" s="254"/>
      <c r="L40" s="253"/>
      <c r="M40" s="253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3"/>
      <c r="B41" s="551">
        <v>42524</v>
      </c>
      <c r="C41" s="253">
        <v>20</v>
      </c>
      <c r="D41" s="254">
        <v>53.4</v>
      </c>
      <c r="E41" s="254">
        <v>0</v>
      </c>
      <c r="F41" s="254">
        <f t="shared" si="0"/>
        <v>1068</v>
      </c>
      <c r="G41" s="551">
        <v>42563</v>
      </c>
      <c r="H41" s="259">
        <v>70</v>
      </c>
      <c r="I41" s="254">
        <v>57.78</v>
      </c>
      <c r="J41" s="254">
        <v>0.09</v>
      </c>
      <c r="K41" s="254">
        <f>I41*H41-J41</f>
        <v>4044.5099999999998</v>
      </c>
      <c r="L41" s="253"/>
      <c r="M41" s="253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3"/>
      <c r="B42" s="551">
        <v>42545</v>
      </c>
      <c r="C42" s="253">
        <v>30</v>
      </c>
      <c r="D42" s="254">
        <v>52.38</v>
      </c>
      <c r="E42" s="254">
        <v>0</v>
      </c>
      <c r="F42" s="254">
        <f t="shared" si="0"/>
        <v>1571.4</v>
      </c>
      <c r="G42" s="551">
        <v>42593</v>
      </c>
      <c r="H42" s="259">
        <v>30</v>
      </c>
      <c r="I42" s="254">
        <v>56.38</v>
      </c>
      <c r="J42" s="254">
        <v>0.04</v>
      </c>
      <c r="K42" s="254">
        <f>I42*H42-J42</f>
        <v>1691.3600000000001</v>
      </c>
      <c r="L42" s="253"/>
      <c r="M42" s="253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8"/>
      <c r="AO42" s="228"/>
    </row>
    <row r="43" spans="1:41" ht="15.75" thickTop="1" x14ac:dyDescent="0.25">
      <c r="A43" s="253"/>
      <c r="B43" s="624">
        <v>42640</v>
      </c>
      <c r="C43" s="365">
        <v>20</v>
      </c>
      <c r="D43" s="366">
        <v>52.68</v>
      </c>
      <c r="E43" s="366">
        <v>0</v>
      </c>
      <c r="F43" s="366">
        <f t="shared" si="0"/>
        <v>1053.5999999999999</v>
      </c>
      <c r="G43" s="624">
        <v>42724</v>
      </c>
      <c r="H43" s="365">
        <v>20</v>
      </c>
      <c r="I43" s="366">
        <v>54.68</v>
      </c>
      <c r="J43" s="366">
        <v>0.02</v>
      </c>
      <c r="K43" s="366">
        <f>H43*I43-J43</f>
        <v>1093.58</v>
      </c>
      <c r="L43" s="364">
        <v>42739</v>
      </c>
      <c r="M43" s="36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3"/>
      <c r="B44" s="624">
        <v>42640</v>
      </c>
      <c r="C44" s="365">
        <v>20</v>
      </c>
      <c r="D44" s="366">
        <v>52.68</v>
      </c>
      <c r="E44" s="366">
        <v>0</v>
      </c>
      <c r="F44" s="366">
        <f t="shared" si="0"/>
        <v>1053.5999999999999</v>
      </c>
      <c r="G44" s="624">
        <v>42741</v>
      </c>
      <c r="H44" s="369">
        <v>20</v>
      </c>
      <c r="I44" s="366">
        <v>53.94</v>
      </c>
      <c r="J44" s="366">
        <v>0.12</v>
      </c>
      <c r="K44" s="366">
        <f>H44*I44-J44</f>
        <v>1078.68</v>
      </c>
      <c r="L44" s="365"/>
      <c r="M44" s="365"/>
      <c r="O44" s="847" t="s">
        <v>78</v>
      </c>
      <c r="P44" s="84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3"/>
      <c r="B45" s="644">
        <v>42724</v>
      </c>
      <c r="C45" s="530">
        <v>20</v>
      </c>
      <c r="D45" s="531">
        <v>52.68</v>
      </c>
      <c r="E45" s="531">
        <v>0</v>
      </c>
      <c r="F45" s="531">
        <f t="shared" si="0"/>
        <v>1053.5999999999999</v>
      </c>
      <c r="G45" s="644">
        <v>42774</v>
      </c>
      <c r="H45" s="532">
        <v>20</v>
      </c>
      <c r="I45" s="531">
        <v>53.88</v>
      </c>
      <c r="J45" s="531">
        <v>0.02</v>
      </c>
      <c r="K45" s="531">
        <f>I45*H45-J45</f>
        <v>1077.5800000000002</v>
      </c>
      <c r="L45" s="526"/>
      <c r="M45" s="531"/>
      <c r="O45" s="81">
        <v>1.1000000000000001</v>
      </c>
      <c r="P45" s="81">
        <f>O45*$Q$4</f>
        <v>75.262000000000015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3"/>
      <c r="B46" s="644">
        <v>42766</v>
      </c>
      <c r="C46" s="530">
        <v>20</v>
      </c>
      <c r="D46" s="531">
        <v>51.72</v>
      </c>
      <c r="E46" s="531">
        <v>0</v>
      </c>
      <c r="F46" s="531">
        <f t="shared" si="0"/>
        <v>1034.4000000000001</v>
      </c>
      <c r="G46" s="644">
        <v>42803</v>
      </c>
      <c r="H46" s="532">
        <v>20</v>
      </c>
      <c r="I46" s="531">
        <v>56.41</v>
      </c>
      <c r="J46" s="531">
        <v>0.12</v>
      </c>
      <c r="K46" s="531">
        <f>I46*H46-J46</f>
        <v>1128.08</v>
      </c>
      <c r="L46" s="530"/>
      <c r="M46" s="530"/>
      <c r="O46" s="81">
        <v>1.0900000000000001</v>
      </c>
      <c r="P46" s="81">
        <f t="shared" ref="P46:P65" si="1">O46*$Q$4</f>
        <v>74.577800000000011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3"/>
      <c r="B47" s="551"/>
      <c r="C47" s="253"/>
      <c r="D47" s="253"/>
      <c r="E47" s="253"/>
      <c r="F47" s="253"/>
      <c r="G47" s="551"/>
      <c r="H47" s="259"/>
      <c r="I47" s="254"/>
      <c r="J47" s="254"/>
      <c r="K47" s="254"/>
      <c r="L47" s="258">
        <v>42829</v>
      </c>
      <c r="M47" s="254">
        <v>3.6</v>
      </c>
      <c r="O47" s="81">
        <v>1.08</v>
      </c>
      <c r="P47" s="81">
        <f t="shared" si="1"/>
        <v>73.893600000000006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3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8">
        <v>42921</v>
      </c>
      <c r="M48" s="254">
        <v>9</v>
      </c>
      <c r="O48" s="81">
        <v>1.07</v>
      </c>
      <c r="P48" s="81">
        <f t="shared" si="1"/>
        <v>73.209400000000002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3"/>
      <c r="B49" s="551"/>
      <c r="C49" s="253"/>
      <c r="D49" s="253"/>
      <c r="E49" s="253"/>
      <c r="F49" s="253"/>
      <c r="G49" s="551"/>
      <c r="H49" s="259"/>
      <c r="I49" s="254"/>
      <c r="J49" s="254"/>
      <c r="K49" s="254"/>
      <c r="L49" s="253"/>
      <c r="M49" s="253"/>
      <c r="O49" s="81">
        <v>1.06</v>
      </c>
      <c r="P49" s="81">
        <f t="shared" si="1"/>
        <v>72.525200000000012</v>
      </c>
      <c r="T49" s="91" t="s">
        <v>121</v>
      </c>
      <c r="U49" s="127" t="s">
        <v>529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3"/>
      <c r="B50" s="551"/>
      <c r="C50" s="253"/>
      <c r="D50" s="253"/>
      <c r="E50" s="253"/>
      <c r="F50" s="253"/>
      <c r="G50" s="551"/>
      <c r="H50" s="259"/>
      <c r="I50" s="254"/>
      <c r="J50" s="254"/>
      <c r="K50" s="254"/>
      <c r="L50" s="253"/>
      <c r="M50" s="253"/>
      <c r="O50" s="81">
        <v>1.05</v>
      </c>
      <c r="P50" s="81">
        <f t="shared" si="1"/>
        <v>71.841000000000008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8"/>
      <c r="AO50" s="228"/>
    </row>
    <row r="51" spans="1:41" x14ac:dyDescent="0.25">
      <c r="A51" s="253"/>
      <c r="B51" s="551"/>
      <c r="C51" s="253"/>
      <c r="D51" s="253"/>
      <c r="E51" s="253"/>
      <c r="F51" s="253"/>
      <c r="G51" s="551"/>
      <c r="H51" s="259"/>
      <c r="I51" s="254"/>
      <c r="J51" s="254"/>
      <c r="K51" s="254"/>
      <c r="L51" s="253"/>
      <c r="M51" s="253"/>
      <c r="O51" s="81">
        <v>1.04</v>
      </c>
      <c r="P51" s="81">
        <f t="shared" si="1"/>
        <v>71.156800000000004</v>
      </c>
      <c r="T51" s="91" t="s">
        <v>104</v>
      </c>
      <c r="U51" s="127" t="s">
        <v>607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3"/>
      <c r="B52" s="551"/>
      <c r="C52" s="253"/>
      <c r="D52" s="253"/>
      <c r="E52" s="253"/>
      <c r="F52" s="253"/>
      <c r="G52" s="551"/>
      <c r="H52" s="259"/>
      <c r="I52" s="254"/>
      <c r="J52" s="254"/>
      <c r="K52" s="254"/>
      <c r="L52" s="253"/>
      <c r="M52" s="253"/>
      <c r="O52" s="81">
        <v>1.03</v>
      </c>
      <c r="P52" s="81">
        <f t="shared" si="1"/>
        <v>70.4726</v>
      </c>
      <c r="T52" s="91" t="s">
        <v>105</v>
      </c>
      <c r="U52" s="127" t="s">
        <v>608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3"/>
      <c r="B53" s="551"/>
      <c r="C53" s="253"/>
      <c r="D53" s="253"/>
      <c r="E53" s="253"/>
      <c r="F53" s="253"/>
      <c r="G53" s="551"/>
      <c r="H53" s="259"/>
      <c r="I53" s="254"/>
      <c r="J53" s="254"/>
      <c r="K53" s="254"/>
      <c r="L53" s="253"/>
      <c r="M53" s="253"/>
      <c r="O53" s="81">
        <v>1.02</v>
      </c>
      <c r="P53" s="81">
        <f t="shared" si="1"/>
        <v>69.78840000000001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69.104200000000006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8"/>
      <c r="AO54" s="228"/>
    </row>
    <row r="55" spans="1:41" ht="15.75" thickBot="1" x14ac:dyDescent="0.3">
      <c r="A55" s="442" t="s">
        <v>194</v>
      </c>
      <c r="B55" s="443"/>
      <c r="C55" s="444">
        <f>SumByColor($A$19,C38:C53)</f>
        <v>0</v>
      </c>
      <c r="D55" s="444"/>
      <c r="E55" s="444"/>
      <c r="F55" s="445">
        <f>SumByColor($A$19,F38:F41)</f>
        <v>0</v>
      </c>
      <c r="G55" s="444"/>
      <c r="H55" s="444">
        <f>SumByColor($A$19,H38:H53)</f>
        <v>0</v>
      </c>
      <c r="I55" s="444"/>
      <c r="J55" s="444"/>
      <c r="K55" s="445">
        <f>SumByColor($A$19,K38:K53)</f>
        <v>0</v>
      </c>
      <c r="L55" s="444"/>
      <c r="M55" s="445">
        <f>SumByColor($A$19,M38:M53)</f>
        <v>0</v>
      </c>
      <c r="O55" s="81">
        <v>1</v>
      </c>
      <c r="P55" s="81">
        <f t="shared" si="1"/>
        <v>68.42</v>
      </c>
      <c r="T55" s="91" t="s">
        <v>107</v>
      </c>
      <c r="U55" s="127" t="s">
        <v>609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67.735799999999998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67.051599999999993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66.367400000000004</v>
      </c>
      <c r="T58" s="91" t="s">
        <v>108</v>
      </c>
      <c r="U58" s="127" t="s">
        <v>547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8"/>
      <c r="AO58" s="228"/>
    </row>
    <row r="59" spans="1:41" x14ac:dyDescent="0.25">
      <c r="O59" s="81">
        <v>0.96</v>
      </c>
      <c r="P59" s="81">
        <f t="shared" si="1"/>
        <v>65.683199999999999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64.998999999999995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64.314799999999991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63.630600000000008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62.946400000000004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62.262200000000007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61.578000000000003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6" t="s">
        <v>120</v>
      </c>
      <c r="AB69" s="229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25" priority="57">
      <formula>F27&gt;0</formula>
    </cfRule>
    <cfRule type="expression" dxfId="1024" priority="58">
      <formula>F27&lt;0</formula>
    </cfRule>
  </conditionalFormatting>
  <conditionalFormatting sqref="H28:H33">
    <cfRule type="expression" dxfId="1023" priority="53">
      <formula>H28&gt;0</formula>
    </cfRule>
    <cfRule type="expression" dxfId="1022" priority="54">
      <formula>H28&lt;0</formula>
    </cfRule>
  </conditionalFormatting>
  <conditionalFormatting sqref="F24:F26">
    <cfRule type="expression" dxfId="1021" priority="39">
      <formula>F24&gt;0</formula>
    </cfRule>
    <cfRule type="expression" dxfId="1020" priority="40">
      <formula>F24&lt;0</formula>
    </cfRule>
  </conditionalFormatting>
  <conditionalFormatting sqref="Q8">
    <cfRule type="expression" dxfId="1019" priority="33">
      <formula>Q8&gt;0</formula>
    </cfRule>
    <cfRule type="expression" dxfId="1018" priority="34">
      <formula>Q8&lt;0</formula>
    </cfRule>
  </conditionalFormatting>
  <conditionalFormatting sqref="Q7">
    <cfRule type="expression" dxfId="1017" priority="35">
      <formula>Q7&gt;0</formula>
    </cfRule>
    <cfRule type="expression" dxfId="1016" priority="36">
      <formula>Q7&lt;0</formula>
    </cfRule>
  </conditionalFormatting>
  <conditionalFormatting sqref="F34">
    <cfRule type="expression" dxfId="1015" priority="31">
      <formula>F34&gt;0</formula>
    </cfRule>
    <cfRule type="expression" dxfId="1014" priority="32">
      <formula>F34&lt;0</formula>
    </cfRule>
  </conditionalFormatting>
  <conditionalFormatting sqref="H34">
    <cfRule type="expression" dxfId="1013" priority="29">
      <formula>H34&gt;0</formula>
    </cfRule>
    <cfRule type="expression" dxfId="1012" priority="30">
      <formula>H34&lt;0</formula>
    </cfRule>
  </conditionalFormatting>
  <conditionalFormatting sqref="M36">
    <cfRule type="expression" dxfId="1011" priority="19">
      <formula>M36&gt;0</formula>
    </cfRule>
    <cfRule type="expression" dxfId="1010" priority="20">
      <formula>M36&lt;0</formula>
    </cfRule>
  </conditionalFormatting>
  <conditionalFormatting sqref="Q10">
    <cfRule type="expression" dxfId="1009" priority="15">
      <formula>Q10&gt;0</formula>
    </cfRule>
    <cfRule type="expression" dxfId="1008" priority="16">
      <formula>Q10&lt;0</formula>
    </cfRule>
  </conditionalFormatting>
  <conditionalFormatting sqref="F23">
    <cfRule type="expression" dxfId="1007" priority="13">
      <formula>F23&gt;0</formula>
    </cfRule>
    <cfRule type="expression" dxfId="1006" priority="14">
      <formula>F23&lt;0</formula>
    </cfRule>
  </conditionalFormatting>
  <conditionalFormatting sqref="I25:J25">
    <cfRule type="expression" dxfId="1005" priority="9">
      <formula>I25&gt;0</formula>
    </cfRule>
    <cfRule type="expression" dxfId="1004" priority="10">
      <formula>I25&lt;0</formula>
    </cfRule>
  </conditionalFormatting>
  <conditionalFormatting sqref="I26:J27">
    <cfRule type="expression" dxfId="1003" priority="7">
      <formula>I26&gt;0</formula>
    </cfRule>
    <cfRule type="expression" dxfId="1002" priority="8">
      <formula>I26&lt;0</formula>
    </cfRule>
  </conditionalFormatting>
  <conditionalFormatting sqref="K25:K27">
    <cfRule type="expression" dxfId="1001" priority="5">
      <formula>K25&gt;0</formula>
    </cfRule>
    <cfRule type="expression" dxfId="1000" priority="6">
      <formula>K25&lt;0</formula>
    </cfRule>
  </conditionalFormatting>
  <conditionalFormatting sqref="I23:J23">
    <cfRule type="expression" dxfId="999" priority="3">
      <formula>I23&gt;0</formula>
    </cfRule>
    <cfRule type="expression" dxfId="99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2"/>
      <c r="U1" s="737" t="s">
        <v>774</v>
      </c>
      <c r="V1" s="737" t="s">
        <v>727</v>
      </c>
      <c r="W1" s="737" t="s">
        <v>955</v>
      </c>
      <c r="X1" s="737" t="s">
        <v>954</v>
      </c>
      <c r="Y1" s="712"/>
      <c r="AC1" s="11" t="s">
        <v>70</v>
      </c>
    </row>
    <row r="2" spans="1:30" x14ac:dyDescent="0.25">
      <c r="A2" s="6" t="s">
        <v>227</v>
      </c>
      <c r="B2" s="437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7">
        <v>42809</v>
      </c>
      <c r="H2" s="7">
        <v>100</v>
      </c>
      <c r="I2" s="43">
        <v>28.91</v>
      </c>
      <c r="J2" s="43">
        <v>0.06</v>
      </c>
      <c r="K2" s="43">
        <f t="shared" ref="K2:K18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T2" s="713" t="s">
        <v>775</v>
      </c>
      <c r="U2" s="736">
        <v>42948</v>
      </c>
      <c r="V2" s="736">
        <v>43039</v>
      </c>
      <c r="W2" s="736">
        <v>43150</v>
      </c>
      <c r="X2" s="736"/>
      <c r="Y2" s="680"/>
    </row>
    <row r="3" spans="1:30" x14ac:dyDescent="0.25">
      <c r="A3" s="22" t="s">
        <v>71</v>
      </c>
      <c r="B3" s="437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7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4">
        <f>IF(Q2=0, Q4, (F32-K32-M32)/Q2)</f>
        <v>21.894949999999977</v>
      </c>
      <c r="T3" s="714" t="s">
        <v>722</v>
      </c>
      <c r="U3" s="680"/>
      <c r="V3" s="680"/>
      <c r="W3" s="680"/>
      <c r="X3" s="680"/>
      <c r="Y3" s="680"/>
    </row>
    <row r="4" spans="1:30" x14ac:dyDescent="0.25">
      <c r="B4" s="437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7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26.04</v>
      </c>
      <c r="R4" s="478">
        <v>1.7600000000000001E-2</v>
      </c>
      <c r="T4" s="715" t="s">
        <v>739</v>
      </c>
      <c r="U4" s="719">
        <v>320</v>
      </c>
      <c r="V4" s="719">
        <v>310</v>
      </c>
      <c r="W4" s="719">
        <v>320</v>
      </c>
      <c r="X4" s="719"/>
      <c r="Y4" s="680"/>
    </row>
    <row r="5" spans="1:30" x14ac:dyDescent="0.25">
      <c r="B5" s="437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7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15624</v>
      </c>
      <c r="T5" s="716" t="s">
        <v>732</v>
      </c>
      <c r="U5" s="719">
        <v>340</v>
      </c>
      <c r="V5" s="719">
        <v>330</v>
      </c>
      <c r="W5" s="719">
        <v>350</v>
      </c>
      <c r="X5" s="719"/>
      <c r="Y5" s="680"/>
    </row>
    <row r="6" spans="1:30" x14ac:dyDescent="0.25">
      <c r="B6" s="437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7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13136.969999999987</v>
      </c>
      <c r="T6" s="717" t="s">
        <v>725</v>
      </c>
      <c r="U6" s="719">
        <v>336</v>
      </c>
      <c r="V6" s="734">
        <v>329</v>
      </c>
      <c r="W6" s="734">
        <v>348</v>
      </c>
      <c r="X6" s="734"/>
      <c r="Y6" s="680"/>
      <c r="AC6" s="158">
        <v>43150</v>
      </c>
      <c r="AD6" t="s">
        <v>82</v>
      </c>
    </row>
    <row r="7" spans="1:30" x14ac:dyDescent="0.25">
      <c r="B7" s="437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7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3939.2900000000118</v>
      </c>
      <c r="R7" s="29">
        <v>43220</v>
      </c>
      <c r="T7" s="717" t="s">
        <v>762</v>
      </c>
      <c r="U7" s="719">
        <v>343</v>
      </c>
      <c r="V7" s="719">
        <v>326</v>
      </c>
      <c r="W7" s="719">
        <v>317</v>
      </c>
      <c r="X7" s="719"/>
      <c r="Y7" s="680"/>
      <c r="AD7" t="s">
        <v>999</v>
      </c>
    </row>
    <row r="8" spans="1:30" x14ac:dyDescent="0.25">
      <c r="B8" s="437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7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2487.0300000000134</v>
      </c>
      <c r="T8" s="717" t="s">
        <v>733</v>
      </c>
      <c r="U8" s="719">
        <v>2.2999999999999998</v>
      </c>
      <c r="V8" s="719">
        <v>2.2000000000000002</v>
      </c>
      <c r="W8" s="719">
        <v>2.2999999999999998</v>
      </c>
      <c r="X8" s="719">
        <v>1.9</v>
      </c>
      <c r="Y8" s="680"/>
    </row>
    <row r="9" spans="1:30" x14ac:dyDescent="0.25">
      <c r="B9" s="437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7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0.18931534440590303</v>
      </c>
      <c r="T9" s="717" t="s">
        <v>734</v>
      </c>
      <c r="U9" s="719">
        <v>2.6</v>
      </c>
      <c r="V9" s="719">
        <v>2.5</v>
      </c>
      <c r="W9" s="719">
        <v>2.6</v>
      </c>
      <c r="X9" s="719">
        <v>2.2000000000000002</v>
      </c>
      <c r="Y9" s="680"/>
    </row>
    <row r="10" spans="1:30" x14ac:dyDescent="0.25">
      <c r="B10" s="437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7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17" t="s">
        <v>751</v>
      </c>
      <c r="U10" s="719">
        <v>2.6</v>
      </c>
      <c r="V10" s="734">
        <v>2.1</v>
      </c>
      <c r="W10" s="734">
        <v>2.5</v>
      </c>
      <c r="X10" s="734"/>
      <c r="Y10" s="680"/>
    </row>
    <row r="11" spans="1:30" x14ac:dyDescent="0.25">
      <c r="B11" s="437">
        <v>42942</v>
      </c>
      <c r="C11" s="7">
        <v>200</v>
      </c>
      <c r="D11" s="43">
        <v>24.28</v>
      </c>
      <c r="E11" s="43">
        <v>0</v>
      </c>
      <c r="F11" s="43">
        <f t="shared" ref="F11:F23" si="3">D11*C11+E11</f>
        <v>4856</v>
      </c>
      <c r="G11" s="437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3.8402457757296471E-3</v>
      </c>
      <c r="R11">
        <f>0.025</f>
        <v>2.5000000000000001E-2</v>
      </c>
      <c r="T11" s="680"/>
      <c r="U11" s="719"/>
      <c r="V11" s="680"/>
      <c r="W11" s="680"/>
      <c r="X11" s="680"/>
      <c r="Y11" s="680"/>
    </row>
    <row r="12" spans="1:30" x14ac:dyDescent="0.25">
      <c r="B12" s="437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7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968</v>
      </c>
      <c r="Q12" s="1" t="s">
        <v>1024</v>
      </c>
      <c r="T12" s="717" t="s">
        <v>728</v>
      </c>
      <c r="U12" s="719"/>
      <c r="V12" s="725">
        <v>7.0000000000000007E-2</v>
      </c>
      <c r="W12" s="725" t="s">
        <v>776</v>
      </c>
      <c r="X12" s="738" t="s">
        <v>958</v>
      </c>
      <c r="Y12" s="680"/>
    </row>
    <row r="13" spans="1:30" x14ac:dyDescent="0.25">
      <c r="B13" s="437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7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997</v>
      </c>
      <c r="Q13">
        <f>Q4/(1.25)</f>
        <v>20.832000000000001</v>
      </c>
      <c r="T13" s="717" t="s">
        <v>735</v>
      </c>
      <c r="U13" s="719"/>
      <c r="V13" s="725">
        <v>0.09</v>
      </c>
      <c r="W13" s="725"/>
      <c r="X13" s="738" t="s">
        <v>959</v>
      </c>
      <c r="Y13" s="680"/>
    </row>
    <row r="14" spans="1:30" x14ac:dyDescent="0.25">
      <c r="B14" s="437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7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17" t="s">
        <v>760</v>
      </c>
      <c r="U14" s="726">
        <v>0.08</v>
      </c>
      <c r="V14" s="735">
        <v>0.09</v>
      </c>
      <c r="W14" s="735">
        <v>0.13</v>
      </c>
      <c r="X14" s="735"/>
      <c r="Y14" s="680"/>
    </row>
    <row r="15" spans="1:30" x14ac:dyDescent="0.25">
      <c r="B15" s="437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7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17" t="s">
        <v>729</v>
      </c>
      <c r="U15" s="719"/>
      <c r="V15" s="680"/>
      <c r="W15" s="680"/>
      <c r="X15" s="680"/>
      <c r="Y15" s="680"/>
    </row>
    <row r="16" spans="1:30" ht="20.25" thickBot="1" x14ac:dyDescent="0.35">
      <c r="A16" t="s">
        <v>799</v>
      </c>
      <c r="B16" s="437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7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7" t="s">
        <v>78</v>
      </c>
      <c r="P16" s="847"/>
      <c r="T16" s="717" t="s">
        <v>730</v>
      </c>
      <c r="U16" s="719"/>
      <c r="V16" s="680"/>
      <c r="W16" s="680"/>
      <c r="X16" s="680"/>
      <c r="Y16" s="680"/>
    </row>
    <row r="17" spans="1:27" ht="15.75" thickTop="1" x14ac:dyDescent="0.25">
      <c r="B17" s="437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7">
        <v>43200</v>
      </c>
      <c r="H17" s="829">
        <v>200</v>
      </c>
      <c r="I17" s="830">
        <v>25.22</v>
      </c>
      <c r="J17" s="830">
        <v>0.12</v>
      </c>
      <c r="K17" s="830">
        <f t="shared" si="1"/>
        <v>5043.88</v>
      </c>
      <c r="O17" s="81">
        <v>1.1000000000000001</v>
      </c>
      <c r="P17" s="81">
        <f>O17*$Q$4</f>
        <v>28.644000000000002</v>
      </c>
      <c r="T17" s="717" t="s">
        <v>953</v>
      </c>
      <c r="U17" s="719">
        <v>76</v>
      </c>
      <c r="V17" s="427">
        <v>67</v>
      </c>
      <c r="W17" s="427">
        <v>133</v>
      </c>
      <c r="X17" s="427"/>
      <c r="Y17" s="680"/>
    </row>
    <row r="18" spans="1:27" x14ac:dyDescent="0.25">
      <c r="B18" s="437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179"/>
      <c r="I18" s="3"/>
      <c r="J18" s="3"/>
      <c r="K18" s="3"/>
      <c r="O18" s="81">
        <v>1.0900000000000001</v>
      </c>
      <c r="P18" s="81">
        <f t="shared" ref="P18:P37" si="4">O18*$Q$4</f>
        <v>28.383600000000001</v>
      </c>
      <c r="T18" s="680"/>
      <c r="U18" s="719"/>
      <c r="V18" s="680"/>
      <c r="W18" s="680"/>
      <c r="X18" s="680"/>
      <c r="Y18" s="680"/>
    </row>
    <row r="19" spans="1:27" x14ac:dyDescent="0.25">
      <c r="A19" t="s">
        <v>799</v>
      </c>
      <c r="B19" s="437">
        <v>43178</v>
      </c>
      <c r="C19" s="831">
        <v>200</v>
      </c>
      <c r="D19" s="830">
        <v>25.28</v>
      </c>
      <c r="E19" s="830">
        <v>-1</v>
      </c>
      <c r="F19" s="830">
        <f t="shared" si="3"/>
        <v>5055</v>
      </c>
      <c r="O19" s="81">
        <v>1.08</v>
      </c>
      <c r="P19" s="81">
        <f t="shared" si="4"/>
        <v>28.123200000000001</v>
      </c>
      <c r="T19" s="717" t="s">
        <v>740</v>
      </c>
      <c r="U19" s="722" t="s">
        <v>743</v>
      </c>
      <c r="V19" s="717" t="s">
        <v>743</v>
      </c>
      <c r="W19" s="717" t="s">
        <v>743</v>
      </c>
      <c r="X19" s="717"/>
      <c r="Y19" s="680"/>
    </row>
    <row r="20" spans="1:27" x14ac:dyDescent="0.25">
      <c r="B20" s="477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27.8628</v>
      </c>
      <c r="T20" s="717" t="s">
        <v>741</v>
      </c>
      <c r="U20" s="725">
        <v>0.84</v>
      </c>
      <c r="V20" s="735">
        <v>0.8</v>
      </c>
      <c r="W20" s="735">
        <v>0.79</v>
      </c>
      <c r="X20" s="735"/>
      <c r="Y20" s="680"/>
    </row>
    <row r="21" spans="1:27" x14ac:dyDescent="0.25">
      <c r="B21" s="477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27.602399999999999</v>
      </c>
      <c r="T21" s="717" t="s">
        <v>762</v>
      </c>
      <c r="U21" s="725">
        <v>0.82</v>
      </c>
      <c r="V21" s="725">
        <v>0.84</v>
      </c>
      <c r="W21" s="725">
        <v>0.84</v>
      </c>
      <c r="X21" s="725"/>
      <c r="Y21" s="680"/>
    </row>
    <row r="22" spans="1:27" x14ac:dyDescent="0.25">
      <c r="B22" s="477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27.341999999999999</v>
      </c>
      <c r="T22" s="724" t="s">
        <v>759</v>
      </c>
      <c r="U22" s="719">
        <v>975</v>
      </c>
      <c r="V22" s="427">
        <v>799</v>
      </c>
      <c r="W22" s="427">
        <v>1000</v>
      </c>
      <c r="X22" s="427"/>
      <c r="Y22" s="680"/>
    </row>
    <row r="23" spans="1:27" x14ac:dyDescent="0.25">
      <c r="B23" s="477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27.081600000000002</v>
      </c>
      <c r="T23" s="680"/>
      <c r="U23" s="719"/>
      <c r="V23" s="680"/>
      <c r="W23" s="680"/>
      <c r="X23" s="680"/>
      <c r="Y23" s="680"/>
    </row>
    <row r="24" spans="1:27" x14ac:dyDescent="0.25">
      <c r="C24" s="4"/>
      <c r="O24" s="81">
        <v>1.03</v>
      </c>
      <c r="P24" s="81">
        <f t="shared" si="4"/>
        <v>26.821200000000001</v>
      </c>
      <c r="T24" s="714" t="s">
        <v>723</v>
      </c>
      <c r="U24" s="719"/>
      <c r="V24" s="680"/>
      <c r="W24" s="680"/>
      <c r="X24" s="680"/>
      <c r="Y24" s="680"/>
    </row>
    <row r="25" spans="1:27" x14ac:dyDescent="0.25">
      <c r="O25" s="81">
        <v>1.02</v>
      </c>
      <c r="P25" s="81">
        <f t="shared" si="4"/>
        <v>26.5608</v>
      </c>
      <c r="T25" s="715" t="s">
        <v>736</v>
      </c>
      <c r="U25" s="719">
        <v>170</v>
      </c>
      <c r="V25" s="719">
        <v>165</v>
      </c>
      <c r="W25" s="719">
        <v>175</v>
      </c>
      <c r="X25" s="719"/>
      <c r="Y25" s="680"/>
    </row>
    <row r="26" spans="1:27" x14ac:dyDescent="0.25">
      <c r="O26" s="81">
        <v>1.01</v>
      </c>
      <c r="P26" s="81">
        <f t="shared" si="4"/>
        <v>26.3004</v>
      </c>
      <c r="T26" s="716" t="s">
        <v>737</v>
      </c>
      <c r="U26" s="719">
        <v>185</v>
      </c>
      <c r="V26" s="719">
        <v>180</v>
      </c>
      <c r="W26" s="719">
        <v>195</v>
      </c>
      <c r="X26" s="719"/>
      <c r="Y26" s="680"/>
      <c r="AA26" s="2"/>
    </row>
    <row r="27" spans="1:27" x14ac:dyDescent="0.25">
      <c r="O27" s="81">
        <v>1</v>
      </c>
      <c r="P27" s="81">
        <f t="shared" si="4"/>
        <v>26.04</v>
      </c>
      <c r="T27" s="717" t="s">
        <v>725</v>
      </c>
      <c r="U27" s="719">
        <v>179</v>
      </c>
      <c r="V27" s="734">
        <v>182</v>
      </c>
      <c r="W27" s="734">
        <v>188</v>
      </c>
      <c r="X27" s="734"/>
      <c r="Y27" s="680"/>
      <c r="AA27" s="2"/>
    </row>
    <row r="28" spans="1:27" x14ac:dyDescent="0.25">
      <c r="O28" s="81">
        <v>0.99</v>
      </c>
      <c r="P28" s="81">
        <f t="shared" si="4"/>
        <v>25.779599999999999</v>
      </c>
      <c r="T28" s="717" t="s">
        <v>762</v>
      </c>
      <c r="U28" s="719">
        <v>178</v>
      </c>
      <c r="V28" s="719">
        <v>160</v>
      </c>
      <c r="W28" s="719">
        <v>169</v>
      </c>
      <c r="X28" s="719"/>
      <c r="Y28" s="680"/>
      <c r="Z28" s="2"/>
      <c r="AA28" s="2"/>
    </row>
    <row r="29" spans="1:27" x14ac:dyDescent="0.25">
      <c r="O29" s="81">
        <v>0.98</v>
      </c>
      <c r="P29" s="81">
        <f t="shared" si="4"/>
        <v>25.519199999999998</v>
      </c>
      <c r="T29" s="717" t="s">
        <v>733</v>
      </c>
      <c r="U29" s="719">
        <v>2</v>
      </c>
      <c r="V29" s="719">
        <v>1.9</v>
      </c>
      <c r="W29" s="719">
        <v>1.9</v>
      </c>
      <c r="X29" s="719">
        <v>1.7</v>
      </c>
      <c r="Y29" s="680"/>
      <c r="Z29" s="2"/>
      <c r="AA29" s="2"/>
    </row>
    <row r="30" spans="1:27" x14ac:dyDescent="0.25">
      <c r="O30" s="81">
        <v>0.97</v>
      </c>
      <c r="P30" s="81">
        <f t="shared" si="4"/>
        <v>25.258799999999997</v>
      </c>
      <c r="T30" s="717" t="s">
        <v>734</v>
      </c>
      <c r="U30" s="719">
        <v>2.2999999999999998</v>
      </c>
      <c r="V30" s="719">
        <v>2.2000000000000002</v>
      </c>
      <c r="W30" s="719">
        <v>2.2000000000000002</v>
      </c>
      <c r="X30" s="719">
        <v>2</v>
      </c>
      <c r="Y30" s="680"/>
      <c r="Z30" s="2"/>
      <c r="AA30" s="2"/>
    </row>
    <row r="31" spans="1:27" x14ac:dyDescent="0.25">
      <c r="O31" s="81">
        <v>0.96</v>
      </c>
      <c r="P31" s="81">
        <f t="shared" si="4"/>
        <v>24.998399999999997</v>
      </c>
      <c r="T31" s="717" t="s">
        <v>726</v>
      </c>
      <c r="U31" s="719">
        <v>2.2000000000000002</v>
      </c>
      <c r="V31" s="734">
        <v>2.2000000000000002</v>
      </c>
      <c r="W31" s="734">
        <v>2.2000000000000002</v>
      </c>
      <c r="X31" s="734"/>
      <c r="Y31" s="680"/>
      <c r="Z31" s="2"/>
    </row>
    <row r="32" spans="1:27" x14ac:dyDescent="0.25">
      <c r="A32" s="31" t="s">
        <v>81</v>
      </c>
      <c r="B32" s="14"/>
      <c r="C32" s="14">
        <f>SUM(C2:C24)</f>
        <v>2950</v>
      </c>
      <c r="D32" s="18"/>
      <c r="E32" s="18"/>
      <c r="F32" s="18">
        <f>SUM(F2:F24)</f>
        <v>72142.62</v>
      </c>
      <c r="G32" s="14"/>
      <c r="H32" s="14">
        <f>SUM(H2:H18)</f>
        <v>2350</v>
      </c>
      <c r="I32" s="18"/>
      <c r="J32" s="18"/>
      <c r="K32" s="18">
        <f>SUM(K2:K18)</f>
        <v>58730.650000000009</v>
      </c>
      <c r="L32" s="14"/>
      <c r="M32" s="18">
        <f>SUM(M2:M10)</f>
        <v>275</v>
      </c>
      <c r="O32" s="81">
        <v>0.95</v>
      </c>
      <c r="P32" s="81">
        <f t="shared" si="4"/>
        <v>24.738</v>
      </c>
      <c r="T32" s="680"/>
      <c r="U32" s="719"/>
      <c r="V32" s="680"/>
      <c r="W32" s="680"/>
      <c r="X32" s="680"/>
      <c r="Y32" s="680"/>
      <c r="Z32" s="2"/>
      <c r="AA32" s="2"/>
    </row>
    <row r="33" spans="1:26" ht="15.75" thickBot="1" x14ac:dyDescent="0.3">
      <c r="A33" s="344" t="s">
        <v>194</v>
      </c>
      <c r="B33" s="345"/>
      <c r="C33" s="346">
        <f>SumByColor($A$33,C2:C31)</f>
        <v>2150</v>
      </c>
      <c r="D33" s="346"/>
      <c r="E33" s="346"/>
      <c r="F33" s="347">
        <f>SumByColor($A$33,F2:F31)</f>
        <v>52774</v>
      </c>
      <c r="G33" s="346"/>
      <c r="H33" s="346">
        <f>SumByColor($A$33,H2:H31)</f>
        <v>2150</v>
      </c>
      <c r="I33" s="346"/>
      <c r="J33" s="346"/>
      <c r="K33" s="347">
        <f>SumByColor($A$33,K2:K31)</f>
        <v>53688</v>
      </c>
      <c r="L33" s="346"/>
      <c r="M33" s="347">
        <f>SumByColor($A$33,M2:M31)</f>
        <v>276</v>
      </c>
      <c r="O33" s="81">
        <v>0.94</v>
      </c>
      <c r="P33" s="81">
        <f t="shared" si="4"/>
        <v>24.477599999999999</v>
      </c>
      <c r="T33" s="717" t="s">
        <v>728</v>
      </c>
      <c r="U33" s="719"/>
      <c r="V33" s="725">
        <v>0.15</v>
      </c>
      <c r="W33" s="738" t="s">
        <v>777</v>
      </c>
      <c r="X33" s="738" t="s">
        <v>956</v>
      </c>
      <c r="Y33" s="680"/>
    </row>
    <row r="34" spans="1:26" x14ac:dyDescent="0.25">
      <c r="O34" s="81">
        <v>0.93</v>
      </c>
      <c r="P34" s="81">
        <f t="shared" si="4"/>
        <v>24.217200000000002</v>
      </c>
      <c r="T34" s="717" t="s">
        <v>735</v>
      </c>
      <c r="U34" s="719"/>
      <c r="V34" s="725">
        <v>0.18</v>
      </c>
      <c r="W34" s="725"/>
      <c r="X34" s="738" t="s">
        <v>957</v>
      </c>
      <c r="Y34" s="680"/>
      <c r="Z34" s="2"/>
    </row>
    <row r="35" spans="1:26" x14ac:dyDescent="0.25">
      <c r="O35" s="81">
        <v>0.92</v>
      </c>
      <c r="P35" s="81">
        <f t="shared" si="4"/>
        <v>23.956800000000001</v>
      </c>
      <c r="T35" s="717" t="s">
        <v>760</v>
      </c>
      <c r="U35" s="725">
        <v>0.23</v>
      </c>
      <c r="V35" s="735">
        <v>0.21</v>
      </c>
      <c r="W35" s="735">
        <v>0.23</v>
      </c>
      <c r="X35" s="735"/>
      <c r="Y35" s="680"/>
    </row>
    <row r="36" spans="1:26" x14ac:dyDescent="0.25">
      <c r="B36" s="487" t="s">
        <v>113</v>
      </c>
      <c r="C36" s="487" t="s">
        <v>146</v>
      </c>
      <c r="D36" s="488" t="s">
        <v>145</v>
      </c>
      <c r="E36" s="489" t="s">
        <v>147</v>
      </c>
      <c r="F36" s="489" t="s">
        <v>65</v>
      </c>
      <c r="G36" s="491" t="s">
        <v>151</v>
      </c>
      <c r="H36" s="491" t="s">
        <v>88</v>
      </c>
      <c r="I36" s="491" t="s">
        <v>154</v>
      </c>
      <c r="J36" s="491" t="s">
        <v>504</v>
      </c>
      <c r="K36" s="491" t="s">
        <v>150</v>
      </c>
      <c r="L36" s="491" t="s">
        <v>997</v>
      </c>
      <c r="O36" s="81">
        <v>0.91</v>
      </c>
      <c r="P36" s="81">
        <f t="shared" si="4"/>
        <v>23.696400000000001</v>
      </c>
      <c r="T36" s="717" t="s">
        <v>729</v>
      </c>
      <c r="U36" s="719"/>
      <c r="V36" s="680"/>
      <c r="W36" s="680"/>
      <c r="X36" s="680"/>
      <c r="Y36" s="680"/>
    </row>
    <row r="37" spans="1:26" x14ac:dyDescent="0.25">
      <c r="B37" s="526">
        <v>42754</v>
      </c>
      <c r="C37" s="530">
        <v>100</v>
      </c>
      <c r="D37" s="531">
        <v>27.58</v>
      </c>
      <c r="E37" s="531">
        <v>30.25</v>
      </c>
      <c r="F37" s="531">
        <f t="shared" ref="F37:F42" si="5">C37*(E37-D37)</f>
        <v>267.00000000000017</v>
      </c>
      <c r="G37" s="531">
        <f t="shared" ref="G37:G42" si="6">D37*C37</f>
        <v>2758</v>
      </c>
      <c r="H37" s="572">
        <f t="shared" ref="H37:H42" si="7">(E37-D37)/D37</f>
        <v>9.6809282088469978E-2</v>
      </c>
      <c r="I37" s="531"/>
      <c r="J37" s="531"/>
      <c r="K37" s="531"/>
      <c r="L37" s="531"/>
      <c r="O37" s="81">
        <v>0.9</v>
      </c>
      <c r="P37" s="81">
        <f t="shared" si="4"/>
        <v>23.436</v>
      </c>
      <c r="T37" s="717" t="s">
        <v>730</v>
      </c>
      <c r="U37" s="719"/>
      <c r="V37" s="680"/>
      <c r="W37" s="680"/>
      <c r="X37" s="680"/>
      <c r="Y37" s="680"/>
    </row>
    <row r="38" spans="1:26" x14ac:dyDescent="0.25">
      <c r="B38" s="526">
        <v>42758</v>
      </c>
      <c r="C38" s="530">
        <v>100</v>
      </c>
      <c r="D38" s="531">
        <v>27.180700000000002</v>
      </c>
      <c r="E38" s="531">
        <v>31.55</v>
      </c>
      <c r="F38" s="531">
        <f t="shared" si="5"/>
        <v>436.92999999999989</v>
      </c>
      <c r="G38" s="531">
        <f t="shared" si="6"/>
        <v>2718.07</v>
      </c>
      <c r="H38" s="572">
        <f t="shared" si="7"/>
        <v>0.16075009105725749</v>
      </c>
      <c r="I38" s="531"/>
      <c r="J38" s="531"/>
      <c r="K38" s="531"/>
      <c r="L38" s="531"/>
      <c r="T38" s="717" t="s">
        <v>761</v>
      </c>
      <c r="U38" s="719">
        <v>110</v>
      </c>
      <c r="V38" s="427">
        <v>99</v>
      </c>
      <c r="W38" s="427">
        <v>114</v>
      </c>
      <c r="X38" s="427"/>
      <c r="Y38" s="680"/>
    </row>
    <row r="39" spans="1:26" x14ac:dyDescent="0.25">
      <c r="A39" t="s">
        <v>352</v>
      </c>
      <c r="B39" s="187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5">
        <f t="shared" si="7"/>
        <v>1.1866581141757569E-2</v>
      </c>
      <c r="I39" s="39"/>
      <c r="J39" s="39"/>
      <c r="K39" s="39"/>
      <c r="L39" s="39"/>
      <c r="T39" s="717" t="s">
        <v>740</v>
      </c>
      <c r="U39" s="722" t="s">
        <v>752</v>
      </c>
      <c r="V39" s="717" t="s">
        <v>743</v>
      </c>
      <c r="W39" s="717" t="s">
        <v>778</v>
      </c>
      <c r="X39" s="717"/>
      <c r="Y39" s="680"/>
    </row>
    <row r="40" spans="1:26" x14ac:dyDescent="0.25">
      <c r="A40" t="s">
        <v>352</v>
      </c>
      <c r="B40" s="187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5">
        <f t="shared" si="7"/>
        <v>6.6709429121231498E-2</v>
      </c>
      <c r="I40" s="39"/>
      <c r="J40" s="39"/>
      <c r="K40" s="39"/>
      <c r="L40" s="39"/>
      <c r="T40" s="717" t="s">
        <v>741</v>
      </c>
      <c r="U40" s="725">
        <v>0.93</v>
      </c>
      <c r="V40" s="735">
        <v>0.87</v>
      </c>
      <c r="W40" s="735">
        <v>0.87</v>
      </c>
      <c r="X40" s="735"/>
      <c r="Y40" s="680"/>
    </row>
    <row r="41" spans="1:26" x14ac:dyDescent="0.25">
      <c r="A41" t="s">
        <v>341</v>
      </c>
      <c r="B41" s="187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5">
        <f t="shared" si="7"/>
        <v>7.8896728672225816E-2</v>
      </c>
      <c r="I41" s="39"/>
      <c r="J41" s="39"/>
      <c r="K41" s="39"/>
      <c r="L41" s="39"/>
      <c r="Q41" s="2"/>
      <c r="T41" s="680"/>
      <c r="U41" s="719"/>
      <c r="V41" s="680"/>
      <c r="W41" s="680"/>
      <c r="X41" s="680"/>
      <c r="Y41" s="680"/>
    </row>
    <row r="42" spans="1:26" x14ac:dyDescent="0.25">
      <c r="A42">
        <v>100</v>
      </c>
      <c r="B42" s="187">
        <v>42808</v>
      </c>
      <c r="C42" s="231">
        <v>200</v>
      </c>
      <c r="D42" s="232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5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4" t="s">
        <v>759</v>
      </c>
      <c r="U42" s="719">
        <v>468</v>
      </c>
      <c r="V42" s="427">
        <v>474</v>
      </c>
      <c r="W42" s="427">
        <v>496</v>
      </c>
      <c r="X42" s="427"/>
      <c r="Y42" s="680"/>
    </row>
    <row r="43" spans="1:26" x14ac:dyDescent="0.25">
      <c r="A43">
        <v>0</v>
      </c>
      <c r="B43" s="187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5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80"/>
      <c r="U43" s="719"/>
      <c r="V43" s="680"/>
      <c r="W43" s="680"/>
      <c r="X43" s="680"/>
      <c r="Y43" s="680"/>
    </row>
    <row r="44" spans="1:26" x14ac:dyDescent="0.25">
      <c r="A44">
        <v>0</v>
      </c>
      <c r="B44" s="187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5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4" t="s">
        <v>724</v>
      </c>
      <c r="U44" s="719"/>
      <c r="V44" s="680"/>
      <c r="W44" s="680"/>
      <c r="X44" s="680"/>
      <c r="Y44" s="680"/>
    </row>
    <row r="45" spans="1:26" x14ac:dyDescent="0.25">
      <c r="A45">
        <v>0</v>
      </c>
      <c r="B45" s="187">
        <v>42836</v>
      </c>
      <c r="C45" s="231">
        <v>200</v>
      </c>
      <c r="D45" s="232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5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17" t="s">
        <v>733</v>
      </c>
      <c r="U45" s="719">
        <v>1.4</v>
      </c>
      <c r="V45" s="719">
        <v>2.2999999999999998</v>
      </c>
      <c r="W45" s="719">
        <v>1.5</v>
      </c>
      <c r="X45" s="719">
        <v>1.4</v>
      </c>
      <c r="Y45" s="680"/>
    </row>
    <row r="46" spans="1:26" x14ac:dyDescent="0.25">
      <c r="A46">
        <v>100</v>
      </c>
      <c r="B46" s="187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5">
        <f t="shared" si="13"/>
        <v>-0.10718119748650932</v>
      </c>
      <c r="I46" s="39"/>
      <c r="J46" s="39"/>
      <c r="K46" s="39">
        <v>554</v>
      </c>
      <c r="L46" s="39"/>
      <c r="Q46" s="2"/>
      <c r="T46" s="717" t="s">
        <v>734</v>
      </c>
      <c r="U46" s="719">
        <v>1.7</v>
      </c>
      <c r="V46" s="719">
        <v>2.6</v>
      </c>
      <c r="W46" s="719">
        <v>1.8</v>
      </c>
      <c r="X46" s="719">
        <v>1.7</v>
      </c>
      <c r="Y46" s="680"/>
    </row>
    <row r="47" spans="1:26" x14ac:dyDescent="0.25">
      <c r="A47">
        <v>100</v>
      </c>
      <c r="B47" s="187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5">
        <f t="shared" si="13"/>
        <v>-0.11033282753145186</v>
      </c>
      <c r="I47" s="39"/>
      <c r="J47" s="39"/>
      <c r="K47" s="39"/>
      <c r="L47" s="39"/>
      <c r="Q47" s="2"/>
      <c r="T47" s="717" t="s">
        <v>726</v>
      </c>
      <c r="U47" s="719">
        <v>1.6</v>
      </c>
      <c r="V47" s="734">
        <v>2.5</v>
      </c>
      <c r="W47" s="734">
        <v>1.9</v>
      </c>
      <c r="X47" s="734"/>
      <c r="Y47" s="680"/>
    </row>
    <row r="48" spans="1:26" x14ac:dyDescent="0.25">
      <c r="A48">
        <v>100</v>
      </c>
      <c r="B48" s="187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5">
        <f t="shared" si="13"/>
        <v>-0.12999603025907203</v>
      </c>
      <c r="I48" s="39"/>
      <c r="J48" s="39"/>
      <c r="K48" s="39">
        <v>50</v>
      </c>
      <c r="L48" s="39"/>
      <c r="Q48" s="2"/>
      <c r="T48" s="680"/>
      <c r="U48" s="719"/>
      <c r="V48" s="680"/>
      <c r="W48" s="680"/>
      <c r="X48" s="680"/>
      <c r="Y48" s="680"/>
    </row>
    <row r="49" spans="1:25" x14ac:dyDescent="0.25">
      <c r="A49">
        <v>200</v>
      </c>
      <c r="B49" s="187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5">
        <f t="shared" si="13"/>
        <v>-0.10612563402262969</v>
      </c>
      <c r="I49" s="39"/>
      <c r="J49" s="39"/>
      <c r="K49" s="39">
        <v>-179</v>
      </c>
      <c r="L49" s="39"/>
      <c r="Q49" s="2"/>
      <c r="T49" s="717" t="s">
        <v>731</v>
      </c>
      <c r="U49" s="719">
        <v>20</v>
      </c>
      <c r="V49" s="717" t="s">
        <v>767</v>
      </c>
      <c r="W49" s="722">
        <v>20</v>
      </c>
      <c r="X49" s="722">
        <v>25</v>
      </c>
      <c r="Y49" s="680"/>
    </row>
    <row r="50" spans="1:25" x14ac:dyDescent="0.25">
      <c r="B50" s="187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5">
        <f t="shared" si="13"/>
        <v>-0.1064042922949662</v>
      </c>
      <c r="I50" s="39"/>
      <c r="J50" s="39"/>
      <c r="K50" s="39">
        <v>331</v>
      </c>
      <c r="L50" s="39"/>
      <c r="Q50" s="2"/>
      <c r="T50" s="717" t="s">
        <v>738</v>
      </c>
      <c r="U50" s="719"/>
      <c r="V50" s="680"/>
      <c r="W50" s="680"/>
      <c r="X50" s="722">
        <v>35</v>
      </c>
      <c r="Y50" s="680"/>
    </row>
    <row r="51" spans="1:25" x14ac:dyDescent="0.25">
      <c r="A51">
        <v>400</v>
      </c>
      <c r="B51" s="187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5">
        <f t="shared" si="13"/>
        <v>-0.10104719699874687</v>
      </c>
      <c r="I51" s="39"/>
      <c r="J51" s="39"/>
      <c r="K51" s="39">
        <v>-81.41</v>
      </c>
      <c r="L51" s="39"/>
      <c r="Q51" s="2"/>
      <c r="T51" s="717" t="s">
        <v>763</v>
      </c>
      <c r="U51" s="719">
        <v>24</v>
      </c>
      <c r="V51" s="734">
        <v>25</v>
      </c>
      <c r="W51" s="734">
        <v>24</v>
      </c>
      <c r="X51" s="734"/>
      <c r="Y51" s="680"/>
    </row>
    <row r="52" spans="1:25" x14ac:dyDescent="0.25">
      <c r="A52">
        <v>400</v>
      </c>
      <c r="B52" s="187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5">
        <f t="shared" si="13"/>
        <v>-9.6877845868743054E-2</v>
      </c>
      <c r="I52" s="39"/>
      <c r="J52" s="39"/>
      <c r="K52" s="39">
        <v>-9.41</v>
      </c>
      <c r="L52" s="39"/>
      <c r="Q52" s="2"/>
      <c r="T52" s="714"/>
      <c r="U52" s="720"/>
      <c r="V52" s="680"/>
      <c r="W52" s="680"/>
      <c r="X52" s="680"/>
      <c r="Y52" s="680"/>
    </row>
    <row r="53" spans="1:25" x14ac:dyDescent="0.25">
      <c r="A53">
        <v>200</v>
      </c>
      <c r="B53" s="187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5">
        <f t="shared" si="13"/>
        <v>-5.9837392033379525E-2</v>
      </c>
      <c r="I53" s="39"/>
      <c r="J53" s="39"/>
      <c r="K53" s="39">
        <v>836</v>
      </c>
      <c r="L53" s="39"/>
      <c r="Q53" s="2"/>
      <c r="T53" s="717" t="s">
        <v>761</v>
      </c>
      <c r="U53" s="721">
        <v>39</v>
      </c>
      <c r="V53" s="427">
        <v>64</v>
      </c>
      <c r="W53" s="427">
        <v>45</v>
      </c>
      <c r="X53" s="427"/>
      <c r="Y53" s="680"/>
    </row>
    <row r="54" spans="1:25" x14ac:dyDescent="0.25">
      <c r="B54" s="187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5">
        <f t="shared" si="13"/>
        <v>-2.5744167337087714E-2</v>
      </c>
      <c r="I54" s="39"/>
      <c r="J54" s="39"/>
      <c r="K54" s="39">
        <v>1066</v>
      </c>
      <c r="L54" s="39"/>
      <c r="T54" s="717" t="s">
        <v>764</v>
      </c>
      <c r="U54" s="727">
        <f>U53/U57</f>
        <v>6.6895368782161235E-2</v>
      </c>
      <c r="V54" s="727">
        <f>V53/V57</f>
        <v>6.8743286788399569E-2</v>
      </c>
      <c r="W54" s="727">
        <f>W53/W57</f>
        <v>6.311360448807854E-2</v>
      </c>
      <c r="X54" s="727"/>
      <c r="Y54" s="680"/>
    </row>
    <row r="55" spans="1:25" x14ac:dyDescent="0.25">
      <c r="A55">
        <v>200</v>
      </c>
      <c r="B55" s="187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5">
        <f t="shared" si="13"/>
        <v>-2.3182280155516471E-2</v>
      </c>
      <c r="I55" s="39">
        <v>23</v>
      </c>
      <c r="J55" s="39"/>
      <c r="K55" s="39">
        <v>1222</v>
      </c>
      <c r="L55" s="39"/>
      <c r="T55" s="717" t="s">
        <v>765</v>
      </c>
      <c r="U55" s="719">
        <v>356</v>
      </c>
      <c r="V55" s="734">
        <v>366</v>
      </c>
      <c r="W55" s="734">
        <v>370</v>
      </c>
      <c r="X55" s="734"/>
      <c r="Y55" s="680"/>
    </row>
    <row r="56" spans="1:25" x14ac:dyDescent="0.25">
      <c r="A56">
        <v>200</v>
      </c>
      <c r="B56" s="187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5">
        <f t="shared" si="13"/>
        <v>-4.1546521544897033E-2</v>
      </c>
      <c r="I56" s="39"/>
      <c r="J56" s="39"/>
      <c r="K56" s="39">
        <v>838</v>
      </c>
      <c r="L56" s="39"/>
      <c r="T56" s="728" t="s">
        <v>766</v>
      </c>
      <c r="U56" s="719">
        <v>374</v>
      </c>
      <c r="V56" s="719">
        <v>380</v>
      </c>
      <c r="W56" s="719">
        <v>354</v>
      </c>
      <c r="X56" s="719"/>
      <c r="Y56" s="680"/>
    </row>
    <row r="57" spans="1:25" x14ac:dyDescent="0.25">
      <c r="B57" s="187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5">
        <f t="shared" si="13"/>
        <v>-5.5522804453780765E-2</v>
      </c>
      <c r="I57" s="39"/>
      <c r="J57" s="39"/>
      <c r="K57" s="39"/>
      <c r="L57" s="39"/>
      <c r="T57" s="724" t="s">
        <v>759</v>
      </c>
      <c r="U57" s="721">
        <v>583</v>
      </c>
      <c r="V57" s="427">
        <v>931</v>
      </c>
      <c r="W57" s="427">
        <v>713</v>
      </c>
      <c r="X57" s="427"/>
      <c r="Y57" s="680"/>
    </row>
    <row r="58" spans="1:25" x14ac:dyDescent="0.25">
      <c r="A58">
        <v>800</v>
      </c>
      <c r="B58" s="187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5">
        <f t="shared" ref="H58" si="16">(E58-D58)/D58</f>
        <v>-0.17507418397626109</v>
      </c>
      <c r="I58" s="39"/>
      <c r="J58" s="39"/>
      <c r="K58" s="39">
        <v>-2264</v>
      </c>
      <c r="L58" s="39"/>
      <c r="T58" s="717"/>
      <c r="U58" s="721"/>
      <c r="V58" s="680"/>
      <c r="W58" s="680"/>
      <c r="X58" s="680"/>
      <c r="Y58" s="680"/>
    </row>
    <row r="59" spans="1:25" x14ac:dyDescent="0.25">
      <c r="A59">
        <v>700</v>
      </c>
      <c r="B59" s="187">
        <v>42984</v>
      </c>
      <c r="C59" s="428">
        <v>800</v>
      </c>
      <c r="D59" s="429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5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17"/>
      <c r="U59" s="721"/>
      <c r="V59" s="680"/>
      <c r="W59" s="680"/>
      <c r="X59" s="680"/>
      <c r="Y59" s="680"/>
    </row>
    <row r="60" spans="1:25" x14ac:dyDescent="0.25">
      <c r="A60">
        <v>700</v>
      </c>
      <c r="B60" s="187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5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18"/>
      <c r="U60" s="721"/>
      <c r="V60" s="680"/>
      <c r="W60" s="680"/>
      <c r="X60" s="680"/>
      <c r="Y60" s="680"/>
    </row>
    <row r="61" spans="1:25" x14ac:dyDescent="0.25">
      <c r="A61">
        <v>700</v>
      </c>
      <c r="B61" s="187">
        <v>42999</v>
      </c>
      <c r="C61" s="428">
        <v>800</v>
      </c>
      <c r="D61" s="429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5">
        <f t="shared" si="22"/>
        <v>-9.6539314558312703E-2</v>
      </c>
      <c r="I61" s="39">
        <v>23.5</v>
      </c>
      <c r="J61" s="39"/>
      <c r="K61" s="39">
        <v>-393</v>
      </c>
      <c r="L61" s="39"/>
      <c r="T61" s="717"/>
      <c r="U61" s="721"/>
      <c r="V61" s="680"/>
      <c r="W61" s="680"/>
      <c r="X61" s="680"/>
      <c r="Y61" s="680"/>
    </row>
    <row r="62" spans="1:25" x14ac:dyDescent="0.25">
      <c r="B62" s="187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5">
        <f t="shared" si="22"/>
        <v>-8.8702928870292783E-2</v>
      </c>
      <c r="I62" s="39"/>
      <c r="J62" s="39">
        <v>61</v>
      </c>
      <c r="K62" s="39">
        <v>-241</v>
      </c>
      <c r="L62" s="39"/>
      <c r="T62" s="718" t="s">
        <v>756</v>
      </c>
      <c r="U62" s="721">
        <v>95</v>
      </c>
      <c r="V62" s="680">
        <v>213.9</v>
      </c>
      <c r="W62" s="680">
        <v>127.1</v>
      </c>
      <c r="X62" s="680"/>
      <c r="Y62" s="680"/>
    </row>
    <row r="63" spans="1:25" x14ac:dyDescent="0.25">
      <c r="A63">
        <v>800</v>
      </c>
      <c r="B63" s="187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5">
        <f t="shared" ref="H63" si="25">(E63-D63)/D63</f>
        <v>-0.1200836820083681</v>
      </c>
      <c r="I63" s="39"/>
      <c r="J63" s="39"/>
      <c r="K63" s="39">
        <v>-841</v>
      </c>
      <c r="L63" s="39"/>
      <c r="T63" s="718" t="s">
        <v>754</v>
      </c>
      <c r="U63" s="721">
        <v>97</v>
      </c>
      <c r="V63" s="680">
        <v>227.5</v>
      </c>
      <c r="W63" s="680">
        <v>-429.8</v>
      </c>
      <c r="X63" s="680"/>
      <c r="Y63" s="680"/>
    </row>
    <row r="64" spans="1:25" x14ac:dyDescent="0.25">
      <c r="A64">
        <v>800</v>
      </c>
      <c r="B64" s="187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5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18" t="s">
        <v>753</v>
      </c>
      <c r="U64" s="721">
        <v>0.28000000000000003</v>
      </c>
      <c r="V64" s="680">
        <v>0.65</v>
      </c>
      <c r="W64" s="680">
        <v>-1.23</v>
      </c>
      <c r="X64" s="680"/>
      <c r="Y64" s="680"/>
    </row>
    <row r="65" spans="1:28" x14ac:dyDescent="0.25">
      <c r="A65">
        <v>500</v>
      </c>
      <c r="B65" s="187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5">
        <f t="shared" si="28"/>
        <v>3.8690032578838664E-2</v>
      </c>
      <c r="I65" s="39"/>
      <c r="J65" s="39"/>
      <c r="K65" s="39">
        <v>1907</v>
      </c>
      <c r="L65" s="39"/>
      <c r="T65" s="718" t="s">
        <v>960</v>
      </c>
      <c r="U65" s="721"/>
      <c r="V65" s="680"/>
      <c r="W65" s="680">
        <v>0.34</v>
      </c>
      <c r="X65" s="680"/>
      <c r="Y65" s="680"/>
    </row>
    <row r="66" spans="1:28" x14ac:dyDescent="0.25">
      <c r="A66">
        <v>500</v>
      </c>
      <c r="B66" s="187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5">
        <f t="shared" ref="H66:H69" si="31">(E66-D66)/D66</f>
        <v>5.7002320976087546E-2</v>
      </c>
      <c r="I66" s="39"/>
      <c r="J66" s="39"/>
      <c r="K66" s="39">
        <v>2121</v>
      </c>
      <c r="L66" s="39"/>
      <c r="T66" s="718" t="s">
        <v>755</v>
      </c>
      <c r="U66" s="721">
        <v>1.8</v>
      </c>
      <c r="V66" s="680">
        <v>1.98</v>
      </c>
      <c r="W66" s="680">
        <v>2.09</v>
      </c>
      <c r="X66" s="680"/>
      <c r="Y66" s="680"/>
    </row>
    <row r="67" spans="1:28" x14ac:dyDescent="0.25">
      <c r="A67">
        <v>450</v>
      </c>
      <c r="B67" s="187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5">
        <f t="shared" si="31"/>
        <v>8.3297552597681471E-2</v>
      </c>
      <c r="I67" s="39"/>
      <c r="J67" s="39">
        <v>68</v>
      </c>
      <c r="K67" s="39">
        <v>2324</v>
      </c>
      <c r="L67" s="39"/>
      <c r="T67" s="718"/>
      <c r="U67" s="721"/>
      <c r="V67" s="680"/>
      <c r="W67" s="680"/>
      <c r="X67" s="680"/>
      <c r="Y67" s="680"/>
    </row>
    <row r="68" spans="1:28" x14ac:dyDescent="0.25">
      <c r="A68">
        <v>400</v>
      </c>
      <c r="B68" s="187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5">
        <f t="shared" si="31"/>
        <v>0.16630196936542657</v>
      </c>
      <c r="I68" s="752" t="s">
        <v>847</v>
      </c>
      <c r="J68" s="39"/>
      <c r="K68" s="39">
        <v>2972</v>
      </c>
      <c r="L68" s="39"/>
      <c r="T68" s="718" t="s">
        <v>757</v>
      </c>
      <c r="U68" s="721">
        <v>661</v>
      </c>
      <c r="V68" s="680">
        <v>726.4</v>
      </c>
      <c r="W68" s="680">
        <v>2194.4</v>
      </c>
      <c r="X68" s="680"/>
      <c r="Y68" s="680"/>
    </row>
    <row r="69" spans="1:28" x14ac:dyDescent="0.25">
      <c r="A69">
        <v>400</v>
      </c>
      <c r="B69" s="187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5">
        <f t="shared" si="31"/>
        <v>0.13387715090937738</v>
      </c>
      <c r="I69" s="39"/>
      <c r="J69" s="39"/>
      <c r="K69" s="39">
        <v>2676</v>
      </c>
      <c r="L69" s="39"/>
      <c r="T69" s="718" t="s">
        <v>758</v>
      </c>
      <c r="U69" s="721">
        <v>3.8</v>
      </c>
      <c r="V69" s="680">
        <v>3.72</v>
      </c>
      <c r="W69" s="680">
        <v>4.88</v>
      </c>
      <c r="X69" s="680"/>
      <c r="Y69" s="680"/>
    </row>
    <row r="70" spans="1:28" x14ac:dyDescent="0.25">
      <c r="B70" s="187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5">
        <f t="shared" ref="H70:H82" si="34">(E70-D70)/D70</f>
        <v>0.1912055595427731</v>
      </c>
      <c r="I70" s="39"/>
      <c r="J70" s="39"/>
      <c r="K70" s="39">
        <v>3120</v>
      </c>
      <c r="L70" s="39"/>
      <c r="T70" s="717"/>
      <c r="U70" s="721"/>
      <c r="V70" s="680"/>
      <c r="W70" s="680"/>
      <c r="X70" s="680"/>
      <c r="Y70" s="680"/>
    </row>
    <row r="71" spans="1:28" x14ac:dyDescent="0.25">
      <c r="A71">
        <v>400</v>
      </c>
      <c r="B71" s="187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5">
        <f t="shared" si="34"/>
        <v>0.10803324099722983</v>
      </c>
      <c r="I71" s="39"/>
      <c r="J71" s="39"/>
      <c r="K71" s="39">
        <v>2579</v>
      </c>
      <c r="L71" s="39"/>
      <c r="T71" s="717"/>
      <c r="U71" s="721"/>
      <c r="V71" s="680"/>
      <c r="W71" s="680"/>
      <c r="X71" s="680"/>
      <c r="Y71" s="680"/>
    </row>
    <row r="72" spans="1:28" x14ac:dyDescent="0.25">
      <c r="A72">
        <v>350</v>
      </c>
      <c r="B72" s="187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5">
        <f t="shared" si="34"/>
        <v>0.15185408091093988</v>
      </c>
      <c r="I72" s="39">
        <v>22.5</v>
      </c>
      <c r="J72" s="39"/>
      <c r="K72" s="39">
        <v>2835</v>
      </c>
      <c r="L72" s="39"/>
      <c r="T72" s="717"/>
      <c r="U72" s="721"/>
      <c r="V72" s="680"/>
      <c r="W72" s="680"/>
      <c r="X72" s="680"/>
      <c r="Y72" s="680"/>
    </row>
    <row r="73" spans="1:28" x14ac:dyDescent="0.25">
      <c r="A73">
        <v>350</v>
      </c>
      <c r="B73" s="187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5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7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5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7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5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7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5">
        <f t="shared" si="34"/>
        <v>9.9662162162162143E-2</v>
      </c>
      <c r="I76" s="39"/>
      <c r="J76" s="39"/>
      <c r="K76" s="39">
        <v>2869</v>
      </c>
      <c r="L76" s="39"/>
      <c r="R76" t="s">
        <v>745</v>
      </c>
      <c r="T76" s="22" t="s">
        <v>744</v>
      </c>
    </row>
    <row r="77" spans="1:28" x14ac:dyDescent="0.25">
      <c r="B77" s="187">
        <v>43140</v>
      </c>
      <c r="C77" s="428">
        <v>800</v>
      </c>
      <c r="D77" s="429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5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7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5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7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5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7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5">
        <f t="shared" si="34"/>
        <v>0.14767747589833483</v>
      </c>
      <c r="I80" s="39"/>
      <c r="J80" s="39"/>
      <c r="K80" s="39">
        <v>3139</v>
      </c>
      <c r="L80" s="39"/>
      <c r="T80" s="683" t="s">
        <v>113</v>
      </c>
      <c r="U80" s="683" t="s">
        <v>699</v>
      </c>
      <c r="V80" s="683" t="s">
        <v>700</v>
      </c>
      <c r="W80" s="681" t="s">
        <v>693</v>
      </c>
      <c r="X80" s="681" t="s">
        <v>694</v>
      </c>
      <c r="Y80" s="683" t="s">
        <v>696</v>
      </c>
      <c r="Z80" s="683" t="s">
        <v>697</v>
      </c>
      <c r="AA80" s="681" t="s">
        <v>695</v>
      </c>
      <c r="AB80" s="682" t="s">
        <v>698</v>
      </c>
    </row>
    <row r="81" spans="1:28" x14ac:dyDescent="0.25">
      <c r="A81">
        <v>0</v>
      </c>
      <c r="B81" s="187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5">
        <f t="shared" si="34"/>
        <v>0.22696011004126562</v>
      </c>
      <c r="I81" s="752" t="s">
        <v>961</v>
      </c>
      <c r="J81" s="39"/>
      <c r="K81" s="39">
        <v>3433</v>
      </c>
      <c r="L81" s="39"/>
      <c r="T81" s="684">
        <v>43046</v>
      </c>
      <c r="U81" s="680"/>
      <c r="V81" s="680"/>
      <c r="W81" s="679"/>
      <c r="X81" s="679"/>
      <c r="Y81" s="680"/>
      <c r="Z81" s="680"/>
      <c r="AA81" s="677"/>
      <c r="AB81" s="678"/>
    </row>
    <row r="82" spans="1:28" x14ac:dyDescent="0.25">
      <c r="B82" s="187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5">
        <f t="shared" si="34"/>
        <v>0.28931682714351226</v>
      </c>
      <c r="I82" s="39"/>
      <c r="J82" s="39"/>
      <c r="K82" s="39">
        <v>3996</v>
      </c>
      <c r="L82" s="39"/>
      <c r="T82" s="723"/>
      <c r="U82" s="680"/>
      <c r="V82" s="680"/>
      <c r="W82" s="679"/>
      <c r="X82" s="677"/>
      <c r="Y82" s="680"/>
      <c r="Z82" s="680"/>
      <c r="AA82" s="677"/>
      <c r="AB82" s="678"/>
    </row>
    <row r="83" spans="1:28" x14ac:dyDescent="0.25">
      <c r="A83" s="1">
        <v>43164</v>
      </c>
      <c r="B83" s="187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5">
        <f t="shared" ref="H83" si="37">(E83-D83)/D83</f>
        <v>0.22971114167812939</v>
      </c>
      <c r="I83" s="39"/>
      <c r="J83" s="39"/>
      <c r="K83" s="39">
        <v>3457</v>
      </c>
      <c r="L83" s="39"/>
      <c r="T83" s="685"/>
      <c r="U83" s="680"/>
      <c r="V83" s="680"/>
      <c r="W83" s="677"/>
      <c r="X83" s="677"/>
      <c r="Y83" s="680"/>
      <c r="Z83" s="680"/>
      <c r="AA83" s="677"/>
      <c r="AB83" s="678"/>
    </row>
    <row r="84" spans="1:28" x14ac:dyDescent="0.25">
      <c r="A84">
        <v>200</v>
      </c>
      <c r="B84" s="187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5">
        <f t="shared" ref="H84:H85" si="40">(E84-D84)/D84</f>
        <v>0.27189362677670792</v>
      </c>
      <c r="I84" s="39"/>
      <c r="J84" s="39"/>
      <c r="K84" s="39">
        <v>3825</v>
      </c>
      <c r="L84" s="39"/>
      <c r="T84" s="685"/>
      <c r="U84" s="680"/>
      <c r="V84" s="680"/>
      <c r="W84" s="677"/>
      <c r="X84" s="677"/>
      <c r="Y84" s="680"/>
      <c r="Z84" s="680"/>
      <c r="AA84" s="677"/>
      <c r="AB84" s="678"/>
    </row>
    <row r="85" spans="1:28" x14ac:dyDescent="0.25">
      <c r="A85">
        <v>400</v>
      </c>
      <c r="B85" s="187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5">
        <f t="shared" si="40"/>
        <v>0.11503267973856211</v>
      </c>
      <c r="I85" s="39">
        <v>22.5</v>
      </c>
      <c r="J85" s="39"/>
      <c r="K85" s="39">
        <v>2851</v>
      </c>
      <c r="L85" s="39"/>
      <c r="T85" s="685"/>
      <c r="U85" s="680"/>
      <c r="V85" s="680"/>
      <c r="W85" s="677"/>
      <c r="X85" s="677"/>
      <c r="Y85" s="680"/>
      <c r="Z85" s="680"/>
      <c r="AA85" s="677"/>
      <c r="AB85" s="678"/>
    </row>
    <row r="86" spans="1:28" x14ac:dyDescent="0.25">
      <c r="A86">
        <v>400</v>
      </c>
      <c r="B86" s="187">
        <v>43185</v>
      </c>
      <c r="C86" s="10">
        <v>600</v>
      </c>
      <c r="D86" s="39">
        <v>22.95</v>
      </c>
      <c r="E86" s="39">
        <v>24.65</v>
      </c>
      <c r="F86" s="39">
        <f t="shared" ref="F86:F93" si="41">C86*(E86-D86)</f>
        <v>1019.9999999999995</v>
      </c>
      <c r="G86" s="39">
        <f t="shared" ref="G86:G93" si="42">D86*C86</f>
        <v>13770</v>
      </c>
      <c r="H86" s="225">
        <f t="shared" ref="H86:H93" si="43">(E86-D86)/D86</f>
        <v>7.4074074074074042E-2</v>
      </c>
      <c r="I86" s="39"/>
      <c r="J86" s="39"/>
      <c r="K86" s="39">
        <v>2474</v>
      </c>
      <c r="L86" s="39"/>
      <c r="T86" s="685"/>
      <c r="U86" s="680"/>
      <c r="V86" s="680"/>
      <c r="W86" s="677"/>
      <c r="X86" s="677"/>
      <c r="Y86" s="680"/>
      <c r="Z86" s="680"/>
      <c r="AA86" s="677"/>
      <c r="AB86" s="678"/>
    </row>
    <row r="87" spans="1:28" x14ac:dyDescent="0.25">
      <c r="A87">
        <v>400</v>
      </c>
      <c r="B87" s="187">
        <v>43187</v>
      </c>
      <c r="C87" s="428">
        <v>800</v>
      </c>
      <c r="D87" s="429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5">
        <f t="shared" si="43"/>
        <v>1.9706244997728727E-2</v>
      </c>
      <c r="I87" s="752" t="s">
        <v>989</v>
      </c>
      <c r="J87" s="39"/>
      <c r="K87" s="39">
        <v>1817</v>
      </c>
      <c r="L87" s="39"/>
      <c r="T87" s="685"/>
      <c r="U87" s="680"/>
      <c r="V87" s="680"/>
      <c r="W87" s="677"/>
      <c r="X87" s="677"/>
      <c r="Y87" s="680"/>
      <c r="Z87" s="680"/>
      <c r="AA87" s="677"/>
      <c r="AB87" s="678"/>
    </row>
    <row r="88" spans="1:28" x14ac:dyDescent="0.25">
      <c r="A88">
        <v>200</v>
      </c>
      <c r="B88" s="187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5">
        <f t="shared" si="43"/>
        <v>6.8055549445957195E-2</v>
      </c>
      <c r="I88" s="39">
        <v>22.5</v>
      </c>
      <c r="J88" s="39"/>
      <c r="K88" s="39">
        <v>2380</v>
      </c>
      <c r="L88" s="39"/>
      <c r="T88" s="685"/>
      <c r="U88" s="680"/>
      <c r="V88" s="680"/>
      <c r="W88" s="677"/>
      <c r="X88" s="677"/>
      <c r="Y88" s="680"/>
      <c r="Z88" s="680"/>
      <c r="AA88" s="677"/>
      <c r="AB88" s="678"/>
    </row>
    <row r="89" spans="1:28" x14ac:dyDescent="0.25">
      <c r="A89">
        <v>200</v>
      </c>
      <c r="B89" s="187">
        <v>43192</v>
      </c>
      <c r="C89" s="428">
        <v>800</v>
      </c>
      <c r="D89" s="429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5">
        <f t="shared" si="43"/>
        <v>3.0474531998258725E-2</v>
      </c>
      <c r="I89" s="39"/>
      <c r="J89" s="39"/>
      <c r="K89" s="39">
        <v>2012</v>
      </c>
      <c r="L89" s="39"/>
      <c r="T89" s="685"/>
      <c r="U89" s="680"/>
      <c r="V89" s="680"/>
      <c r="W89" s="677"/>
      <c r="X89" s="677"/>
      <c r="Y89" s="680"/>
      <c r="Z89" s="680"/>
      <c r="AA89" s="677"/>
      <c r="AB89" s="678"/>
    </row>
    <row r="90" spans="1:28" x14ac:dyDescent="0.25">
      <c r="A90">
        <v>0</v>
      </c>
      <c r="B90" s="187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5">
        <f t="shared" si="43"/>
        <v>0.13417379558757317</v>
      </c>
      <c r="I90" s="752" t="s">
        <v>991</v>
      </c>
      <c r="J90" s="39"/>
      <c r="K90" s="39">
        <v>3240</v>
      </c>
      <c r="L90" s="39"/>
      <c r="T90" s="685"/>
      <c r="U90" s="680"/>
      <c r="V90" s="680"/>
      <c r="W90" s="677"/>
      <c r="X90" s="677"/>
      <c r="Y90" s="680"/>
      <c r="Z90" s="680"/>
      <c r="AA90" s="677"/>
      <c r="AB90" s="678"/>
    </row>
    <row r="91" spans="1:28" x14ac:dyDescent="0.25">
      <c r="B91" s="187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5">
        <f t="shared" si="43"/>
        <v>8.6956521739130474E-2</v>
      </c>
      <c r="I91" s="39"/>
      <c r="J91" s="39"/>
      <c r="K91" s="39">
        <v>2826</v>
      </c>
      <c r="L91" s="39"/>
      <c r="T91" s="685"/>
      <c r="U91" s="680"/>
      <c r="V91" s="680"/>
      <c r="W91" s="677"/>
      <c r="X91" s="677"/>
      <c r="Y91" s="680"/>
      <c r="Z91" s="680"/>
      <c r="AA91" s="677"/>
      <c r="AB91" s="678"/>
    </row>
    <row r="92" spans="1:28" x14ac:dyDescent="0.25">
      <c r="A92">
        <v>0</v>
      </c>
      <c r="B92" s="187">
        <v>43196</v>
      </c>
      <c r="C92" s="428">
        <v>800</v>
      </c>
      <c r="D92" s="429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5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A93">
        <v>0</v>
      </c>
      <c r="B93" s="187">
        <v>43200</v>
      </c>
      <c r="C93" s="10">
        <v>600</v>
      </c>
      <c r="D93" s="39">
        <v>21.895</v>
      </c>
      <c r="E93" s="39">
        <v>25.03</v>
      </c>
      <c r="F93" s="39">
        <f t="shared" si="41"/>
        <v>1881.0000000000009</v>
      </c>
      <c r="G93" s="39">
        <f t="shared" si="42"/>
        <v>13137</v>
      </c>
      <c r="H93" s="225">
        <f t="shared" si="43"/>
        <v>0.14318337519981739</v>
      </c>
      <c r="I93" s="39"/>
      <c r="J93" s="39"/>
      <c r="K93" s="39">
        <v>3333</v>
      </c>
      <c r="L93" s="39"/>
    </row>
    <row r="94" spans="1:28" x14ac:dyDescent="0.25">
      <c r="A94">
        <v>0</v>
      </c>
      <c r="B94" s="187">
        <v>43208</v>
      </c>
      <c r="C94" s="10">
        <v>600</v>
      </c>
      <c r="D94" s="39">
        <v>21.895</v>
      </c>
      <c r="E94" s="39">
        <v>26.04</v>
      </c>
      <c r="F94" s="39">
        <f t="shared" ref="F94" si="44">C94*(E94-D94)</f>
        <v>2486.9999999999995</v>
      </c>
      <c r="G94" s="39">
        <f t="shared" ref="G94" si="45">D94*C94</f>
        <v>13137</v>
      </c>
      <c r="H94" s="225">
        <f t="shared" ref="H94" si="46">(E94-D94)/D94</f>
        <v>0.18931262845398492</v>
      </c>
      <c r="I94" s="39"/>
      <c r="J94" s="39"/>
      <c r="K94" s="39">
        <v>3939</v>
      </c>
      <c r="L94" s="39"/>
    </row>
    <row r="95" spans="1:28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39"/>
    </row>
    <row r="96" spans="1:28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39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39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39"/>
    </row>
    <row r="100" spans="2:12" x14ac:dyDescent="0.25">
      <c r="B100" s="487" t="s">
        <v>113</v>
      </c>
      <c r="C100" s="487" t="s">
        <v>146</v>
      </c>
      <c r="D100" s="488" t="s">
        <v>145</v>
      </c>
      <c r="E100" s="489" t="s">
        <v>147</v>
      </c>
      <c r="F100" s="489" t="s">
        <v>65</v>
      </c>
      <c r="G100" s="491" t="s">
        <v>151</v>
      </c>
      <c r="H100" s="491" t="s">
        <v>88</v>
      </c>
      <c r="I100" s="491" t="s">
        <v>154</v>
      </c>
    </row>
    <row r="101" spans="2:12" x14ac:dyDescent="0.25">
      <c r="B101" s="364">
        <v>42548</v>
      </c>
      <c r="C101" s="365">
        <v>100</v>
      </c>
      <c r="D101" s="366">
        <v>25</v>
      </c>
      <c r="E101" s="366">
        <v>24.69</v>
      </c>
      <c r="F101" s="366">
        <f t="shared" ref="F101:F106" si="47">C101*(E101-D101)</f>
        <v>-30.999999999999872</v>
      </c>
      <c r="G101" s="366">
        <f t="shared" ref="G101:G106" si="48">D101*C101</f>
        <v>2500</v>
      </c>
      <c r="H101" s="367">
        <f t="shared" ref="H101:H106" si="49">(E101-D101)/D101</f>
        <v>-1.2399999999999949E-2</v>
      </c>
      <c r="I101" s="366"/>
    </row>
    <row r="102" spans="2:12" x14ac:dyDescent="0.25">
      <c r="B102" s="364">
        <v>42549</v>
      </c>
      <c r="C102" s="365">
        <v>100</v>
      </c>
      <c r="D102" s="366">
        <v>25</v>
      </c>
      <c r="E102" s="366">
        <v>25.26</v>
      </c>
      <c r="F102" s="366">
        <f t="shared" si="47"/>
        <v>26.000000000000156</v>
      </c>
      <c r="G102" s="366">
        <f t="shared" si="48"/>
        <v>2500</v>
      </c>
      <c r="H102" s="367">
        <f t="shared" si="49"/>
        <v>1.0400000000000062E-2</v>
      </c>
      <c r="I102" s="366"/>
    </row>
    <row r="103" spans="2:12" x14ac:dyDescent="0.25">
      <c r="B103" s="364">
        <v>42552</v>
      </c>
      <c r="C103" s="365">
        <v>100</v>
      </c>
      <c r="D103" s="366">
        <v>25</v>
      </c>
      <c r="E103" s="366">
        <v>26.57</v>
      </c>
      <c r="F103" s="366">
        <f t="shared" si="47"/>
        <v>157.00000000000003</v>
      </c>
      <c r="G103" s="366">
        <f t="shared" si="48"/>
        <v>2500</v>
      </c>
      <c r="H103" s="367">
        <f t="shared" si="49"/>
        <v>6.2800000000000009E-2</v>
      </c>
      <c r="I103" s="366"/>
    </row>
    <row r="104" spans="2:12" x14ac:dyDescent="0.25">
      <c r="B104" s="364">
        <v>42556</v>
      </c>
      <c r="C104" s="365">
        <v>100</v>
      </c>
      <c r="D104" s="366">
        <v>25</v>
      </c>
      <c r="E104" s="366">
        <v>25.47</v>
      </c>
      <c r="F104" s="366">
        <f t="shared" si="47"/>
        <v>46.999999999999886</v>
      </c>
      <c r="G104" s="366">
        <f t="shared" si="48"/>
        <v>2500</v>
      </c>
      <c r="H104" s="367">
        <f t="shared" si="49"/>
        <v>1.8799999999999956E-2</v>
      </c>
      <c r="I104" s="366"/>
    </row>
    <row r="105" spans="2:12" x14ac:dyDescent="0.25">
      <c r="B105" s="364">
        <v>42562</v>
      </c>
      <c r="C105" s="365">
        <v>100</v>
      </c>
      <c r="D105" s="366">
        <v>25</v>
      </c>
      <c r="E105" s="366">
        <v>25.69</v>
      </c>
      <c r="F105" s="366">
        <f t="shared" si="47"/>
        <v>69.000000000000128</v>
      </c>
      <c r="G105" s="366">
        <f t="shared" si="48"/>
        <v>2500</v>
      </c>
      <c r="H105" s="367">
        <f t="shared" si="49"/>
        <v>2.7600000000000052E-2</v>
      </c>
      <c r="I105" s="366"/>
    </row>
    <row r="106" spans="2:12" x14ac:dyDescent="0.25">
      <c r="B106" s="364">
        <v>42563</v>
      </c>
      <c r="C106" s="365">
        <v>100</v>
      </c>
      <c r="D106" s="366">
        <v>25</v>
      </c>
      <c r="E106" s="366">
        <v>26.48</v>
      </c>
      <c r="F106" s="366">
        <f t="shared" si="47"/>
        <v>148.00000000000006</v>
      </c>
      <c r="G106" s="366">
        <f t="shared" si="48"/>
        <v>2500</v>
      </c>
      <c r="H106" s="367">
        <f t="shared" si="49"/>
        <v>5.9200000000000016E-2</v>
      </c>
      <c r="I106" s="366"/>
    </row>
    <row r="107" spans="2:12" x14ac:dyDescent="0.25">
      <c r="B107" s="364">
        <v>42569</v>
      </c>
      <c r="C107" s="365">
        <v>100</v>
      </c>
      <c r="D107" s="366">
        <v>25</v>
      </c>
      <c r="E107" s="366">
        <v>29.28</v>
      </c>
      <c r="F107" s="366">
        <f t="shared" ref="F107:F113" si="50">C107*(E107-D107)</f>
        <v>428.00000000000011</v>
      </c>
      <c r="G107" s="366">
        <f t="shared" ref="G107:G113" si="51">D107*C107</f>
        <v>2500</v>
      </c>
      <c r="H107" s="367">
        <f t="shared" ref="H107:H113" si="52">(E107-D107)/D107</f>
        <v>0.17120000000000005</v>
      </c>
      <c r="I107" s="366"/>
    </row>
    <row r="108" spans="2:12" x14ac:dyDescent="0.25">
      <c r="B108" s="364">
        <v>42570</v>
      </c>
      <c r="C108" s="365">
        <v>100</v>
      </c>
      <c r="D108" s="366">
        <v>25</v>
      </c>
      <c r="E108" s="366">
        <v>28.68</v>
      </c>
      <c r="F108" s="366">
        <f t="shared" si="50"/>
        <v>368</v>
      </c>
      <c r="G108" s="366">
        <f t="shared" si="51"/>
        <v>2500</v>
      </c>
      <c r="H108" s="367">
        <f t="shared" si="52"/>
        <v>0.1472</v>
      </c>
      <c r="I108" s="366"/>
    </row>
    <row r="109" spans="2:12" x14ac:dyDescent="0.25">
      <c r="B109" s="364">
        <v>42571</v>
      </c>
      <c r="C109" s="365">
        <v>100</v>
      </c>
      <c r="D109" s="366">
        <v>25</v>
      </c>
      <c r="E109" s="366">
        <v>29.01</v>
      </c>
      <c r="F109" s="366">
        <f t="shared" si="50"/>
        <v>401.00000000000017</v>
      </c>
      <c r="G109" s="366">
        <f t="shared" si="51"/>
        <v>2500</v>
      </c>
      <c r="H109" s="367">
        <f t="shared" si="52"/>
        <v>0.16040000000000007</v>
      </c>
      <c r="I109" s="366"/>
    </row>
    <row r="110" spans="2:12" x14ac:dyDescent="0.25">
      <c r="B110" s="364">
        <v>42572</v>
      </c>
      <c r="C110" s="365">
        <v>100</v>
      </c>
      <c r="D110" s="366">
        <v>25</v>
      </c>
      <c r="E110" s="366">
        <v>28.89</v>
      </c>
      <c r="F110" s="366">
        <f t="shared" si="50"/>
        <v>389.00000000000006</v>
      </c>
      <c r="G110" s="366">
        <f t="shared" si="51"/>
        <v>2500</v>
      </c>
      <c r="H110" s="367">
        <f t="shared" si="52"/>
        <v>0.15560000000000002</v>
      </c>
      <c r="I110" s="366"/>
    </row>
    <row r="111" spans="2:12" x14ac:dyDescent="0.25">
      <c r="B111" s="364">
        <v>42576</v>
      </c>
      <c r="C111" s="365">
        <v>100</v>
      </c>
      <c r="D111" s="366">
        <v>25</v>
      </c>
      <c r="E111" s="366">
        <v>28.63</v>
      </c>
      <c r="F111" s="366">
        <f t="shared" si="50"/>
        <v>362.99999999999989</v>
      </c>
      <c r="G111" s="366">
        <f t="shared" si="51"/>
        <v>2500</v>
      </c>
      <c r="H111" s="367">
        <f t="shared" si="52"/>
        <v>0.14519999999999997</v>
      </c>
      <c r="I111" s="366"/>
    </row>
    <row r="112" spans="2:12" x14ac:dyDescent="0.25">
      <c r="B112" s="364">
        <v>42577</v>
      </c>
      <c r="C112" s="365">
        <v>100</v>
      </c>
      <c r="D112" s="366">
        <v>25</v>
      </c>
      <c r="E112" s="366">
        <v>29.34</v>
      </c>
      <c r="F112" s="366">
        <f t="shared" si="50"/>
        <v>434</v>
      </c>
      <c r="G112" s="366">
        <f t="shared" si="51"/>
        <v>2500</v>
      </c>
      <c r="H112" s="367">
        <f t="shared" si="52"/>
        <v>0.1736</v>
      </c>
      <c r="I112" s="366"/>
    </row>
    <row r="113" spans="2:9" x14ac:dyDescent="0.25">
      <c r="B113" s="364">
        <v>42580</v>
      </c>
      <c r="C113" s="365">
        <v>100</v>
      </c>
      <c r="D113" s="366">
        <v>25</v>
      </c>
      <c r="E113" s="366">
        <v>27</v>
      </c>
      <c r="F113" s="366">
        <f t="shared" si="50"/>
        <v>200</v>
      </c>
      <c r="G113" s="366">
        <f t="shared" si="51"/>
        <v>2500</v>
      </c>
      <c r="H113" s="367">
        <f t="shared" si="52"/>
        <v>0.08</v>
      </c>
      <c r="I113" s="366"/>
    </row>
    <row r="114" spans="2:9" x14ac:dyDescent="0.25">
      <c r="B114" s="364">
        <v>42584</v>
      </c>
      <c r="C114" s="365">
        <v>0</v>
      </c>
      <c r="D114" s="366"/>
      <c r="E114" s="366"/>
      <c r="F114" s="366">
        <v>287.94</v>
      </c>
      <c r="G114" s="366"/>
      <c r="H114" s="367"/>
      <c r="I114" s="366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5" t="s">
        <v>113</v>
      </c>
      <c r="C116" s="185" t="s">
        <v>146</v>
      </c>
      <c r="D116" s="186" t="s">
        <v>145</v>
      </c>
      <c r="E116" s="188" t="s">
        <v>147</v>
      </c>
      <c r="F116" s="188" t="s">
        <v>65</v>
      </c>
      <c r="G116" s="223" t="s">
        <v>151</v>
      </c>
      <c r="H116" s="223" t="s">
        <v>88</v>
      </c>
      <c r="I116" s="223" t="s">
        <v>154</v>
      </c>
    </row>
    <row r="117" spans="2:9" x14ac:dyDescent="0.25">
      <c r="B117" s="258">
        <v>42627</v>
      </c>
      <c r="C117" s="253">
        <v>50</v>
      </c>
      <c r="D117" s="254">
        <v>25.74</v>
      </c>
      <c r="E117" s="254">
        <v>25.83</v>
      </c>
      <c r="F117" s="254">
        <f>C117*(E117-D117)</f>
        <v>4.4999999999999929</v>
      </c>
      <c r="G117" s="254">
        <f>D117*C117</f>
        <v>1287</v>
      </c>
      <c r="H117" s="268">
        <f>(E117-D117)/D117</f>
        <v>3.4965034965034913E-3</v>
      </c>
      <c r="I117" s="254"/>
    </row>
    <row r="118" spans="2:9" x14ac:dyDescent="0.25">
      <c r="B118" s="258">
        <v>42629</v>
      </c>
      <c r="C118" s="253">
        <v>50</v>
      </c>
      <c r="D118" s="254">
        <v>25.74</v>
      </c>
      <c r="E118" s="254">
        <v>25.54</v>
      </c>
      <c r="F118" s="254">
        <f t="shared" ref="F118:F123" si="53">C118*(E118-D118)</f>
        <v>-9.9999999999999645</v>
      </c>
      <c r="G118" s="254">
        <f t="shared" ref="G118:G123" si="54">D118*C118</f>
        <v>1287</v>
      </c>
      <c r="H118" s="268">
        <f t="shared" ref="H118:H123" si="55">(E118-D118)/D118</f>
        <v>-7.7700077700077431E-3</v>
      </c>
      <c r="I118" s="254"/>
    </row>
    <row r="119" spans="2:9" x14ac:dyDescent="0.25">
      <c r="B119" s="258">
        <v>42636</v>
      </c>
      <c r="C119" s="253">
        <v>50</v>
      </c>
      <c r="D119" s="254">
        <v>25.74</v>
      </c>
      <c r="E119" s="254">
        <v>24.82</v>
      </c>
      <c r="F119" s="254">
        <f t="shared" si="53"/>
        <v>-45.999999999999908</v>
      </c>
      <c r="G119" s="254">
        <f t="shared" si="54"/>
        <v>1287</v>
      </c>
      <c r="H119" s="268">
        <f t="shared" si="55"/>
        <v>-3.5742035742035674E-2</v>
      </c>
      <c r="I119" s="254"/>
    </row>
    <row r="120" spans="2:9" x14ac:dyDescent="0.25">
      <c r="B120" s="258">
        <v>42639</v>
      </c>
      <c r="C120" s="253">
        <v>100</v>
      </c>
      <c r="D120" s="254">
        <v>24.96</v>
      </c>
      <c r="E120" s="254">
        <v>24.14</v>
      </c>
      <c r="F120" s="254">
        <f t="shared" si="53"/>
        <v>-82.000000000000028</v>
      </c>
      <c r="G120" s="254">
        <f t="shared" si="54"/>
        <v>2496</v>
      </c>
      <c r="H120" s="268">
        <f t="shared" si="55"/>
        <v>-3.2852564102564111E-2</v>
      </c>
      <c r="I120" s="254"/>
    </row>
    <row r="121" spans="2:9" x14ac:dyDescent="0.25">
      <c r="B121" s="258">
        <v>42639</v>
      </c>
      <c r="C121" s="253">
        <v>150</v>
      </c>
      <c r="D121" s="254">
        <v>24.8</v>
      </c>
      <c r="E121" s="254">
        <v>24.14</v>
      </c>
      <c r="F121" s="254">
        <f t="shared" si="53"/>
        <v>-99.000000000000028</v>
      </c>
      <c r="G121" s="254">
        <f t="shared" si="54"/>
        <v>3720</v>
      </c>
      <c r="H121" s="268">
        <f t="shared" si="55"/>
        <v>-2.6612903225806457E-2</v>
      </c>
      <c r="I121" s="254"/>
    </row>
    <row r="122" spans="2:9" x14ac:dyDescent="0.25">
      <c r="B122" s="258">
        <v>42640</v>
      </c>
      <c r="C122" s="253">
        <v>150</v>
      </c>
      <c r="D122" s="254">
        <v>24.8</v>
      </c>
      <c r="E122" s="254">
        <v>23.99</v>
      </c>
      <c r="F122" s="254">
        <f t="shared" si="53"/>
        <v>-121.50000000000034</v>
      </c>
      <c r="G122" s="254">
        <f t="shared" si="54"/>
        <v>3720</v>
      </c>
      <c r="H122" s="268">
        <f t="shared" si="55"/>
        <v>-3.2661290322580736E-2</v>
      </c>
      <c r="I122" s="254"/>
    </row>
    <row r="123" spans="2:9" x14ac:dyDescent="0.25">
      <c r="B123" s="258">
        <v>42643</v>
      </c>
      <c r="C123" s="253">
        <v>150</v>
      </c>
      <c r="D123" s="254">
        <v>24.8</v>
      </c>
      <c r="E123" s="254">
        <v>24.46</v>
      </c>
      <c r="F123" s="254">
        <f t="shared" si="53"/>
        <v>-50.999999999999979</v>
      </c>
      <c r="G123" s="254">
        <f t="shared" si="54"/>
        <v>3720</v>
      </c>
      <c r="H123" s="268">
        <f t="shared" si="55"/>
        <v>-1.3709677419354832E-2</v>
      </c>
      <c r="I123" s="254"/>
    </row>
    <row r="124" spans="2:9" x14ac:dyDescent="0.25">
      <c r="B124" s="258">
        <v>42646</v>
      </c>
      <c r="C124" s="253">
        <v>150</v>
      </c>
      <c r="D124" s="254">
        <v>24.8</v>
      </c>
      <c r="E124" s="254">
        <v>24.89</v>
      </c>
      <c r="F124" s="254">
        <f t="shared" ref="F124:F135" si="56">C124*(E124-D124)</f>
        <v>13.499999999999979</v>
      </c>
      <c r="G124" s="254">
        <f t="shared" ref="G124:G135" si="57">D124*C124</f>
        <v>3720</v>
      </c>
      <c r="H124" s="268">
        <f t="shared" ref="H124:H135" si="58">(E124-D124)/D124</f>
        <v>3.6290322580645102E-3</v>
      </c>
      <c r="I124" s="254"/>
    </row>
    <row r="125" spans="2:9" x14ac:dyDescent="0.25">
      <c r="B125" s="258">
        <v>42648</v>
      </c>
      <c r="C125" s="253">
        <v>150</v>
      </c>
      <c r="D125" s="254">
        <v>24.8</v>
      </c>
      <c r="E125" s="254">
        <v>25.07</v>
      </c>
      <c r="F125" s="254">
        <f t="shared" si="56"/>
        <v>40.499999999999936</v>
      </c>
      <c r="G125" s="254">
        <f t="shared" si="57"/>
        <v>3720</v>
      </c>
      <c r="H125" s="268">
        <f t="shared" si="58"/>
        <v>1.0887096774193531E-2</v>
      </c>
      <c r="I125" s="254"/>
    </row>
    <row r="126" spans="2:9" x14ac:dyDescent="0.25">
      <c r="B126" s="258">
        <v>42649</v>
      </c>
      <c r="C126" s="253">
        <v>150</v>
      </c>
      <c r="D126" s="254">
        <v>24.8</v>
      </c>
      <c r="E126" s="254">
        <v>24.85</v>
      </c>
      <c r="F126" s="254">
        <f t="shared" si="56"/>
        <v>7.5000000000001066</v>
      </c>
      <c r="G126" s="254">
        <f t="shared" si="57"/>
        <v>3720</v>
      </c>
      <c r="H126" s="268">
        <f t="shared" si="58"/>
        <v>2.0161290322580931E-3</v>
      </c>
      <c r="I126" s="254"/>
    </row>
    <row r="127" spans="2:9" x14ac:dyDescent="0.25">
      <c r="B127" s="258">
        <v>42650</v>
      </c>
      <c r="C127" s="253">
        <v>150</v>
      </c>
      <c r="D127" s="254">
        <v>24.8</v>
      </c>
      <c r="E127" s="254">
        <v>24.58</v>
      </c>
      <c r="F127" s="254">
        <f t="shared" si="56"/>
        <v>-33.000000000000362</v>
      </c>
      <c r="G127" s="254">
        <f t="shared" si="57"/>
        <v>3720</v>
      </c>
      <c r="H127" s="268">
        <f t="shared" si="58"/>
        <v>-8.8709677419355811E-3</v>
      </c>
      <c r="I127" s="254"/>
    </row>
    <row r="128" spans="2:9" x14ac:dyDescent="0.25">
      <c r="B128" s="258">
        <v>42661</v>
      </c>
      <c r="C128" s="253">
        <v>150</v>
      </c>
      <c r="D128" s="254">
        <v>24.8</v>
      </c>
      <c r="E128" s="254">
        <v>23.39</v>
      </c>
      <c r="F128" s="254">
        <f t="shared" si="56"/>
        <v>-211.50000000000003</v>
      </c>
      <c r="G128" s="254">
        <f t="shared" si="57"/>
        <v>3720</v>
      </c>
      <c r="H128" s="268">
        <f t="shared" si="58"/>
        <v>-5.6854838709677426E-2</v>
      </c>
      <c r="I128" s="254"/>
    </row>
    <row r="129" spans="1:13" x14ac:dyDescent="0.25">
      <c r="B129" s="258">
        <v>42662</v>
      </c>
      <c r="C129" s="253">
        <v>150</v>
      </c>
      <c r="D129" s="254">
        <v>24.8</v>
      </c>
      <c r="E129" s="254">
        <v>23.84</v>
      </c>
      <c r="F129" s="254">
        <f t="shared" si="56"/>
        <v>-144.00000000000011</v>
      </c>
      <c r="G129" s="254">
        <f t="shared" si="57"/>
        <v>3720</v>
      </c>
      <c r="H129" s="268">
        <f t="shared" si="58"/>
        <v>-3.8709677419354875E-2</v>
      </c>
      <c r="I129" s="254"/>
    </row>
    <row r="130" spans="1:13" x14ac:dyDescent="0.25">
      <c r="B130" s="258">
        <v>42664</v>
      </c>
      <c r="C130" s="253">
        <v>150</v>
      </c>
      <c r="D130" s="254">
        <v>24.8</v>
      </c>
      <c r="E130" s="254">
        <v>24.31</v>
      </c>
      <c r="F130" s="254">
        <f t="shared" si="56"/>
        <v>-73.500000000000298</v>
      </c>
      <c r="G130" s="254">
        <f t="shared" si="57"/>
        <v>3720</v>
      </c>
      <c r="H130" s="268">
        <f t="shared" si="58"/>
        <v>-1.975806451612911E-2</v>
      </c>
      <c r="I130" s="254"/>
    </row>
    <row r="131" spans="1:13" x14ac:dyDescent="0.25">
      <c r="B131" s="258">
        <v>42670</v>
      </c>
      <c r="C131" s="253">
        <v>150</v>
      </c>
      <c r="D131" s="254">
        <v>24.626899999999999</v>
      </c>
      <c r="E131" s="254">
        <v>23.93</v>
      </c>
      <c r="F131" s="254">
        <f t="shared" si="56"/>
        <v>-104.53499999999991</v>
      </c>
      <c r="G131" s="254">
        <f t="shared" si="57"/>
        <v>3694.0349999999999</v>
      </c>
      <c r="H131" s="268">
        <f t="shared" si="58"/>
        <v>-2.8298324190214743E-2</v>
      </c>
      <c r="I131" s="254"/>
    </row>
    <row r="132" spans="1:13" x14ac:dyDescent="0.25">
      <c r="B132" s="258">
        <v>42674</v>
      </c>
      <c r="C132" s="253">
        <v>150</v>
      </c>
      <c r="D132" s="254">
        <v>24.626899999999999</v>
      </c>
      <c r="E132" s="254">
        <v>23.53</v>
      </c>
      <c r="F132" s="254">
        <f t="shared" si="56"/>
        <v>-164.53499999999968</v>
      </c>
      <c r="G132" s="254">
        <f t="shared" si="57"/>
        <v>3694.0349999999999</v>
      </c>
      <c r="H132" s="268">
        <f t="shared" si="58"/>
        <v>-4.4540725791715481E-2</v>
      </c>
      <c r="I132" s="254"/>
    </row>
    <row r="133" spans="1:13" x14ac:dyDescent="0.25">
      <c r="B133" s="258">
        <v>42675</v>
      </c>
      <c r="C133" s="253">
        <v>150</v>
      </c>
      <c r="D133" s="254">
        <v>24.264700000000001</v>
      </c>
      <c r="E133" s="254">
        <v>24.32</v>
      </c>
      <c r="F133" s="254">
        <f t="shared" si="56"/>
        <v>8.2949999999998525</v>
      </c>
      <c r="G133" s="254">
        <f t="shared" si="57"/>
        <v>3639.7050000000004</v>
      </c>
      <c r="H133" s="268">
        <f t="shared" si="58"/>
        <v>2.2790308555225912E-3</v>
      </c>
      <c r="I133" s="254"/>
    </row>
    <row r="134" spans="1:13" x14ac:dyDescent="0.25">
      <c r="B134" s="258">
        <v>42676</v>
      </c>
      <c r="C134" s="253">
        <v>150</v>
      </c>
      <c r="D134" s="254">
        <v>24.264700000000001</v>
      </c>
      <c r="E134" s="254">
        <v>24.73</v>
      </c>
      <c r="F134" s="254">
        <f t="shared" si="56"/>
        <v>69.794999999999874</v>
      </c>
      <c r="G134" s="254">
        <f t="shared" si="57"/>
        <v>3639.7050000000004</v>
      </c>
      <c r="H134" s="268">
        <f t="shared" si="58"/>
        <v>1.9176004648728363E-2</v>
      </c>
      <c r="I134" s="254"/>
    </row>
    <row r="135" spans="1:13" x14ac:dyDescent="0.25">
      <c r="B135" s="258">
        <v>42704</v>
      </c>
      <c r="C135" s="253">
        <v>100</v>
      </c>
      <c r="D135" s="254">
        <v>22.507400000000001</v>
      </c>
      <c r="E135" s="254">
        <v>28.4</v>
      </c>
      <c r="F135" s="254">
        <f t="shared" si="56"/>
        <v>589.25999999999976</v>
      </c>
      <c r="G135" s="254">
        <f t="shared" si="57"/>
        <v>2250.7400000000002</v>
      </c>
      <c r="H135" s="268">
        <f t="shared" si="58"/>
        <v>0.26180722784506422</v>
      </c>
      <c r="I135" s="254"/>
    </row>
    <row r="136" spans="1:13" x14ac:dyDescent="0.25">
      <c r="B136" s="258">
        <v>42711</v>
      </c>
      <c r="C136" s="253">
        <v>0</v>
      </c>
      <c r="D136" s="254"/>
      <c r="E136" s="254"/>
      <c r="F136" s="254">
        <v>727.2</v>
      </c>
      <c r="G136" s="254"/>
      <c r="H136" s="268"/>
      <c r="I136" s="254"/>
    </row>
    <row r="137" spans="1:13" x14ac:dyDescent="0.25">
      <c r="B137" s="187"/>
      <c r="C137" s="10"/>
      <c r="D137" s="39"/>
      <c r="E137" s="39"/>
      <c r="F137" s="39"/>
      <c r="G137" s="39"/>
      <c r="H137" s="225"/>
      <c r="I137" s="39"/>
    </row>
    <row r="138" spans="1:13" x14ac:dyDescent="0.25">
      <c r="B138" s="187"/>
      <c r="C138" s="10"/>
      <c r="D138" s="39"/>
      <c r="E138" s="39"/>
      <c r="F138" s="39"/>
      <c r="G138" s="39"/>
      <c r="H138" s="225"/>
      <c r="I138" s="39"/>
    </row>
    <row r="139" spans="1:13" x14ac:dyDescent="0.25">
      <c r="B139" s="187"/>
      <c r="C139" s="10"/>
      <c r="D139" s="39"/>
      <c r="E139" s="39"/>
      <c r="F139" s="39"/>
      <c r="G139" s="39"/>
      <c r="H139" s="225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2" t="s">
        <v>1</v>
      </c>
      <c r="B144" s="452" t="s">
        <v>2</v>
      </c>
      <c r="C144" s="452" t="s">
        <v>4</v>
      </c>
      <c r="D144" s="453" t="s">
        <v>5</v>
      </c>
      <c r="E144" s="453" t="s">
        <v>94</v>
      </c>
      <c r="F144" s="453" t="s">
        <v>60</v>
      </c>
      <c r="G144" s="452" t="s">
        <v>3</v>
      </c>
      <c r="H144" s="452" t="s">
        <v>6</v>
      </c>
      <c r="I144" s="453" t="s">
        <v>7</v>
      </c>
      <c r="J144" s="453" t="s">
        <v>95</v>
      </c>
      <c r="K144" s="453" t="s">
        <v>61</v>
      </c>
      <c r="L144" s="452" t="s">
        <v>37</v>
      </c>
      <c r="M144" s="452" t="s">
        <v>38</v>
      </c>
    </row>
    <row r="145" spans="1:13" x14ac:dyDescent="0.25">
      <c r="A145" s="454" t="s">
        <v>227</v>
      </c>
      <c r="B145" s="455">
        <v>42548</v>
      </c>
      <c r="C145" s="456">
        <v>100</v>
      </c>
      <c r="D145" s="457">
        <v>25</v>
      </c>
      <c r="E145" s="457">
        <v>0</v>
      </c>
      <c r="F145" s="457">
        <f>D145*C145+E145</f>
        <v>2500</v>
      </c>
      <c r="G145" s="455">
        <v>42584</v>
      </c>
      <c r="H145" s="458">
        <v>100</v>
      </c>
      <c r="I145" s="457">
        <v>27.88</v>
      </c>
      <c r="J145" s="457">
        <v>0.06</v>
      </c>
      <c r="K145" s="457">
        <f>H145*I145-J145</f>
        <v>2787.94</v>
      </c>
      <c r="L145" s="455">
        <v>42719</v>
      </c>
      <c r="M145" s="456">
        <v>41.25</v>
      </c>
    </row>
    <row r="146" spans="1:13" x14ac:dyDescent="0.25">
      <c r="A146" s="459" t="s">
        <v>71</v>
      </c>
      <c r="B146" s="455">
        <v>42627</v>
      </c>
      <c r="C146" s="456">
        <v>50</v>
      </c>
      <c r="D146" s="457">
        <v>25.74</v>
      </c>
      <c r="E146" s="457">
        <v>0</v>
      </c>
      <c r="F146" s="457">
        <v>1287</v>
      </c>
      <c r="G146" s="455" t="s">
        <v>338</v>
      </c>
      <c r="H146" s="458">
        <v>50</v>
      </c>
      <c r="I146" s="457">
        <v>25</v>
      </c>
      <c r="J146" s="457">
        <v>0.03</v>
      </c>
      <c r="K146" s="457">
        <v>1249.97</v>
      </c>
      <c r="L146" s="456"/>
      <c r="M146" s="456"/>
    </row>
    <row r="147" spans="1:13" x14ac:dyDescent="0.25">
      <c r="A147" s="456"/>
      <c r="B147" s="455">
        <v>42639</v>
      </c>
      <c r="C147" s="456">
        <v>50</v>
      </c>
      <c r="D147" s="457">
        <v>24.48</v>
      </c>
      <c r="E147" s="457">
        <v>0</v>
      </c>
      <c r="F147" s="457">
        <v>1224</v>
      </c>
      <c r="G147" s="455" t="s">
        <v>338</v>
      </c>
      <c r="H147" s="458">
        <v>100</v>
      </c>
      <c r="I147" s="457">
        <v>24.88</v>
      </c>
      <c r="J147" s="457">
        <v>0.05</v>
      </c>
      <c r="K147" s="457">
        <v>2487.9499999999998</v>
      </c>
      <c r="L147" s="456"/>
      <c r="M147" s="456"/>
    </row>
    <row r="148" spans="1:13" x14ac:dyDescent="0.25">
      <c r="A148" s="456"/>
      <c r="B148" s="455">
        <v>42639</v>
      </c>
      <c r="C148" s="456">
        <v>50</v>
      </c>
      <c r="D148" s="457">
        <v>24.18</v>
      </c>
      <c r="E148" s="457">
        <v>0</v>
      </c>
      <c r="F148" s="457">
        <v>1209</v>
      </c>
      <c r="G148" s="455" t="s">
        <v>338</v>
      </c>
      <c r="H148" s="458">
        <v>50</v>
      </c>
      <c r="I148" s="457">
        <v>27.78</v>
      </c>
      <c r="J148" s="457">
        <v>0.03</v>
      </c>
      <c r="K148" s="457">
        <v>1388.97</v>
      </c>
      <c r="L148" s="456"/>
      <c r="M148" s="456"/>
    </row>
    <row r="149" spans="1:13" x14ac:dyDescent="0.25">
      <c r="A149" s="456"/>
      <c r="B149" s="455">
        <v>42670</v>
      </c>
      <c r="C149" s="456">
        <v>50</v>
      </c>
      <c r="D149" s="457">
        <v>24.48</v>
      </c>
      <c r="E149" s="457">
        <v>0</v>
      </c>
      <c r="F149" s="457">
        <v>1224</v>
      </c>
      <c r="G149" s="455" t="s">
        <v>338</v>
      </c>
      <c r="H149" s="458">
        <v>100</v>
      </c>
      <c r="I149" s="457">
        <v>29.78</v>
      </c>
      <c r="J149" s="457">
        <v>0.06</v>
      </c>
      <c r="K149" s="457">
        <v>2977.94</v>
      </c>
      <c r="L149" s="456"/>
      <c r="M149" s="456"/>
    </row>
    <row r="150" spans="1:13" x14ac:dyDescent="0.25">
      <c r="A150" s="456"/>
      <c r="B150" s="455" t="s">
        <v>338</v>
      </c>
      <c r="C150" s="456">
        <v>100</v>
      </c>
      <c r="D150" s="457">
        <v>24.34</v>
      </c>
      <c r="E150" s="457">
        <v>-0.37</v>
      </c>
      <c r="F150" s="457">
        <v>2433.63</v>
      </c>
      <c r="G150" s="456"/>
      <c r="H150" s="458"/>
      <c r="I150" s="457"/>
      <c r="J150" s="457"/>
      <c r="K150" s="457"/>
      <c r="L150" s="456"/>
      <c r="M150" s="456"/>
    </row>
    <row r="151" spans="1:13" x14ac:dyDescent="0.25">
      <c r="A151" s="456"/>
      <c r="B151" s="499">
        <v>42723</v>
      </c>
      <c r="C151" s="500">
        <v>100</v>
      </c>
      <c r="D151" s="502">
        <v>27.98</v>
      </c>
      <c r="E151" s="502">
        <v>0</v>
      </c>
      <c r="F151" s="502">
        <f>D151*C151+E151</f>
        <v>2798</v>
      </c>
      <c r="G151" s="499">
        <v>42724</v>
      </c>
      <c r="H151" s="500">
        <v>100</v>
      </c>
      <c r="I151" s="502">
        <v>27.94</v>
      </c>
      <c r="J151" s="502">
        <v>0.06</v>
      </c>
      <c r="K151" s="502">
        <f>I151*H151-J151</f>
        <v>2793.94</v>
      </c>
      <c r="L151" s="456"/>
      <c r="M151" s="456"/>
    </row>
    <row r="152" spans="1:13" x14ac:dyDescent="0.25">
      <c r="A152" s="456"/>
      <c r="B152" s="437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37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56"/>
      <c r="M152" s="456"/>
    </row>
    <row r="153" spans="1:13" x14ac:dyDescent="0.25">
      <c r="A153" s="456"/>
      <c r="B153" s="456"/>
      <c r="C153" s="456"/>
      <c r="D153" s="457"/>
      <c r="E153" s="457"/>
      <c r="F153" s="457"/>
      <c r="G153" s="456"/>
      <c r="H153" s="458"/>
      <c r="I153" s="457"/>
      <c r="J153" s="457"/>
      <c r="K153" s="457"/>
      <c r="L153" s="456"/>
      <c r="M153" s="456"/>
    </row>
    <row r="154" spans="1:13" x14ac:dyDescent="0.25">
      <c r="A154" s="456"/>
      <c r="B154" s="456"/>
      <c r="C154" s="456"/>
      <c r="D154" s="457"/>
      <c r="E154" s="457"/>
      <c r="F154" s="457"/>
      <c r="G154" s="456"/>
      <c r="H154" s="458"/>
      <c r="I154" s="457"/>
      <c r="J154" s="457"/>
      <c r="K154" s="457"/>
      <c r="L154" s="456"/>
      <c r="M154" s="456"/>
    </row>
    <row r="155" spans="1:13" x14ac:dyDescent="0.25">
      <c r="A155" s="456"/>
      <c r="B155" s="456"/>
      <c r="C155" s="456"/>
      <c r="D155" s="457"/>
      <c r="E155" s="457"/>
      <c r="F155" s="457"/>
      <c r="G155" s="456"/>
      <c r="H155" s="458"/>
      <c r="I155" s="457"/>
      <c r="J155" s="457"/>
      <c r="K155" s="457"/>
      <c r="L155" s="456"/>
      <c r="M155" s="456"/>
    </row>
    <row r="156" spans="1:13" x14ac:dyDescent="0.25">
      <c r="A156" s="456"/>
      <c r="B156" s="456"/>
      <c r="C156" s="456"/>
      <c r="D156" s="457"/>
      <c r="E156" s="457"/>
      <c r="F156" s="457"/>
      <c r="G156" s="456"/>
      <c r="H156" s="458"/>
      <c r="I156" s="457"/>
      <c r="J156" s="457"/>
      <c r="K156" s="457"/>
      <c r="L156" s="456"/>
      <c r="M156" s="456"/>
    </row>
    <row r="157" spans="1:13" x14ac:dyDescent="0.25">
      <c r="A157" s="456"/>
      <c r="B157" s="456"/>
      <c r="C157" s="456"/>
      <c r="D157" s="457"/>
      <c r="E157" s="457"/>
      <c r="F157" s="457"/>
      <c r="G157" s="456"/>
      <c r="H157" s="458"/>
      <c r="I157" s="457"/>
      <c r="J157" s="457"/>
      <c r="K157" s="457"/>
      <c r="L157" s="456"/>
      <c r="M157" s="456"/>
    </row>
    <row r="158" spans="1:13" x14ac:dyDescent="0.25">
      <c r="A158" s="456"/>
      <c r="B158" s="456"/>
      <c r="C158" s="456"/>
      <c r="D158" s="457"/>
      <c r="E158" s="457"/>
      <c r="F158" s="457"/>
      <c r="G158" s="456"/>
      <c r="H158" s="458"/>
      <c r="I158" s="457"/>
      <c r="J158" s="457"/>
      <c r="K158" s="457"/>
      <c r="L158" s="456"/>
      <c r="M158" s="456"/>
    </row>
    <row r="159" spans="1:13" x14ac:dyDescent="0.25">
      <c r="A159" s="456"/>
      <c r="B159" s="456"/>
      <c r="C159" s="456"/>
      <c r="D159" s="457"/>
      <c r="E159" s="457"/>
      <c r="F159" s="457"/>
      <c r="G159" s="456"/>
      <c r="H159" s="458"/>
      <c r="I159" s="457"/>
      <c r="J159" s="457"/>
      <c r="K159" s="457"/>
      <c r="L159" s="456"/>
      <c r="M159" s="456"/>
    </row>
    <row r="160" spans="1:13" x14ac:dyDescent="0.25">
      <c r="A160" s="456"/>
      <c r="B160" s="456"/>
      <c r="C160" s="456"/>
      <c r="D160" s="457"/>
      <c r="E160" s="457"/>
      <c r="F160" s="457"/>
      <c r="G160" s="456"/>
      <c r="H160" s="456"/>
      <c r="I160" s="457"/>
      <c r="J160" s="457"/>
      <c r="K160" s="457"/>
      <c r="L160" s="456"/>
      <c r="M160" s="456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48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60" t="s">
        <v>194</v>
      </c>
      <c r="B162" s="461"/>
      <c r="C162" s="462">
        <f>SumByColor($A$33,C145:C160)</f>
        <v>100</v>
      </c>
      <c r="D162" s="462"/>
      <c r="E162" s="462"/>
      <c r="F162" s="463">
        <f>SumByColor($A$33,F145:F160)</f>
        <v>2758</v>
      </c>
      <c r="G162" s="462"/>
      <c r="H162" s="462">
        <f>SumByColor($A$33,H145:H160)</f>
        <v>100</v>
      </c>
      <c r="I162" s="462"/>
      <c r="J162" s="462"/>
      <c r="K162" s="463">
        <f>SumByColor($A$33,K145:K160)</f>
        <v>3158</v>
      </c>
      <c r="L162" s="462"/>
      <c r="M162" s="463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997" priority="60">
      <formula>F85&gt;0</formula>
    </cfRule>
    <cfRule type="expression" dxfId="996" priority="61">
      <formula>F85&lt;0</formula>
    </cfRule>
  </conditionalFormatting>
  <conditionalFormatting sqref="Q7">
    <cfRule type="expression" dxfId="995" priority="48">
      <formula>Q7&gt;0</formula>
    </cfRule>
    <cfRule type="expression" dxfId="994" priority="49">
      <formula>Q7&lt;0</formula>
    </cfRule>
  </conditionalFormatting>
  <conditionalFormatting sqref="Q8">
    <cfRule type="expression" dxfId="993" priority="46">
      <formula>Q8&gt;0</formula>
    </cfRule>
    <cfRule type="expression" dxfId="992" priority="47">
      <formula>Q8&lt;0</formula>
    </cfRule>
  </conditionalFormatting>
  <conditionalFormatting sqref="F101:F113">
    <cfRule type="expression" dxfId="991" priority="44">
      <formula>F101&gt;0</formula>
    </cfRule>
    <cfRule type="expression" dxfId="990" priority="45">
      <formula>F101&lt;0</formula>
    </cfRule>
  </conditionalFormatting>
  <conditionalFormatting sqref="H101:H113">
    <cfRule type="expression" dxfId="989" priority="42">
      <formula>H101&gt;0</formula>
    </cfRule>
    <cfRule type="expression" dxfId="988" priority="43">
      <formula>H101&lt;0</formula>
    </cfRule>
  </conditionalFormatting>
  <conditionalFormatting sqref="H117:H120">
    <cfRule type="expression" dxfId="987" priority="38">
      <formula>H117&gt;0</formula>
    </cfRule>
    <cfRule type="expression" dxfId="986" priority="39">
      <formula>H117&lt;0</formula>
    </cfRule>
  </conditionalFormatting>
  <conditionalFormatting sqref="F117:F120">
    <cfRule type="expression" dxfId="985" priority="40">
      <formula>F117&gt;0</formula>
    </cfRule>
    <cfRule type="expression" dxfId="984" priority="41">
      <formula>F117&lt;0</formula>
    </cfRule>
  </conditionalFormatting>
  <conditionalFormatting sqref="M143">
    <cfRule type="expression" dxfId="983" priority="36">
      <formula>M143&gt;0</formula>
    </cfRule>
    <cfRule type="expression" dxfId="982" priority="37">
      <formula>M143&lt;0</formula>
    </cfRule>
  </conditionalFormatting>
  <conditionalFormatting sqref="F37:F38 F45:F82">
    <cfRule type="expression" dxfId="981" priority="34">
      <formula>F37&gt;0</formula>
    </cfRule>
    <cfRule type="expression" dxfId="980" priority="35">
      <formula>F37&lt;0</formula>
    </cfRule>
  </conditionalFormatting>
  <conditionalFormatting sqref="H37:H38 H45:H82">
    <cfRule type="expression" dxfId="979" priority="32">
      <formula>H37&gt;0</formula>
    </cfRule>
    <cfRule type="expression" dxfId="978" priority="33">
      <formula>H37&lt;0</formula>
    </cfRule>
  </conditionalFormatting>
  <conditionalFormatting sqref="Q10">
    <cfRule type="expression" dxfId="977" priority="30">
      <formula>Q10&gt;0</formula>
    </cfRule>
    <cfRule type="expression" dxfId="976" priority="31">
      <formula>Q10&lt;0</formula>
    </cfRule>
  </conditionalFormatting>
  <conditionalFormatting sqref="F39:F44">
    <cfRule type="expression" dxfId="975" priority="28">
      <formula>F39&gt;0</formula>
    </cfRule>
    <cfRule type="expression" dxfId="974" priority="29">
      <formula>F39&lt;0</formula>
    </cfRule>
  </conditionalFormatting>
  <conditionalFormatting sqref="H39:H44">
    <cfRule type="expression" dxfId="973" priority="26">
      <formula>H39&gt;0</formula>
    </cfRule>
    <cfRule type="expression" dxfId="972" priority="27">
      <formula>H39&lt;0</formula>
    </cfRule>
  </conditionalFormatting>
  <conditionalFormatting sqref="K42:K49">
    <cfRule type="expression" dxfId="971" priority="24">
      <formula>K42&gt;0</formula>
    </cfRule>
    <cfRule type="expression" dxfId="970" priority="25">
      <formula>K42&lt;0</formula>
    </cfRule>
  </conditionalFormatting>
  <conditionalFormatting sqref="K50:K82">
    <cfRule type="expression" dxfId="969" priority="22">
      <formula>K50&gt;0</formula>
    </cfRule>
    <cfRule type="expression" dxfId="968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67" priority="19">
      <formula>F83&gt;0</formula>
    </cfRule>
    <cfRule type="expression" dxfId="966" priority="20">
      <formula>F83&lt;0</formula>
    </cfRule>
  </conditionalFormatting>
  <conditionalFormatting sqref="H83:H84">
    <cfRule type="expression" dxfId="965" priority="17">
      <formula>H83&gt;0</formula>
    </cfRule>
    <cfRule type="expression" dxfId="964" priority="18">
      <formula>H83&lt;0</formula>
    </cfRule>
  </conditionalFormatting>
  <conditionalFormatting sqref="K83:K84">
    <cfRule type="expression" dxfId="963" priority="15">
      <formula>K83&gt;0</formula>
    </cfRule>
    <cfRule type="expression" dxfId="962" priority="16">
      <formula>K83&lt;0</formula>
    </cfRule>
  </conditionalFormatting>
  <conditionalFormatting sqref="F93:F95 H93:H95 K93:K95">
    <cfRule type="expression" dxfId="961" priority="11">
      <formula>F93&gt;0</formula>
    </cfRule>
    <cfRule type="expression" dxfId="960" priority="12">
      <formula>F93&lt;0</formula>
    </cfRule>
  </conditionalFormatting>
  <conditionalFormatting sqref="L85:L91 L96:L98">
    <cfRule type="expression" dxfId="959" priority="9">
      <formula>L85&gt;0</formula>
    </cfRule>
    <cfRule type="expression" dxfId="958" priority="10">
      <formula>L85&lt;0</formula>
    </cfRule>
  </conditionalFormatting>
  <conditionalFormatting sqref="L42:L49">
    <cfRule type="expression" dxfId="957" priority="7">
      <formula>L42&gt;0</formula>
    </cfRule>
    <cfRule type="expression" dxfId="956" priority="8">
      <formula>L42&lt;0</formula>
    </cfRule>
  </conditionalFormatting>
  <conditionalFormatting sqref="L50:L82">
    <cfRule type="expression" dxfId="955" priority="5">
      <formula>L50&gt;0</formula>
    </cfRule>
    <cfRule type="expression" dxfId="954" priority="6">
      <formula>L50&lt;0</formula>
    </cfRule>
  </conditionalFormatting>
  <conditionalFormatting sqref="L83:L84">
    <cfRule type="expression" dxfId="953" priority="3">
      <formula>L83&gt;0</formula>
    </cfRule>
    <cfRule type="expression" dxfId="952" priority="4">
      <formula>L83&lt;0</formula>
    </cfRule>
  </conditionalFormatting>
  <conditionalFormatting sqref="L93:L95">
    <cfRule type="expression" dxfId="951" priority="1">
      <formula>L93&gt;0</formula>
    </cfRule>
    <cfRule type="expression" dxfId="950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57.9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57.9</v>
      </c>
      <c r="R4" s="478">
        <v>1.9E-3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7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5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7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5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7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5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7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5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7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5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7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5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7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5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7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5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7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5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7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5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7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5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7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5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7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5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7">
        <v>42580</v>
      </c>
      <c r="C38" s="10">
        <v>0</v>
      </c>
      <c r="D38" s="39"/>
      <c r="E38" s="39"/>
      <c r="F38" s="39">
        <v>257.89999999999998</v>
      </c>
      <c r="G38" s="39"/>
      <c r="H38" s="225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63.690000000000005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63.111000000000004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62.532000000000004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61.953000000000003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5"/>
        <v>61.374000000000002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5"/>
        <v>60.795000000000002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5"/>
        <v>60.216000000000001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5"/>
        <v>59.637</v>
      </c>
      <c r="Q48" s="2"/>
      <c r="T48" s="91" t="s">
        <v>319</v>
      </c>
      <c r="U48" s="86" t="s">
        <v>505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5"/>
        <v>59.058</v>
      </c>
      <c r="Q49" s="2"/>
      <c r="T49" s="91" t="s">
        <v>320</v>
      </c>
      <c r="U49" s="431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58.478999999999999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57.9</v>
      </c>
      <c r="Q51" s="2"/>
      <c r="T51" s="91" t="s">
        <v>104</v>
      </c>
      <c r="U51" s="86" t="s">
        <v>610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57.320999999999998</v>
      </c>
      <c r="Q52" s="2"/>
      <c r="T52" s="91" t="s">
        <v>105</v>
      </c>
      <c r="U52" s="86" t="s">
        <v>519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56.741999999999997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5" t="s">
        <v>1</v>
      </c>
      <c r="B54" s="255" t="s">
        <v>2</v>
      </c>
      <c r="C54" s="255" t="s">
        <v>4</v>
      </c>
      <c r="D54" s="256" t="s">
        <v>5</v>
      </c>
      <c r="E54" s="256" t="s">
        <v>94</v>
      </c>
      <c r="F54" s="256" t="s">
        <v>60</v>
      </c>
      <c r="G54" s="255" t="s">
        <v>3</v>
      </c>
      <c r="H54" s="255" t="s">
        <v>6</v>
      </c>
      <c r="I54" s="256" t="s">
        <v>7</v>
      </c>
      <c r="J54" s="256" t="s">
        <v>95</v>
      </c>
      <c r="K54" s="256" t="s">
        <v>61</v>
      </c>
      <c r="L54" s="255" t="s">
        <v>37</v>
      </c>
      <c r="M54" s="255" t="s">
        <v>38</v>
      </c>
      <c r="O54" s="81">
        <v>0.97</v>
      </c>
      <c r="P54" s="81">
        <f t="shared" si="5"/>
        <v>56.162999999999997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7" t="s">
        <v>225</v>
      </c>
      <c r="B55" s="258">
        <v>42545</v>
      </c>
      <c r="C55" s="253">
        <v>100</v>
      </c>
      <c r="D55" s="254">
        <v>45.25</v>
      </c>
      <c r="E55" s="254">
        <v>0</v>
      </c>
      <c r="F55" s="254">
        <f>D55*C55+E55</f>
        <v>4525</v>
      </c>
      <c r="G55" s="258">
        <v>42577</v>
      </c>
      <c r="H55" s="259">
        <v>50</v>
      </c>
      <c r="I55" s="254">
        <v>47.5</v>
      </c>
      <c r="J55" s="254">
        <v>0.05</v>
      </c>
      <c r="K55" s="254">
        <f>H55*I55-J55</f>
        <v>2374.9499999999998</v>
      </c>
      <c r="L55" s="258" t="s">
        <v>236</v>
      </c>
      <c r="M55" s="253"/>
      <c r="O55" s="81">
        <v>0.96</v>
      </c>
      <c r="P55" s="81">
        <f t="shared" si="5"/>
        <v>55.583999999999996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0" t="s">
        <v>71</v>
      </c>
      <c r="B56" s="258"/>
      <c r="C56" s="253"/>
      <c r="D56" s="254"/>
      <c r="E56" s="254"/>
      <c r="F56" s="254"/>
      <c r="G56" s="258">
        <v>42580</v>
      </c>
      <c r="H56" s="259">
        <v>50</v>
      </c>
      <c r="I56" s="254">
        <v>48.16</v>
      </c>
      <c r="J56" s="254">
        <v>0.3</v>
      </c>
      <c r="K56" s="254">
        <f>H56*I56-J56</f>
        <v>2407.6999999999998</v>
      </c>
      <c r="L56" s="253"/>
      <c r="M56" s="253"/>
      <c r="O56" s="81">
        <v>0.95</v>
      </c>
      <c r="P56" s="81">
        <f t="shared" si="5"/>
        <v>55.004999999999995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3"/>
      <c r="B57" s="258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54.425999999999995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3"/>
      <c r="B58" s="258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53.847000000000001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3"/>
      <c r="B59" s="258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53.268000000000001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52.689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5"/>
        <v>52.11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3"/>
      <c r="B63" s="253"/>
      <c r="C63" s="253"/>
      <c r="D63" s="254"/>
      <c r="E63" s="254"/>
      <c r="F63" s="254"/>
      <c r="G63" s="253"/>
      <c r="H63" s="259"/>
      <c r="I63" s="254"/>
      <c r="J63" s="254"/>
      <c r="K63" s="254"/>
      <c r="L63" s="253"/>
      <c r="M63" s="253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3"/>
      <c r="I70" s="254"/>
      <c r="J70" s="254"/>
      <c r="K70" s="254"/>
      <c r="L70" s="253"/>
      <c r="M70" s="253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2" t="s">
        <v>194</v>
      </c>
      <c r="B72" s="443"/>
      <c r="C72" s="444">
        <f>SumByColor($A$19,C55:C70)</f>
        <v>0</v>
      </c>
      <c r="D72" s="444"/>
      <c r="E72" s="444"/>
      <c r="F72" s="445">
        <f>SumByColor($A$19,F55:F70)</f>
        <v>0</v>
      </c>
      <c r="G72" s="444"/>
      <c r="H72" s="444">
        <f>SumByColor($A$19,H55:H70)</f>
        <v>0</v>
      </c>
      <c r="I72" s="444"/>
      <c r="J72" s="444"/>
      <c r="K72" s="445">
        <f>SumByColor($A$19,K55:K70)</f>
        <v>0</v>
      </c>
      <c r="L72" s="444"/>
      <c r="M72" s="44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49" priority="9">
      <formula>F39&gt;0</formula>
    </cfRule>
    <cfRule type="expression" dxfId="948" priority="10">
      <formula>F39&lt;0</formula>
    </cfRule>
  </conditionalFormatting>
  <conditionalFormatting sqref="F25:F38">
    <cfRule type="expression" dxfId="947" priority="7">
      <formula>F25&gt;0</formula>
    </cfRule>
    <cfRule type="expression" dxfId="946" priority="8">
      <formula>F25&lt;0</formula>
    </cfRule>
  </conditionalFormatting>
  <conditionalFormatting sqref="H25:H38">
    <cfRule type="expression" dxfId="945" priority="5">
      <formula>H25&gt;0</formula>
    </cfRule>
    <cfRule type="expression" dxfId="944" priority="6">
      <formula>H25&lt;0</formula>
    </cfRule>
  </conditionalFormatting>
  <conditionalFormatting sqref="Q7">
    <cfRule type="expression" dxfId="943" priority="3">
      <formula>Q7&gt;0</formula>
    </cfRule>
    <cfRule type="expression" dxfId="942" priority="4">
      <formula>Q7&lt;0</formula>
    </cfRule>
  </conditionalFormatting>
  <conditionalFormatting sqref="Q8">
    <cfRule type="expression" dxfId="941" priority="1">
      <formula>Q8&gt;0</formula>
    </cfRule>
    <cfRule type="expression" dxfId="94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325.83999999999997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325.83999999999997</v>
      </c>
      <c r="R4" s="498">
        <v>2.8799999999999999E-2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7" t="s">
        <v>78</v>
      </c>
      <c r="P14" s="847"/>
      <c r="W14" s="134"/>
    </row>
    <row r="15" spans="1:23" ht="15.75" thickTop="1" x14ac:dyDescent="0.25">
      <c r="H15" s="70"/>
      <c r="O15" s="81">
        <v>1.1000000000000001</v>
      </c>
      <c r="P15" s="81">
        <f>O15*$Q$4</f>
        <v>358.42399999999998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355.16559999999998</v>
      </c>
      <c r="W16" s="134"/>
    </row>
    <row r="17" spans="1:23" x14ac:dyDescent="0.25">
      <c r="O17" s="81">
        <v>1.08</v>
      </c>
      <c r="P17" s="81">
        <f t="shared" si="0"/>
        <v>351.90719999999999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348.64879999999999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O19" s="81">
        <v>1.06</v>
      </c>
      <c r="P19" s="81">
        <f t="shared" si="0"/>
        <v>345.3904</v>
      </c>
      <c r="W19" s="134"/>
    </row>
    <row r="20" spans="1:23" x14ac:dyDescent="0.25">
      <c r="O20" s="81">
        <v>1.05</v>
      </c>
      <c r="P20" s="81">
        <f t="shared" si="0"/>
        <v>342.13200000000001</v>
      </c>
      <c r="W20" s="134"/>
    </row>
    <row r="21" spans="1:23" x14ac:dyDescent="0.25">
      <c r="O21" s="81">
        <v>1.04</v>
      </c>
      <c r="P21" s="81">
        <f t="shared" si="0"/>
        <v>338.87360000000001</v>
      </c>
      <c r="W21" s="134"/>
    </row>
    <row r="22" spans="1:23" x14ac:dyDescent="0.25">
      <c r="O22" s="81">
        <v>1.03</v>
      </c>
      <c r="P22" s="81">
        <f t="shared" si="0"/>
        <v>335.61519999999996</v>
      </c>
      <c r="W22" s="134"/>
    </row>
    <row r="23" spans="1:23" x14ac:dyDescent="0.25">
      <c r="O23" s="81">
        <v>1.02</v>
      </c>
      <c r="P23" s="81">
        <f t="shared" si="0"/>
        <v>332.35679999999996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178</v>
      </c>
      <c r="L24" s="223"/>
      <c r="O24" s="81">
        <v>1.01</v>
      </c>
      <c r="P24" s="81">
        <f t="shared" si="0"/>
        <v>329.09839999999997</v>
      </c>
      <c r="W24" s="134"/>
    </row>
    <row r="25" spans="1:23" x14ac:dyDescent="0.25">
      <c r="B25" s="187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5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325.83999999999997</v>
      </c>
      <c r="W25" s="134"/>
    </row>
    <row r="26" spans="1:23" x14ac:dyDescent="0.25">
      <c r="B26" s="187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5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322.58159999999998</v>
      </c>
      <c r="W26" s="134"/>
    </row>
    <row r="27" spans="1:23" x14ac:dyDescent="0.25">
      <c r="B27" s="187">
        <v>43180</v>
      </c>
      <c r="C27" s="10">
        <v>0</v>
      </c>
      <c r="D27" s="39"/>
      <c r="E27" s="39"/>
      <c r="F27" s="39">
        <v>707.92</v>
      </c>
      <c r="G27" s="39"/>
      <c r="H27" s="225"/>
      <c r="I27" s="39"/>
      <c r="J27" s="39"/>
      <c r="K27" s="39">
        <v>1164.8599999999999</v>
      </c>
      <c r="L27" s="157"/>
      <c r="O27" s="81">
        <v>0.98</v>
      </c>
      <c r="P27" s="81">
        <f t="shared" si="0"/>
        <v>319.32319999999999</v>
      </c>
      <c r="W27" s="134"/>
    </row>
    <row r="28" spans="1:2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0.97</v>
      </c>
      <c r="P28" s="81">
        <f t="shared" si="0"/>
        <v>316.06479999999999</v>
      </c>
      <c r="W28" s="134"/>
    </row>
    <row r="29" spans="1:2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0.96</v>
      </c>
      <c r="P29" s="81">
        <f t="shared" si="0"/>
        <v>312.80639999999994</v>
      </c>
      <c r="W29" s="134"/>
    </row>
    <row r="30" spans="1:2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0.95</v>
      </c>
      <c r="P30" s="81">
        <f t="shared" si="0"/>
        <v>309.54799999999994</v>
      </c>
      <c r="W30" s="134"/>
    </row>
    <row r="31" spans="1:2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0.94</v>
      </c>
      <c r="P31" s="81">
        <f t="shared" si="0"/>
        <v>306.28959999999995</v>
      </c>
      <c r="W31" s="134"/>
    </row>
    <row r="32" spans="1:2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0.93</v>
      </c>
      <c r="P32" s="81">
        <f t="shared" si="0"/>
        <v>303.03120000000001</v>
      </c>
      <c r="W32" s="134"/>
    </row>
    <row r="33" spans="1:23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0.92</v>
      </c>
      <c r="P33" s="81">
        <f t="shared" si="0"/>
        <v>299.77280000000002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0.91</v>
      </c>
      <c r="P34" s="81">
        <f t="shared" si="0"/>
        <v>296.51439999999997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</v>
      </c>
      <c r="P35" s="81">
        <f t="shared" si="0"/>
        <v>293.25599999999997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8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5401.7800000000007</v>
      </c>
      <c r="G84" s="520"/>
      <c r="H84" s="542">
        <f>SUM(H68:H71)</f>
        <v>20</v>
      </c>
      <c r="I84" s="521"/>
      <c r="J84" s="521"/>
      <c r="K84" s="521">
        <f>SUM(K68:K71)</f>
        <v>6666.64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39"/>
      <c r="K88" s="39"/>
    </row>
    <row r="89" spans="1:13" x14ac:dyDescent="0.25">
      <c r="B89" s="187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5">
        <f>(E89-D89)/D89</f>
        <v>1.7994449404440502E-4</v>
      </c>
      <c r="I89" s="39"/>
      <c r="J89" s="39"/>
      <c r="K89" s="39"/>
    </row>
    <row r="90" spans="1:13" x14ac:dyDescent="0.25">
      <c r="B90" s="187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5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7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5">
        <f>(E91-D91)/D91</f>
        <v>0.10205621189156273</v>
      </c>
      <c r="I91" s="39"/>
      <c r="J91" s="39"/>
      <c r="K91" s="39"/>
    </row>
    <row r="92" spans="1:13" x14ac:dyDescent="0.25">
      <c r="B92" s="187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5">
        <f>(E92-D92)/D92</f>
        <v>0.15797742388693944</v>
      </c>
      <c r="I92" s="39"/>
      <c r="J92" s="39"/>
      <c r="K92" s="39"/>
    </row>
    <row r="93" spans="1:13" x14ac:dyDescent="0.25">
      <c r="B93" s="187">
        <v>43129</v>
      </c>
      <c r="C93" s="10">
        <v>0</v>
      </c>
      <c r="D93" s="39"/>
      <c r="E93" s="39"/>
      <c r="F93" s="39">
        <v>456.94</v>
      </c>
      <c r="G93" s="39"/>
      <c r="H93" s="225"/>
      <c r="I93" s="39"/>
      <c r="J93" s="39"/>
      <c r="K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</row>
    <row r="97" spans="2:11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</row>
    <row r="98" spans="2:11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</row>
    <row r="99" spans="2:11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</row>
    <row r="100" spans="2:11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</row>
    <row r="101" spans="2:11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</row>
    <row r="102" spans="2:11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</row>
    <row r="103" spans="2:11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</row>
    <row r="104" spans="2:11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</row>
    <row r="105" spans="2:11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</row>
    <row r="106" spans="2:11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</row>
    <row r="107" spans="2:11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</row>
    <row r="108" spans="2:11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</row>
    <row r="109" spans="2:11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</row>
    <row r="110" spans="2:11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39" priority="29">
      <formula>F29&gt;0</formula>
    </cfRule>
    <cfRule type="expression" dxfId="938" priority="30">
      <formula>F29&lt;0</formula>
    </cfRule>
  </conditionalFormatting>
  <conditionalFormatting sqref="Q7">
    <cfRule type="expression" dxfId="937" priority="27">
      <formula>Q7&gt;0</formula>
    </cfRule>
    <cfRule type="expression" dxfId="936" priority="28">
      <formula>Q7&lt;0</formula>
    </cfRule>
  </conditionalFormatting>
  <conditionalFormatting sqref="Q8">
    <cfRule type="expression" dxfId="935" priority="25">
      <formula>Q8&gt;0</formula>
    </cfRule>
    <cfRule type="expression" dxfId="934" priority="26">
      <formula>Q8&lt;0</formula>
    </cfRule>
  </conditionalFormatting>
  <conditionalFormatting sqref="F96:F110">
    <cfRule type="expression" dxfId="933" priority="19">
      <formula>F96&gt;0</formula>
    </cfRule>
    <cfRule type="expression" dxfId="932" priority="20">
      <formula>F96&lt;0</formula>
    </cfRule>
  </conditionalFormatting>
  <conditionalFormatting sqref="H96:H110">
    <cfRule type="expression" dxfId="931" priority="17">
      <formula>H96&gt;0</formula>
    </cfRule>
    <cfRule type="expression" dxfId="930" priority="18">
      <formula>H96&lt;0</formula>
    </cfRule>
  </conditionalFormatting>
  <conditionalFormatting sqref="Q10">
    <cfRule type="expression" dxfId="929" priority="15">
      <formula>Q10&gt;0</formula>
    </cfRule>
    <cfRule type="expression" dxfId="928" priority="16">
      <formula>Q10&lt;0</formula>
    </cfRule>
  </conditionalFormatting>
  <conditionalFormatting sqref="L29:L38">
    <cfRule type="expression" dxfId="927" priority="9">
      <formula>L29&gt;0</formula>
    </cfRule>
    <cfRule type="expression" dxfId="926" priority="10">
      <formula>L29&lt;0</formula>
    </cfRule>
  </conditionalFormatting>
  <conditionalFormatting sqref="F27:F29 H27:H29 J25:K29">
    <cfRule type="expression" dxfId="925" priority="7">
      <formula>F25&gt;0</formula>
    </cfRule>
    <cfRule type="expression" dxfId="924" priority="8">
      <formula>F25&lt;0</formula>
    </cfRule>
  </conditionalFormatting>
  <conditionalFormatting sqref="L25:L29">
    <cfRule type="expression" dxfId="923" priority="5">
      <formula>L25&gt;0</formula>
    </cfRule>
    <cfRule type="expression" dxfId="922" priority="6">
      <formula>L25&lt;0</formula>
    </cfRule>
  </conditionalFormatting>
  <conditionalFormatting sqref="F25:F26">
    <cfRule type="expression" dxfId="921" priority="3">
      <formula>F25&gt;0</formula>
    </cfRule>
    <cfRule type="expression" dxfId="920" priority="4">
      <formula>F25&lt;0</formula>
    </cfRule>
  </conditionalFormatting>
  <conditionalFormatting sqref="H25:H26">
    <cfRule type="expression" dxfId="919" priority="1">
      <formula>H25&gt;0</formula>
    </cfRule>
    <cfRule type="expression" dxfId="91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868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904</v>
      </c>
      <c r="W2" s="134"/>
    </row>
    <row r="3" spans="1:23" x14ac:dyDescent="0.25">
      <c r="A3" s="22" t="s">
        <v>71</v>
      </c>
      <c r="B3" s="72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89.732000000000014</v>
      </c>
      <c r="T3" s="1">
        <v>43114</v>
      </c>
      <c r="U3" t="s">
        <v>905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85.489900000000006</v>
      </c>
      <c r="R4" s="498">
        <v>-6.6E-3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8548.99</v>
      </c>
      <c r="T5" s="1">
        <v>43121</v>
      </c>
      <c r="U5" t="s">
        <v>924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-424.21000000000095</v>
      </c>
      <c r="R7">
        <v>100</v>
      </c>
      <c r="T7" s="1">
        <v>43138</v>
      </c>
      <c r="U7" t="s">
        <v>1008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-424.21000000000095</v>
      </c>
      <c r="T8" s="1"/>
      <c r="U8" t="s">
        <v>1009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-4.7275219542638178E-2</v>
      </c>
      <c r="U9" t="s">
        <v>1010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1012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2.6669817136293288E-2</v>
      </c>
      <c r="R11">
        <f>0.57</f>
        <v>0.56999999999999995</v>
      </c>
      <c r="W11" s="134"/>
    </row>
    <row r="12" spans="1:23" x14ac:dyDescent="0.25">
      <c r="H12" s="70"/>
      <c r="O12" s="11" t="s">
        <v>968</v>
      </c>
      <c r="Q12" s="1" t="s">
        <v>1033</v>
      </c>
      <c r="W12" s="134"/>
    </row>
    <row r="13" spans="1:23" x14ac:dyDescent="0.25">
      <c r="H13" s="70"/>
      <c r="O13" s="11" t="s">
        <v>997</v>
      </c>
      <c r="Q13" s="2">
        <f>Q4/6.6</f>
        <v>12.953015151515153</v>
      </c>
      <c r="T13" s="1">
        <v>43213</v>
      </c>
      <c r="U13" t="s">
        <v>1011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O18" s="847" t="s">
        <v>78</v>
      </c>
      <c r="P18" s="847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23</v>
      </c>
      <c r="O19" s="81">
        <v>1.1000000000000001</v>
      </c>
      <c r="P19" s="81">
        <f>O19*$Q$4</f>
        <v>94.038890000000009</v>
      </c>
      <c r="W19" s="134"/>
    </row>
    <row r="20" spans="1:23" x14ac:dyDescent="0.25">
      <c r="O20" s="81">
        <v>1.0900000000000001</v>
      </c>
      <c r="P20" s="81">
        <f t="shared" ref="P20:P39" si="0">O20*$Q$4</f>
        <v>93.18399100000002</v>
      </c>
      <c r="W20" s="134"/>
    </row>
    <row r="21" spans="1:23" x14ac:dyDescent="0.25">
      <c r="O21" s="81">
        <v>1.08</v>
      </c>
      <c r="P21" s="81">
        <f t="shared" si="0"/>
        <v>92.329092000000017</v>
      </c>
      <c r="W21" s="134"/>
    </row>
    <row r="22" spans="1:23" x14ac:dyDescent="0.25">
      <c r="O22" s="81">
        <v>1.07</v>
      </c>
      <c r="P22" s="81">
        <f t="shared" si="0"/>
        <v>91.474193000000014</v>
      </c>
      <c r="W22" s="134"/>
    </row>
    <row r="23" spans="1:23" x14ac:dyDescent="0.25">
      <c r="O23" s="81">
        <v>1.06</v>
      </c>
      <c r="P23" s="81">
        <f t="shared" si="0"/>
        <v>90.619294000000011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997</v>
      </c>
      <c r="L24" s="223"/>
      <c r="O24" s="81">
        <v>1.05</v>
      </c>
      <c r="P24" s="81">
        <f t="shared" si="0"/>
        <v>89.764395000000007</v>
      </c>
      <c r="W24" s="134"/>
    </row>
    <row r="25" spans="1:23" x14ac:dyDescent="0.25">
      <c r="B25" s="187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5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88.909496000000004</v>
      </c>
      <c r="W25" s="134"/>
    </row>
    <row r="26" spans="1:23" x14ac:dyDescent="0.25">
      <c r="B26" s="187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5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88.054597000000015</v>
      </c>
      <c r="W26" s="134"/>
    </row>
    <row r="27" spans="1:23" x14ac:dyDescent="0.25">
      <c r="B27" s="187">
        <v>43172</v>
      </c>
      <c r="C27" s="10">
        <v>100</v>
      </c>
      <c r="D27" s="39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5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87.199698000000012</v>
      </c>
      <c r="W27" s="134"/>
    </row>
    <row r="28" spans="1:23" x14ac:dyDescent="0.25">
      <c r="B28" s="187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5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86.344799000000009</v>
      </c>
      <c r="W28" s="134"/>
    </row>
    <row r="29" spans="1:23" x14ac:dyDescent="0.25">
      <c r="B29" s="187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5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85.489900000000006</v>
      </c>
      <c r="W29" s="134"/>
    </row>
    <row r="30" spans="1:23" x14ac:dyDescent="0.25">
      <c r="B30" s="187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5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84.635001000000003</v>
      </c>
      <c r="W30" s="134"/>
    </row>
    <row r="31" spans="1:23" x14ac:dyDescent="0.25">
      <c r="B31" s="187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5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83.780101999999999</v>
      </c>
      <c r="W31" s="134"/>
    </row>
    <row r="32" spans="1:23" x14ac:dyDescent="0.25">
      <c r="B32" s="187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5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82.925202999999996</v>
      </c>
      <c r="W32" s="134"/>
    </row>
    <row r="33" spans="1:23" x14ac:dyDescent="0.25">
      <c r="A33" s="29"/>
      <c r="B33" s="187">
        <v>43198</v>
      </c>
      <c r="C33" s="10">
        <v>100</v>
      </c>
      <c r="D33" s="39">
        <v>89.731999999999999</v>
      </c>
      <c r="E33" s="39">
        <v>84.43</v>
      </c>
      <c r="F33" s="39">
        <f t="shared" ref="F33" si="25">C33*(E33-D33)</f>
        <v>-530.19999999999925</v>
      </c>
      <c r="G33" s="39">
        <f t="shared" ref="G33" si="26">D33*C33</f>
        <v>8973.2000000000007</v>
      </c>
      <c r="H33" s="225">
        <f t="shared" ref="H33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82.070304000000007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0.95</v>
      </c>
      <c r="P34" s="81">
        <f t="shared" si="0"/>
        <v>81.215405000000004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0.94</v>
      </c>
      <c r="P35" s="81">
        <f t="shared" si="0"/>
        <v>80.360506000000001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0"/>
        <v>79.505607000000012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0"/>
        <v>78.650708000000009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0"/>
        <v>77.795809000000006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0"/>
        <v>76.940910000000002</v>
      </c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868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7" priority="25">
      <formula>F47&gt;0</formula>
    </cfRule>
    <cfRule type="expression" dxfId="916" priority="26">
      <formula>F47&lt;0</formula>
    </cfRule>
  </conditionalFormatting>
  <conditionalFormatting sqref="Q7">
    <cfRule type="expression" dxfId="915" priority="23">
      <formula>Q7&gt;0</formula>
    </cfRule>
    <cfRule type="expression" dxfId="914" priority="24">
      <formula>Q7&lt;0</formula>
    </cfRule>
  </conditionalFormatting>
  <conditionalFormatting sqref="Q8">
    <cfRule type="expression" dxfId="913" priority="21">
      <formula>Q8&gt;0</formula>
    </cfRule>
    <cfRule type="expression" dxfId="912" priority="22">
      <formula>Q8&lt;0</formula>
    </cfRule>
  </conditionalFormatting>
  <conditionalFormatting sqref="F25:F29 F34:F46">
    <cfRule type="expression" dxfId="911" priority="19">
      <formula>F25&gt;0</formula>
    </cfRule>
    <cfRule type="expression" dxfId="910" priority="20">
      <formula>F25&lt;0</formula>
    </cfRule>
  </conditionalFormatting>
  <conditionalFormatting sqref="H25:H29 H34:H46">
    <cfRule type="expression" dxfId="909" priority="17">
      <formula>H25&gt;0</formula>
    </cfRule>
    <cfRule type="expression" dxfId="908" priority="18">
      <formula>H25&lt;0</formula>
    </cfRule>
  </conditionalFormatting>
  <conditionalFormatting sqref="F89:F110">
    <cfRule type="expression" dxfId="907" priority="15">
      <formula>F89&gt;0</formula>
    </cfRule>
    <cfRule type="expression" dxfId="906" priority="16">
      <formula>F89&lt;0</formula>
    </cfRule>
  </conditionalFormatting>
  <conditionalFormatting sqref="H89:H110">
    <cfRule type="expression" dxfId="905" priority="13">
      <formula>H89&gt;0</formula>
    </cfRule>
    <cfRule type="expression" dxfId="904" priority="14">
      <formula>H89&lt;0</formula>
    </cfRule>
  </conditionalFormatting>
  <conditionalFormatting sqref="Q10">
    <cfRule type="expression" dxfId="903" priority="11">
      <formula>Q10&gt;0</formula>
    </cfRule>
    <cfRule type="expression" dxfId="902" priority="12">
      <formula>Q10&lt;0</formula>
    </cfRule>
  </conditionalFormatting>
  <conditionalFormatting sqref="J25:J32 J34:J38">
    <cfRule type="expression" dxfId="901" priority="9">
      <formula>J25&gt;0</formula>
    </cfRule>
    <cfRule type="expression" dxfId="900" priority="10">
      <formula>J25&lt;0</formula>
    </cfRule>
  </conditionalFormatting>
  <conditionalFormatting sqref="K25:K30">
    <cfRule type="expression" dxfId="899" priority="7">
      <formula>K25&gt;0</formula>
    </cfRule>
    <cfRule type="expression" dxfId="898" priority="8">
      <formula>K25&lt;0</formula>
    </cfRule>
  </conditionalFormatting>
  <conditionalFormatting sqref="L25:L38">
    <cfRule type="expression" dxfId="897" priority="5">
      <formula>L25&gt;0</formula>
    </cfRule>
    <cfRule type="expression" dxfId="896" priority="6">
      <formula>L25&lt;0</formula>
    </cfRule>
  </conditionalFormatting>
  <conditionalFormatting sqref="F30:F33">
    <cfRule type="expression" dxfId="895" priority="3">
      <formula>F30&gt;0</formula>
    </cfRule>
    <cfRule type="expression" dxfId="894" priority="4">
      <formula>F30&lt;0</formula>
    </cfRule>
  </conditionalFormatting>
  <conditionalFormatting sqref="H30:H33">
    <cfRule type="expression" dxfId="893" priority="1">
      <formula>H30&gt;0</formula>
    </cfRule>
    <cfRule type="expression" dxfId="892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747</v>
      </c>
      <c r="B2" s="437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37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831</v>
      </c>
      <c r="W2" s="134"/>
    </row>
    <row r="3" spans="1:23" x14ac:dyDescent="0.25">
      <c r="A3" s="22" t="s">
        <v>71</v>
      </c>
      <c r="B3" s="437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7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4">
        <f>IF(Q2=0, Q4, (F18-K18-M18)/Q2)</f>
        <v>71.381699999999995</v>
      </c>
      <c r="T3" s="1">
        <v>43096</v>
      </c>
      <c r="U3" t="s">
        <v>830</v>
      </c>
      <c r="W3" s="134"/>
    </row>
    <row r="4" spans="1:23" x14ac:dyDescent="0.25">
      <c r="B4" s="437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7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70.929900000000004</v>
      </c>
      <c r="R4" s="498">
        <v>-1.2999999999999999E-3</v>
      </c>
      <c r="T4" s="1"/>
      <c r="U4" t="s">
        <v>834</v>
      </c>
      <c r="W4" s="134"/>
    </row>
    <row r="5" spans="1:23" x14ac:dyDescent="0.25">
      <c r="B5" s="437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7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14185.980000000001</v>
      </c>
      <c r="U5" t="s">
        <v>832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833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-90.359999999998763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-90.359999999998763</v>
      </c>
      <c r="T8" s="1">
        <v>43114</v>
      </c>
      <c r="U8" t="s">
        <v>886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-6.3293533216495805E-3</v>
      </c>
      <c r="U9" t="s">
        <v>887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889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968</v>
      </c>
      <c r="T12" s="1">
        <v>43151</v>
      </c>
      <c r="U12" t="s">
        <v>82</v>
      </c>
      <c r="W12" s="134"/>
    </row>
    <row r="13" spans="1:23" x14ac:dyDescent="0.25">
      <c r="H13" s="70"/>
      <c r="O13" s="11" t="s">
        <v>997</v>
      </c>
      <c r="Q13">
        <f>Q4/(4.03+4.14)*2</f>
        <v>17.363500611995104</v>
      </c>
      <c r="U13" t="s">
        <v>996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7" t="s">
        <v>78</v>
      </c>
      <c r="P16" s="847"/>
      <c r="W16" s="134"/>
    </row>
    <row r="17" spans="1:23" ht="15.75" thickTop="1" x14ac:dyDescent="0.25">
      <c r="O17" s="81">
        <v>1.1000000000000001</v>
      </c>
      <c r="P17" s="81">
        <f>O17*$Q$4</f>
        <v>78.022890000000004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77.313591000000002</v>
      </c>
      <c r="Q18" s="2"/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14528</v>
      </c>
      <c r="G19" s="346"/>
      <c r="H19" s="346">
        <f>SumByColor($A$19,H2:H17)</f>
        <v>200</v>
      </c>
      <c r="I19" s="346"/>
      <c r="J19" s="346"/>
      <c r="K19" s="347">
        <f>SumByColor($A$19,K2:K17)</f>
        <v>15007</v>
      </c>
      <c r="L19" s="346"/>
      <c r="M19" s="347">
        <f>SumByColor($A$19,M2:M17)</f>
        <v>0</v>
      </c>
      <c r="O19" s="81">
        <v>1.08</v>
      </c>
      <c r="P19" s="81">
        <f t="shared" si="1"/>
        <v>76.604292000000015</v>
      </c>
      <c r="Q19" s="2"/>
      <c r="W19" s="134"/>
    </row>
    <row r="20" spans="1:23" x14ac:dyDescent="0.25">
      <c r="O20" s="81">
        <v>1.07</v>
      </c>
      <c r="P20" s="81">
        <f t="shared" si="1"/>
        <v>75.894993000000014</v>
      </c>
      <c r="Q20" s="2"/>
      <c r="W20" s="134"/>
    </row>
    <row r="21" spans="1:23" x14ac:dyDescent="0.25">
      <c r="O21" s="81">
        <v>1.06</v>
      </c>
      <c r="P21" s="81">
        <f t="shared" si="1"/>
        <v>75.185694000000012</v>
      </c>
      <c r="Q21" s="2"/>
      <c r="W21" s="134"/>
    </row>
    <row r="22" spans="1:23" x14ac:dyDescent="0.25">
      <c r="O22" s="81">
        <v>1.05</v>
      </c>
      <c r="P22" s="81">
        <f t="shared" si="1"/>
        <v>74.476395000000011</v>
      </c>
      <c r="Q22" s="2"/>
      <c r="W22" s="134"/>
    </row>
    <row r="23" spans="1:23" x14ac:dyDescent="0.25">
      <c r="O23" s="81">
        <v>1.04</v>
      </c>
      <c r="P23" s="81">
        <f t="shared" si="1"/>
        <v>73.767096000000009</v>
      </c>
      <c r="Q23" s="2"/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997</v>
      </c>
      <c r="O24" s="81">
        <v>1.03</v>
      </c>
      <c r="P24" s="81">
        <f t="shared" si="1"/>
        <v>73.057797000000008</v>
      </c>
      <c r="Q24" s="2"/>
      <c r="W24" s="134"/>
    </row>
    <row r="25" spans="1:23" x14ac:dyDescent="0.25">
      <c r="B25" s="187">
        <v>43028</v>
      </c>
      <c r="C25" s="231">
        <v>50</v>
      </c>
      <c r="D25" s="232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5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72.348498000000006</v>
      </c>
      <c r="Q25" s="2"/>
      <c r="W25" s="134"/>
    </row>
    <row r="26" spans="1:23" x14ac:dyDescent="0.25">
      <c r="B26" s="187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5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71.639199000000005</v>
      </c>
      <c r="Q26" s="2"/>
      <c r="W26" s="134"/>
    </row>
    <row r="27" spans="1:23" x14ac:dyDescent="0.25">
      <c r="B27" s="187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5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70.929900000000004</v>
      </c>
      <c r="Q27" s="2"/>
      <c r="W27" s="134"/>
    </row>
    <row r="28" spans="1:23" x14ac:dyDescent="0.25">
      <c r="A28">
        <v>50</v>
      </c>
      <c r="B28" s="187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5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70.220601000000002</v>
      </c>
      <c r="Q28" s="2"/>
      <c r="W28" s="134"/>
    </row>
    <row r="29" spans="1:23" x14ac:dyDescent="0.25">
      <c r="A29">
        <v>50</v>
      </c>
      <c r="B29" s="187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5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69.511302000000001</v>
      </c>
      <c r="Q29" s="2"/>
      <c r="W29" s="134"/>
    </row>
    <row r="30" spans="1:23" x14ac:dyDescent="0.25">
      <c r="A30">
        <v>150</v>
      </c>
      <c r="B30" s="187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5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68.802002999999999</v>
      </c>
      <c r="W30" s="134"/>
    </row>
    <row r="31" spans="1:23" x14ac:dyDescent="0.25">
      <c r="A31">
        <v>100</v>
      </c>
      <c r="B31" s="187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5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68.092703999999998</v>
      </c>
      <c r="W31" s="134"/>
    </row>
    <row r="32" spans="1:23" x14ac:dyDescent="0.25">
      <c r="A32">
        <v>100</v>
      </c>
      <c r="B32" s="187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5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67.383404999999996</v>
      </c>
      <c r="W32" s="134"/>
    </row>
    <row r="33" spans="1:23" x14ac:dyDescent="0.25">
      <c r="A33">
        <v>100</v>
      </c>
      <c r="B33" s="187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5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66.674105999999995</v>
      </c>
      <c r="W33" s="134"/>
    </row>
    <row r="34" spans="1:23" x14ac:dyDescent="0.25">
      <c r="A34">
        <v>100</v>
      </c>
      <c r="B34" s="187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5">
        <f t="shared" si="22"/>
        <v>-1.0597343260851086E-2</v>
      </c>
      <c r="I34" s="39"/>
      <c r="J34" s="39">
        <v>65</v>
      </c>
      <c r="K34" s="196" t="s">
        <v>888</v>
      </c>
      <c r="L34" s="157"/>
      <c r="O34" s="81">
        <v>0.93</v>
      </c>
      <c r="P34" s="81">
        <f t="shared" si="1"/>
        <v>65.964807000000008</v>
      </c>
      <c r="W34" s="134"/>
    </row>
    <row r="35" spans="1:23" x14ac:dyDescent="0.25">
      <c r="A35">
        <v>50</v>
      </c>
      <c r="B35" s="187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5">
        <f t="shared" si="22"/>
        <v>2.7813149252731088E-2</v>
      </c>
      <c r="I35" s="39"/>
      <c r="J35" s="39">
        <v>70</v>
      </c>
      <c r="K35" s="196" t="s">
        <v>914</v>
      </c>
      <c r="L35" s="157"/>
      <c r="O35" s="81">
        <v>0.92</v>
      </c>
      <c r="P35" s="81">
        <f t="shared" si="1"/>
        <v>65.255508000000006</v>
      </c>
      <c r="W35" s="134"/>
    </row>
    <row r="36" spans="1:23" x14ac:dyDescent="0.25">
      <c r="A36">
        <v>50</v>
      </c>
      <c r="B36" s="187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5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64.546209000000005</v>
      </c>
      <c r="W36" s="134"/>
    </row>
    <row r="37" spans="1:23" x14ac:dyDescent="0.25">
      <c r="A37">
        <v>50</v>
      </c>
      <c r="B37" s="187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5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63.836910000000003</v>
      </c>
      <c r="W37" s="134"/>
    </row>
    <row r="38" spans="1:23" x14ac:dyDescent="0.25">
      <c r="A38">
        <v>0</v>
      </c>
      <c r="B38" s="187">
        <v>43126</v>
      </c>
      <c r="C38" s="231">
        <v>50</v>
      </c>
      <c r="D38" s="232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5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7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5">
        <f t="shared" si="22"/>
        <v>1.7431308598424008E-2</v>
      </c>
      <c r="I39" s="232" t="s">
        <v>938</v>
      </c>
      <c r="J39" s="39"/>
      <c r="K39" s="39"/>
      <c r="L39" s="39"/>
      <c r="T39" s="134"/>
    </row>
    <row r="40" spans="1:23" x14ac:dyDescent="0.25">
      <c r="A40">
        <v>0</v>
      </c>
      <c r="B40" s="187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5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7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5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7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5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7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5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7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5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7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5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7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5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7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5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B48" s="187"/>
      <c r="C48" s="10"/>
      <c r="D48" s="39"/>
      <c r="E48" s="39"/>
      <c r="F48" s="39"/>
      <c r="G48" s="39"/>
      <c r="H48" s="225"/>
      <c r="I48" s="39"/>
      <c r="J48" s="39"/>
      <c r="K48" s="39"/>
      <c r="L48" s="39"/>
      <c r="T48" s="134"/>
    </row>
    <row r="49" spans="1:23" x14ac:dyDescent="0.25">
      <c r="B49" s="187"/>
      <c r="C49" s="10"/>
      <c r="D49" s="39"/>
      <c r="E49" s="39"/>
      <c r="F49" s="39"/>
      <c r="G49" s="39"/>
      <c r="H49" s="225"/>
      <c r="I49" s="39"/>
      <c r="J49" s="39"/>
      <c r="K49" s="39"/>
      <c r="L49" s="39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747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1" priority="25">
      <formula>F25&gt;0</formula>
    </cfRule>
    <cfRule type="expression" dxfId="890" priority="26">
      <formula>F25&lt;0</formula>
    </cfRule>
  </conditionalFormatting>
  <conditionalFormatting sqref="Q7">
    <cfRule type="expression" dxfId="889" priority="23">
      <formula>Q7&gt;0</formula>
    </cfRule>
    <cfRule type="expression" dxfId="888" priority="24">
      <formula>Q7&lt;0</formula>
    </cfRule>
  </conditionalFormatting>
  <conditionalFormatting sqref="Q8">
    <cfRule type="expression" dxfId="887" priority="21">
      <formula>Q8&gt;0</formula>
    </cfRule>
    <cfRule type="expression" dxfId="886" priority="22">
      <formula>Q8&lt;0</formula>
    </cfRule>
  </conditionalFormatting>
  <conditionalFormatting sqref="F25:F43 F48:F58">
    <cfRule type="expression" dxfId="885" priority="19">
      <formula>F25&gt;0</formula>
    </cfRule>
    <cfRule type="expression" dxfId="884" priority="20">
      <formula>F25&lt;0</formula>
    </cfRule>
  </conditionalFormatting>
  <conditionalFormatting sqref="H25:H43 H48:H58">
    <cfRule type="expression" dxfId="883" priority="17">
      <formula>H25&gt;0</formula>
    </cfRule>
    <cfRule type="expression" dxfId="882" priority="18">
      <formula>H25&lt;0</formula>
    </cfRule>
  </conditionalFormatting>
  <conditionalFormatting sqref="F89:F110">
    <cfRule type="expression" dxfId="881" priority="15">
      <formula>F89&gt;0</formula>
    </cfRule>
    <cfRule type="expression" dxfId="880" priority="16">
      <formula>F89&lt;0</formula>
    </cfRule>
  </conditionalFormatting>
  <conditionalFormatting sqref="H89:H110">
    <cfRule type="expression" dxfId="879" priority="13">
      <formula>H89&gt;0</formula>
    </cfRule>
    <cfRule type="expression" dxfId="878" priority="14">
      <formula>H89&lt;0</formula>
    </cfRule>
  </conditionalFormatting>
  <conditionalFormatting sqref="Q10">
    <cfRule type="expression" dxfId="877" priority="11">
      <formula>Q10&gt;0</formula>
    </cfRule>
    <cfRule type="expression" dxfId="876" priority="12">
      <formula>Q10&lt;0</formula>
    </cfRule>
  </conditionalFormatting>
  <conditionalFormatting sqref="J36:J38">
    <cfRule type="expression" dxfId="875" priority="9">
      <formula>J36&gt;0</formula>
    </cfRule>
    <cfRule type="expression" dxfId="874" priority="10">
      <formula>J36&lt;0</formula>
    </cfRule>
  </conditionalFormatting>
  <conditionalFormatting sqref="K36:K38">
    <cfRule type="expression" dxfId="873" priority="7">
      <formula>K36&gt;0</formula>
    </cfRule>
    <cfRule type="expression" dxfId="872" priority="8">
      <formula>K36&lt;0</formula>
    </cfRule>
  </conditionalFormatting>
  <conditionalFormatting sqref="L25:L38">
    <cfRule type="expression" dxfId="871" priority="5">
      <formula>L25&gt;0</formula>
    </cfRule>
    <cfRule type="expression" dxfId="870" priority="6">
      <formula>L25&lt;0</formula>
    </cfRule>
  </conditionalFormatting>
  <conditionalFormatting sqref="F44:F47">
    <cfRule type="expression" dxfId="869" priority="3">
      <formula>F44&gt;0</formula>
    </cfRule>
    <cfRule type="expression" dxfId="868" priority="4">
      <formula>F44&lt;0</formula>
    </cfRule>
  </conditionalFormatting>
  <conditionalFormatting sqref="H44:H47">
    <cfRule type="expression" dxfId="867" priority="1">
      <formula>H44&gt;0</formula>
    </cfRule>
    <cfRule type="expression" dxfId="866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842</v>
      </c>
      <c r="B2" s="437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7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4">
        <f>C18-H18</f>
        <v>500</v>
      </c>
      <c r="T2" s="1">
        <v>43032</v>
      </c>
      <c r="U2" t="s">
        <v>903</v>
      </c>
      <c r="W2" s="134"/>
    </row>
    <row r="3" spans="1:23" x14ac:dyDescent="0.25">
      <c r="A3" s="22" t="s">
        <v>71</v>
      </c>
      <c r="B3" s="437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7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4">
        <f>IF(Q2=0, Q4, (F18-K18-M18)/Q2)</f>
        <v>30.933060000000005</v>
      </c>
      <c r="T3" s="1"/>
      <c r="W3" s="134"/>
    </row>
    <row r="4" spans="1:23" x14ac:dyDescent="0.25">
      <c r="B4" s="437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7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23.57</v>
      </c>
      <c r="R4" s="498">
        <v>3.8E-3</v>
      </c>
      <c r="T4" s="1">
        <v>43121</v>
      </c>
      <c r="U4" t="s">
        <v>923</v>
      </c>
      <c r="W4" s="134"/>
    </row>
    <row r="5" spans="1:23" x14ac:dyDescent="0.25">
      <c r="B5" s="437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11785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15466.530000000002</v>
      </c>
      <c r="T6" s="1">
        <v>43160</v>
      </c>
      <c r="U6" t="s">
        <v>998</v>
      </c>
      <c r="W6" s="134"/>
    </row>
    <row r="7" spans="1:23" x14ac:dyDescent="0.25">
      <c r="B7" s="437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-3681.5300000000025</v>
      </c>
      <c r="R7">
        <v>203</v>
      </c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-3681.5300000000025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-0.23803206019708376</v>
      </c>
      <c r="W9" s="134"/>
    </row>
    <row r="10" spans="1:23" x14ac:dyDescent="0.25">
      <c r="B10" s="477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77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4.4123886296139163E-2</v>
      </c>
      <c r="R11">
        <f>0.26</f>
        <v>0.26</v>
      </c>
      <c r="W11" s="134"/>
    </row>
    <row r="12" spans="1:23" x14ac:dyDescent="0.25">
      <c r="B12" s="477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968</v>
      </c>
      <c r="W12" s="134"/>
    </row>
    <row r="13" spans="1:23" x14ac:dyDescent="0.25">
      <c r="H13" s="70"/>
      <c r="O13" s="11" t="s">
        <v>997</v>
      </c>
      <c r="Q13">
        <f>Q4/(1.65+1.75)*2</f>
        <v>13.864705882352942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397</v>
      </c>
      <c r="I18" s="18"/>
      <c r="J18" s="18"/>
      <c r="K18" s="18">
        <f>SUM(K2:K5)</f>
        <v>9490.1699999999983</v>
      </c>
      <c r="L18" s="14"/>
      <c r="M18" s="18">
        <f>SUM(M2:M10)</f>
        <v>26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397</v>
      </c>
      <c r="D19" s="346"/>
      <c r="E19" s="346"/>
      <c r="F19" s="347">
        <f>SumByColor($A$19,F2:F17)</f>
        <v>9012</v>
      </c>
      <c r="G19" s="346"/>
      <c r="H19" s="346">
        <f>SumByColor($A$19,H2:H17)</f>
        <v>397</v>
      </c>
      <c r="I19" s="346"/>
      <c r="J19" s="346"/>
      <c r="K19" s="347">
        <f>SumByColor($A$19,K3:K17)</f>
        <v>4500</v>
      </c>
      <c r="L19" s="346"/>
      <c r="M19" s="347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997</v>
      </c>
      <c r="W24" s="134"/>
    </row>
    <row r="25" spans="1:23" x14ac:dyDescent="0.25">
      <c r="B25" s="187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5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7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5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7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5">
        <f t="shared" ref="H27" si="11">(E27-D27)/D27</f>
        <v>1.6551724137931073E-2</v>
      </c>
      <c r="I27" s="39"/>
      <c r="J27" s="39"/>
      <c r="K27" s="39"/>
      <c r="L27" s="157"/>
      <c r="W27" s="134"/>
    </row>
    <row r="28" spans="1:23" x14ac:dyDescent="0.25">
      <c r="B28" s="187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5">
        <f t="shared" ref="H28:H35" si="14">(E28-D28)/D28</f>
        <v>4.9180327868852347E-2</v>
      </c>
      <c r="I28" s="39"/>
      <c r="J28" s="39"/>
      <c r="K28" s="39"/>
      <c r="L28" s="157"/>
      <c r="W28" s="134"/>
    </row>
    <row r="29" spans="1:23" x14ac:dyDescent="0.25">
      <c r="B29" s="187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5">
        <f t="shared" si="14"/>
        <v>1.1146277693683806E-2</v>
      </c>
      <c r="I29" s="39"/>
      <c r="J29" s="39"/>
      <c r="K29" s="39"/>
      <c r="L29" s="157"/>
      <c r="W29" s="134"/>
    </row>
    <row r="30" spans="1:23" x14ac:dyDescent="0.25">
      <c r="A30">
        <v>100</v>
      </c>
      <c r="B30" s="187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5">
        <f t="shared" si="14"/>
        <v>-8.4335975842039015E-3</v>
      </c>
      <c r="I30" s="39"/>
      <c r="J30" s="39"/>
      <c r="K30" s="39"/>
      <c r="L30" s="157"/>
      <c r="W30" s="134"/>
    </row>
    <row r="31" spans="1:23" x14ac:dyDescent="0.25">
      <c r="B31" s="187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5">
        <f t="shared" si="14"/>
        <v>-4.5415743271612963E-2</v>
      </c>
      <c r="I31" s="39"/>
      <c r="J31" s="39"/>
      <c r="K31" s="39"/>
      <c r="L31" s="157"/>
      <c r="W31" s="134"/>
    </row>
    <row r="32" spans="1:23" x14ac:dyDescent="0.25">
      <c r="B32" s="187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5">
        <f t="shared" si="14"/>
        <v>-0.29200940070505282</v>
      </c>
      <c r="I32" s="39"/>
      <c r="J32" s="39"/>
      <c r="K32" s="39"/>
      <c r="L32" s="157"/>
      <c r="W32" s="134"/>
    </row>
    <row r="33" spans="1:23" x14ac:dyDescent="0.25">
      <c r="A33" s="29"/>
      <c r="B33" s="187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5">
        <f t="shared" si="14"/>
        <v>-0.2475803933812051</v>
      </c>
      <c r="I33" s="39"/>
      <c r="J33" s="39"/>
      <c r="K33" s="39"/>
      <c r="L33" s="157"/>
      <c r="W33" s="134"/>
    </row>
    <row r="34" spans="1:23" x14ac:dyDescent="0.25">
      <c r="B34" s="187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5">
        <f t="shared" si="14"/>
        <v>-0.20879842416283648</v>
      </c>
      <c r="I34" s="39"/>
      <c r="J34" s="39"/>
      <c r="K34" s="797" t="s">
        <v>965</v>
      </c>
      <c r="L34" s="157"/>
      <c r="W34" s="134"/>
    </row>
    <row r="35" spans="1:23" x14ac:dyDescent="0.25">
      <c r="B35" s="187">
        <v>43161</v>
      </c>
      <c r="C35" s="424">
        <v>400</v>
      </c>
      <c r="D35" s="845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5">
        <f t="shared" si="14"/>
        <v>-0.24878360150303502</v>
      </c>
      <c r="I35" s="39"/>
      <c r="J35" s="39"/>
      <c r="K35" s="39"/>
      <c r="L35" s="157"/>
      <c r="W35" s="134"/>
    </row>
    <row r="36" spans="1:23" x14ac:dyDescent="0.25">
      <c r="A36">
        <v>100</v>
      </c>
      <c r="B36" s="187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5">C36*(E36-D36)</f>
        <v>-3721.1200000000003</v>
      </c>
      <c r="G36" s="39">
        <f t="shared" ref="G36:G40" si="16">D36*C36</f>
        <v>13285.12</v>
      </c>
      <c r="H36" s="225">
        <f t="shared" ref="H36:H40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7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5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7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5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7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5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A40">
        <v>203</v>
      </c>
      <c r="B40" s="187">
        <v>43196</v>
      </c>
      <c r="C40" s="10">
        <v>500</v>
      </c>
      <c r="D40" s="39">
        <v>30.933</v>
      </c>
      <c r="E40" s="39">
        <v>22.85</v>
      </c>
      <c r="F40" s="39">
        <f t="shared" si="15"/>
        <v>-4041.4999999999991</v>
      </c>
      <c r="G40" s="39">
        <f t="shared" si="16"/>
        <v>15466.5</v>
      </c>
      <c r="H40" s="225">
        <f t="shared" si="17"/>
        <v>-0.26130669511524901</v>
      </c>
      <c r="I40" s="39">
        <v>30</v>
      </c>
      <c r="J40" s="39">
        <v>38</v>
      </c>
      <c r="K40" s="39"/>
      <c r="L40" s="39">
        <v>13.44</v>
      </c>
      <c r="O40" s="847" t="s">
        <v>78</v>
      </c>
      <c r="P40" s="847"/>
      <c r="T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25.927000000000003</v>
      </c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8">O42*$Q$4</f>
        <v>25.691300000000002</v>
      </c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8"/>
        <v>25.4556</v>
      </c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8"/>
        <v>25.219900000000003</v>
      </c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24.984200000000001</v>
      </c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24.7485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24.512800000000002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24.277100000000001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24.041399999999999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23.805700000000002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23.57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23.334299999999999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23.098600000000001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22.8629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22.627199999999998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22.391500000000001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22.155799999999999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21.920100000000001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21.6844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21.448700000000002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21.213000000000001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842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5" priority="21">
      <formula>F47&gt;0</formula>
    </cfRule>
    <cfRule type="expression" dxfId="864" priority="22">
      <formula>F47&lt;0</formula>
    </cfRule>
  </conditionalFormatting>
  <conditionalFormatting sqref="Q7">
    <cfRule type="expression" dxfId="863" priority="19">
      <formula>Q7&gt;0</formula>
    </cfRule>
    <cfRule type="expression" dxfId="862" priority="20">
      <formula>Q7&lt;0</formula>
    </cfRule>
  </conditionalFormatting>
  <conditionalFormatting sqref="Q8">
    <cfRule type="expression" dxfId="861" priority="17">
      <formula>Q8&gt;0</formula>
    </cfRule>
    <cfRule type="expression" dxfId="860" priority="18">
      <formula>Q8&lt;0</formula>
    </cfRule>
  </conditionalFormatting>
  <conditionalFormatting sqref="F25:F46">
    <cfRule type="expression" dxfId="859" priority="15">
      <formula>F25&gt;0</formula>
    </cfRule>
    <cfRule type="expression" dxfId="858" priority="16">
      <formula>F25&lt;0</formula>
    </cfRule>
  </conditionalFormatting>
  <conditionalFormatting sqref="H25:H46">
    <cfRule type="expression" dxfId="857" priority="13">
      <formula>H25&gt;0</formula>
    </cfRule>
    <cfRule type="expression" dxfId="856" priority="14">
      <formula>H25&lt;0</formula>
    </cfRule>
  </conditionalFormatting>
  <conditionalFormatting sqref="F89:F110">
    <cfRule type="expression" dxfId="855" priority="11">
      <formula>F89&gt;0</formula>
    </cfRule>
    <cfRule type="expression" dxfId="854" priority="12">
      <formula>F89&lt;0</formula>
    </cfRule>
  </conditionalFormatting>
  <conditionalFormatting sqref="H89:H110">
    <cfRule type="expression" dxfId="853" priority="9">
      <formula>H89&gt;0</formula>
    </cfRule>
    <cfRule type="expression" dxfId="852" priority="10">
      <formula>H89&lt;0</formula>
    </cfRule>
  </conditionalFormatting>
  <conditionalFormatting sqref="Q10">
    <cfRule type="expression" dxfId="851" priority="7">
      <formula>Q10&gt;0</formula>
    </cfRule>
    <cfRule type="expression" dxfId="850" priority="8">
      <formula>Q10&lt;0</formula>
    </cfRule>
  </conditionalFormatting>
  <conditionalFormatting sqref="J25:J38">
    <cfRule type="expression" dxfId="849" priority="5">
      <formula>J25&gt;0</formula>
    </cfRule>
    <cfRule type="expression" dxfId="848" priority="6">
      <formula>J25&lt;0</formula>
    </cfRule>
  </conditionalFormatting>
  <conditionalFormatting sqref="K25:K38">
    <cfRule type="expression" dxfId="847" priority="3">
      <formula>K25&gt;0</formula>
    </cfRule>
    <cfRule type="expression" dxfId="846" priority="4">
      <formula>K25&lt;0</formula>
    </cfRule>
  </conditionalFormatting>
  <conditionalFormatting sqref="L25:L38">
    <cfRule type="expression" dxfId="845" priority="1">
      <formula>L25&gt;0</formula>
    </cfRule>
    <cfRule type="expression" dxfId="8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8">
        <v>42568</v>
      </c>
      <c r="U2" s="124" t="s">
        <v>242</v>
      </c>
      <c r="V2" s="16"/>
    </row>
    <row r="3" spans="1:3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N3" s="4"/>
      <c r="O3" s="11" t="s">
        <v>58</v>
      </c>
      <c r="Q3" s="484">
        <f>IF(Q2=0, Q4, (F22-K22-M22)/Q2)</f>
        <v>53.39</v>
      </c>
      <c r="T3" s="1">
        <v>42621</v>
      </c>
      <c r="U3" s="33" t="s">
        <v>258</v>
      </c>
      <c r="AC3" s="228"/>
      <c r="AF3" s="228"/>
    </row>
    <row r="4" spans="1:3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N4" s="4"/>
      <c r="O4" s="11" t="s">
        <v>66</v>
      </c>
      <c r="Q4" s="195">
        <v>53.39</v>
      </c>
      <c r="R4" s="478">
        <v>3.5700000000000003E-2</v>
      </c>
      <c r="T4" s="1">
        <v>42627</v>
      </c>
      <c r="U4" s="33" t="s">
        <v>258</v>
      </c>
      <c r="AC4" s="228"/>
      <c r="AF4" s="228"/>
    </row>
    <row r="5" spans="1:33" x14ac:dyDescent="0.25">
      <c r="B5" s="480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8"/>
      <c r="AF5" s="228"/>
    </row>
    <row r="6" spans="1:33" x14ac:dyDescent="0.25">
      <c r="B6" s="480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469</v>
      </c>
      <c r="AC6" s="228"/>
      <c r="AF6" s="228"/>
    </row>
    <row r="7" spans="1:33" x14ac:dyDescent="0.25">
      <c r="G7" s="72"/>
      <c r="H7" s="179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9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524</v>
      </c>
      <c r="AC8" s="228"/>
      <c r="AF8" s="228"/>
      <c r="AG8" s="228"/>
    </row>
    <row r="9" spans="1:33" x14ac:dyDescent="0.25">
      <c r="B9" s="480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68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8"/>
      <c r="AF10" s="228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8"/>
      <c r="AF12" s="228"/>
    </row>
    <row r="13" spans="1:33" x14ac:dyDescent="0.25">
      <c r="B13" s="480"/>
      <c r="C13" s="4"/>
      <c r="D13" s="3"/>
      <c r="E13" s="3"/>
      <c r="F13" s="3"/>
      <c r="G13" s="85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0"/>
      <c r="C14" s="4"/>
      <c r="D14" s="3"/>
      <c r="E14" s="3"/>
      <c r="F14" s="3"/>
      <c r="G14" s="851"/>
      <c r="H14" s="4"/>
      <c r="I14" s="3"/>
      <c r="J14" s="3"/>
      <c r="K14" s="3"/>
      <c r="L14" s="4"/>
      <c r="M14" s="4"/>
      <c r="N14" s="4"/>
      <c r="AC14" s="228"/>
      <c r="AF14" s="228"/>
      <c r="AG14" s="228"/>
    </row>
    <row r="15" spans="1:33" x14ac:dyDescent="0.25">
      <c r="B15" s="48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8"/>
      <c r="AF18" s="228"/>
    </row>
    <row r="19" spans="1:32" x14ac:dyDescent="0.25">
      <c r="B19" s="48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4" t="s">
        <v>194</v>
      </c>
      <c r="B23" s="345"/>
      <c r="C23" s="346">
        <f>SumByColor($A$23,C2:C21)</f>
        <v>0</v>
      </c>
      <c r="D23" s="346"/>
      <c r="E23" s="346"/>
      <c r="F23" s="347">
        <f>SumByColor($A$23,F2:F21)</f>
        <v>0</v>
      </c>
      <c r="G23" s="346"/>
      <c r="H23" s="346">
        <f>SumByColor($A$23,H2:H21)</f>
        <v>0</v>
      </c>
      <c r="I23" s="346"/>
      <c r="J23" s="346"/>
      <c r="K23" s="347">
        <f>SumByColor($A$23,K2:K21)</f>
        <v>0</v>
      </c>
      <c r="L23" s="346"/>
      <c r="M23" s="34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4" t="s">
        <v>78</v>
      </c>
      <c r="P24" s="664"/>
      <c r="Q24" s="2"/>
    </row>
    <row r="25" spans="1:32" ht="15.75" thickTop="1" x14ac:dyDescent="0.25">
      <c r="B25" s="48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58.729000000000006</v>
      </c>
      <c r="Q25" s="2"/>
    </row>
    <row r="26" spans="1:32" x14ac:dyDescent="0.25">
      <c r="B26" s="48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58.195100000000004</v>
      </c>
      <c r="Q26" s="2"/>
    </row>
    <row r="27" spans="1:32" x14ac:dyDescent="0.25">
      <c r="B27" s="480"/>
      <c r="C27" s="4"/>
      <c r="D27" s="3"/>
      <c r="E27" s="3"/>
      <c r="F27" s="3"/>
      <c r="G27" s="72"/>
      <c r="H27" s="179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57.661200000000001</v>
      </c>
      <c r="Q27" s="2"/>
    </row>
    <row r="28" spans="1:32" x14ac:dyDescent="0.25">
      <c r="B28" s="480"/>
      <c r="C28" s="4"/>
      <c r="D28" s="3"/>
      <c r="E28" s="3"/>
      <c r="F28" s="3"/>
      <c r="G28" s="72"/>
      <c r="H28" s="179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57.127300000000005</v>
      </c>
      <c r="Q28" s="2"/>
    </row>
    <row r="29" spans="1:32" x14ac:dyDescent="0.25">
      <c r="A29" s="10" t="s">
        <v>721</v>
      </c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223" t="s">
        <v>154</v>
      </c>
      <c r="J29" s="223" t="s">
        <v>504</v>
      </c>
      <c r="K29" s="223" t="s">
        <v>471</v>
      </c>
      <c r="L29" s="223" t="s">
        <v>679</v>
      </c>
      <c r="M29" s="4"/>
      <c r="N29" s="4"/>
      <c r="O29" s="81">
        <v>1.06</v>
      </c>
      <c r="P29" s="81">
        <f t="shared" si="0"/>
        <v>56.593400000000003</v>
      </c>
    </row>
    <row r="30" spans="1:32" x14ac:dyDescent="0.25">
      <c r="A30" s="10"/>
      <c r="B30" s="187"/>
      <c r="C30" s="10"/>
      <c r="D30" s="194"/>
      <c r="E30" s="39"/>
      <c r="F30" s="39"/>
      <c r="G30" s="39"/>
      <c r="H30" s="226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56.0595</v>
      </c>
    </row>
    <row r="31" spans="1:32" x14ac:dyDescent="0.25">
      <c r="A31" s="10"/>
      <c r="B31" s="187"/>
      <c r="C31" s="10"/>
      <c r="D31" s="194"/>
      <c r="E31" s="39"/>
      <c r="F31" s="39"/>
      <c r="G31" s="39"/>
      <c r="H31" s="226"/>
      <c r="I31" s="39"/>
      <c r="J31" s="39"/>
      <c r="K31" s="39"/>
      <c r="L31" s="39"/>
      <c r="N31" s="4"/>
      <c r="O31" s="81">
        <v>1.04</v>
      </c>
      <c r="P31" s="81">
        <f t="shared" si="0"/>
        <v>55.525600000000004</v>
      </c>
    </row>
    <row r="32" spans="1:32" x14ac:dyDescent="0.25">
      <c r="A32" s="10"/>
      <c r="B32" s="187"/>
      <c r="C32" s="10"/>
      <c r="D32" s="194"/>
      <c r="E32" s="39"/>
      <c r="F32" s="39"/>
      <c r="G32" s="39"/>
      <c r="H32" s="226"/>
      <c r="I32" s="39"/>
      <c r="J32" s="39"/>
      <c r="K32" s="39"/>
      <c r="L32" s="39"/>
      <c r="N32" s="4"/>
      <c r="O32" s="81">
        <v>1.03</v>
      </c>
      <c r="P32" s="81">
        <f t="shared" si="0"/>
        <v>54.991700000000002</v>
      </c>
    </row>
    <row r="33" spans="1:32" x14ac:dyDescent="0.25">
      <c r="A33" s="10"/>
      <c r="B33" s="187"/>
      <c r="C33" s="10"/>
      <c r="D33" s="194"/>
      <c r="E33" s="39"/>
      <c r="F33" s="39"/>
      <c r="G33" s="39"/>
      <c r="H33" s="226"/>
      <c r="I33" s="39"/>
      <c r="J33" s="39"/>
      <c r="K33" s="39"/>
      <c r="L33" s="39"/>
      <c r="N33" s="4"/>
      <c r="O33" s="81">
        <v>1.02</v>
      </c>
      <c r="P33" s="81">
        <f t="shared" si="0"/>
        <v>54.457799999999999</v>
      </c>
    </row>
    <row r="34" spans="1:32" x14ac:dyDescent="0.25">
      <c r="A34" s="10"/>
      <c r="B34" s="187"/>
      <c r="C34" s="10"/>
      <c r="D34" s="194"/>
      <c r="E34" s="39"/>
      <c r="F34" s="39"/>
      <c r="G34" s="39"/>
      <c r="H34" s="226"/>
      <c r="I34" s="39"/>
      <c r="J34" s="39"/>
      <c r="K34" s="39"/>
      <c r="L34" s="39"/>
      <c r="N34" s="4"/>
      <c r="O34" s="81">
        <v>1.01</v>
      </c>
      <c r="P34" s="81">
        <f t="shared" si="0"/>
        <v>53.923900000000003</v>
      </c>
    </row>
    <row r="35" spans="1:32" x14ac:dyDescent="0.25">
      <c r="A35" s="10"/>
      <c r="B35" s="187"/>
      <c r="C35" s="10"/>
      <c r="D35" s="194"/>
      <c r="E35" s="39"/>
      <c r="F35" s="39"/>
      <c r="G35" s="39"/>
      <c r="H35" s="226"/>
      <c r="I35" s="39"/>
      <c r="J35" s="39"/>
      <c r="K35" s="39"/>
      <c r="L35" s="39"/>
      <c r="N35" s="4"/>
      <c r="O35" s="81">
        <v>1</v>
      </c>
      <c r="P35" s="81">
        <f t="shared" si="0"/>
        <v>53.39</v>
      </c>
    </row>
    <row r="36" spans="1:32" x14ac:dyDescent="0.25">
      <c r="A36" s="10"/>
      <c r="B36" s="187"/>
      <c r="C36" s="10"/>
      <c r="D36" s="194"/>
      <c r="E36" s="39"/>
      <c r="F36" s="39"/>
      <c r="G36" s="39"/>
      <c r="H36" s="226"/>
      <c r="I36" s="39"/>
      <c r="J36" s="39"/>
      <c r="K36" s="39"/>
      <c r="L36" s="39"/>
      <c r="N36" s="4"/>
      <c r="O36" s="81">
        <v>0.99</v>
      </c>
      <c r="P36" s="81">
        <f t="shared" si="0"/>
        <v>52.856099999999998</v>
      </c>
      <c r="AC36" s="228"/>
    </row>
    <row r="37" spans="1:32" x14ac:dyDescent="0.25">
      <c r="A37" s="10"/>
      <c r="B37" s="187"/>
      <c r="C37" s="10"/>
      <c r="D37" s="194"/>
      <c r="E37" s="39"/>
      <c r="F37" s="39"/>
      <c r="G37" s="39"/>
      <c r="H37" s="226"/>
      <c r="I37" s="39"/>
      <c r="J37" s="39"/>
      <c r="K37" s="39"/>
      <c r="L37" s="39"/>
      <c r="N37" s="4"/>
      <c r="O37" s="81">
        <v>0.98</v>
      </c>
      <c r="P37" s="81">
        <f t="shared" si="0"/>
        <v>52.322200000000002</v>
      </c>
    </row>
    <row r="38" spans="1:32" x14ac:dyDescent="0.25">
      <c r="A38" s="10"/>
      <c r="B38" s="187"/>
      <c r="C38" s="10"/>
      <c r="D38" s="194"/>
      <c r="E38" s="39"/>
      <c r="F38" s="39"/>
      <c r="G38" s="39"/>
      <c r="H38" s="226"/>
      <c r="I38" s="39"/>
      <c r="J38" s="39"/>
      <c r="K38" s="39"/>
      <c r="L38" s="39"/>
      <c r="N38" s="4"/>
      <c r="O38" s="81">
        <v>0.97</v>
      </c>
      <c r="P38" s="81">
        <f t="shared" si="0"/>
        <v>51.7883</v>
      </c>
    </row>
    <row r="39" spans="1:32" x14ac:dyDescent="0.25">
      <c r="A39" s="10"/>
      <c r="B39" s="187"/>
      <c r="C39" s="10"/>
      <c r="D39" s="194"/>
      <c r="E39" s="39"/>
      <c r="F39" s="39"/>
      <c r="G39" s="39"/>
      <c r="H39" s="226"/>
      <c r="I39" s="39"/>
      <c r="J39" s="39"/>
      <c r="K39" s="39"/>
      <c r="L39" s="39"/>
      <c r="N39" s="4"/>
      <c r="O39" s="81">
        <v>0.96</v>
      </c>
      <c r="P39" s="81">
        <f t="shared" si="0"/>
        <v>51.254399999999997</v>
      </c>
    </row>
    <row r="40" spans="1:32" x14ac:dyDescent="0.25">
      <c r="A40" s="10"/>
      <c r="B40" s="187"/>
      <c r="C40" s="10"/>
      <c r="D40" s="194"/>
      <c r="E40" s="39"/>
      <c r="F40" s="39"/>
      <c r="G40" s="39"/>
      <c r="H40" s="226"/>
      <c r="I40" s="39"/>
      <c r="J40" s="39"/>
      <c r="K40" s="39"/>
      <c r="L40" s="39"/>
      <c r="N40" s="4"/>
      <c r="O40" s="81">
        <v>0.95</v>
      </c>
      <c r="P40" s="81">
        <f t="shared" si="0"/>
        <v>50.720500000000001</v>
      </c>
    </row>
    <row r="41" spans="1:32" x14ac:dyDescent="0.25">
      <c r="A41" s="10"/>
      <c r="B41" s="187"/>
      <c r="C41" s="10"/>
      <c r="D41" s="194"/>
      <c r="E41" s="39"/>
      <c r="F41" s="39"/>
      <c r="G41" s="39"/>
      <c r="H41" s="226"/>
      <c r="I41" s="39"/>
      <c r="J41" s="39"/>
      <c r="K41" s="39"/>
      <c r="L41" s="39"/>
      <c r="N41" s="4"/>
      <c r="O41" s="81">
        <v>0.94</v>
      </c>
      <c r="P41" s="81">
        <f t="shared" si="0"/>
        <v>50.186599999999999</v>
      </c>
    </row>
    <row r="42" spans="1:32" x14ac:dyDescent="0.25">
      <c r="A42" s="10"/>
      <c r="B42" s="187"/>
      <c r="C42" s="10"/>
      <c r="D42" s="194"/>
      <c r="E42" s="39"/>
      <c r="F42" s="39"/>
      <c r="G42" s="39"/>
      <c r="H42" s="226"/>
      <c r="I42" s="39"/>
      <c r="J42" s="39"/>
      <c r="K42" s="39"/>
      <c r="L42" s="39"/>
      <c r="N42" s="4"/>
      <c r="O42" s="81">
        <v>0.93</v>
      </c>
      <c r="P42" s="81">
        <f t="shared" si="0"/>
        <v>49.652700000000003</v>
      </c>
      <c r="AC42" s="228"/>
      <c r="AF42" s="228"/>
    </row>
    <row r="43" spans="1:32" x14ac:dyDescent="0.25">
      <c r="A43" s="10"/>
      <c r="B43" s="187"/>
      <c r="C43" s="10"/>
      <c r="D43" s="194"/>
      <c r="E43" s="39"/>
      <c r="F43" s="39"/>
      <c r="G43" s="39"/>
      <c r="H43" s="226"/>
      <c r="I43" s="39"/>
      <c r="J43" s="39"/>
      <c r="K43" s="39"/>
      <c r="L43" s="39"/>
      <c r="N43" s="4"/>
      <c r="O43" s="81">
        <v>0.92</v>
      </c>
      <c r="P43" s="81">
        <f t="shared" si="0"/>
        <v>49.1188</v>
      </c>
    </row>
    <row r="44" spans="1:32" x14ac:dyDescent="0.25">
      <c r="N44" s="4"/>
      <c r="O44" s="81">
        <v>0.91</v>
      </c>
      <c r="P44" s="81">
        <f t="shared" si="0"/>
        <v>48.584900000000005</v>
      </c>
    </row>
    <row r="45" spans="1:32" x14ac:dyDescent="0.25">
      <c r="B45" s="48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48.051000000000002</v>
      </c>
    </row>
    <row r="46" spans="1:32" x14ac:dyDescent="0.25">
      <c r="B46" s="185" t="s">
        <v>113</v>
      </c>
      <c r="C46" s="185" t="s">
        <v>146</v>
      </c>
      <c r="D46" s="186" t="s">
        <v>145</v>
      </c>
      <c r="E46" s="188" t="s">
        <v>147</v>
      </c>
      <c r="F46" s="189" t="s">
        <v>65</v>
      </c>
      <c r="G46" s="223" t="s">
        <v>151</v>
      </c>
      <c r="H46" s="189" t="s">
        <v>88</v>
      </c>
      <c r="I46" s="223" t="s">
        <v>154</v>
      </c>
      <c r="J46" s="223" t="s">
        <v>290</v>
      </c>
      <c r="N46" s="4"/>
      <c r="S46" s="4"/>
      <c r="T46" s="4"/>
      <c r="U46" s="107"/>
    </row>
    <row r="47" spans="1:32" x14ac:dyDescent="0.25">
      <c r="B47" s="526">
        <v>42304</v>
      </c>
      <c r="C47" s="530">
        <v>5100</v>
      </c>
      <c r="D47" s="577">
        <v>17.29</v>
      </c>
      <c r="E47" s="531">
        <v>16.68</v>
      </c>
      <c r="F47" s="531">
        <f t="shared" ref="F47:F84" si="1">-C47*(D47-E47)</f>
        <v>-3110.9999999999973</v>
      </c>
      <c r="G47" s="531">
        <f t="shared" ref="G47:G56" si="2">IF(C47=0, 0,D47*C47)</f>
        <v>88179</v>
      </c>
      <c r="H47" s="578">
        <f t="shared" ref="H47:H61" si="3">IF(C47=0, D47, (E47-D47)/D47)</f>
        <v>-3.5280508964719459E-2</v>
      </c>
      <c r="I47" s="531"/>
      <c r="J47" s="531"/>
      <c r="N47" s="4"/>
      <c r="S47" s="4"/>
      <c r="T47" s="4"/>
      <c r="U47" s="107"/>
    </row>
    <row r="48" spans="1:32" x14ac:dyDescent="0.25">
      <c r="B48" s="526">
        <v>42305</v>
      </c>
      <c r="C48" s="530">
        <v>4900</v>
      </c>
      <c r="D48" s="577">
        <v>17.29</v>
      </c>
      <c r="E48" s="531">
        <v>16.920000000000002</v>
      </c>
      <c r="F48" s="531">
        <f t="shared" si="1"/>
        <v>-1812.9999999999875</v>
      </c>
      <c r="G48" s="531">
        <f t="shared" si="2"/>
        <v>84721</v>
      </c>
      <c r="H48" s="578">
        <f t="shared" si="3"/>
        <v>-2.1399652978600199E-2</v>
      </c>
      <c r="I48" s="531"/>
      <c r="J48" s="531"/>
      <c r="N48" s="4"/>
      <c r="S48" s="415"/>
      <c r="T48" s="415"/>
      <c r="U48" s="416"/>
    </row>
    <row r="49" spans="2:32" x14ac:dyDescent="0.25">
      <c r="B49" s="526">
        <v>42306</v>
      </c>
      <c r="C49" s="530">
        <v>5100</v>
      </c>
      <c r="D49" s="577">
        <v>17.25</v>
      </c>
      <c r="E49" s="531">
        <v>16.21</v>
      </c>
      <c r="F49" s="531">
        <f t="shared" si="1"/>
        <v>-5303.9999999999955</v>
      </c>
      <c r="G49" s="531">
        <f t="shared" si="2"/>
        <v>87975</v>
      </c>
      <c r="H49" s="578">
        <f t="shared" si="3"/>
        <v>-6.0289855072463719E-2</v>
      </c>
      <c r="I49" s="531"/>
      <c r="J49" s="531"/>
      <c r="N49" s="4"/>
      <c r="S49" s="4"/>
      <c r="T49" s="4"/>
      <c r="U49" s="227"/>
    </row>
    <row r="50" spans="2:32" x14ac:dyDescent="0.25">
      <c r="B50" s="526">
        <v>42311</v>
      </c>
      <c r="C50" s="530">
        <v>2710</v>
      </c>
      <c r="D50" s="577">
        <v>16.989999999999998</v>
      </c>
      <c r="E50" s="531">
        <v>17.84</v>
      </c>
      <c r="F50" s="531">
        <f t="shared" si="1"/>
        <v>2303.5000000000036</v>
      </c>
      <c r="G50" s="531">
        <f t="shared" si="2"/>
        <v>46042.899999999994</v>
      </c>
      <c r="H50" s="578">
        <f t="shared" si="3"/>
        <v>5.0029429075927105E-2</v>
      </c>
      <c r="I50" s="531"/>
      <c r="J50" s="531"/>
      <c r="N50" s="4"/>
      <c r="S50" s="4"/>
      <c r="T50" s="4"/>
      <c r="U50" s="227"/>
      <c r="AC50" s="228"/>
      <c r="AF50" s="228"/>
    </row>
    <row r="51" spans="2:32" x14ac:dyDescent="0.25">
      <c r="B51" s="526">
        <v>42312</v>
      </c>
      <c r="C51" s="530">
        <v>2902</v>
      </c>
      <c r="D51" s="577">
        <v>16.989999999999998</v>
      </c>
      <c r="E51" s="531">
        <v>17.440000000000001</v>
      </c>
      <c r="F51" s="531">
        <f t="shared" si="1"/>
        <v>1305.9000000000083</v>
      </c>
      <c r="G51" s="531">
        <f t="shared" si="2"/>
        <v>49304.979999999996</v>
      </c>
      <c r="H51" s="578">
        <f t="shared" si="3"/>
        <v>2.6486168334314473E-2</v>
      </c>
      <c r="I51" s="531"/>
      <c r="J51" s="531"/>
      <c r="N51" s="4"/>
      <c r="S51" s="4"/>
      <c r="T51" s="4"/>
      <c r="U51" s="227"/>
    </row>
    <row r="52" spans="2:32" x14ac:dyDescent="0.25">
      <c r="B52" s="526">
        <v>42313</v>
      </c>
      <c r="C52" s="530">
        <v>5710</v>
      </c>
      <c r="D52" s="577">
        <v>16.91</v>
      </c>
      <c r="E52" s="531">
        <v>16.510000000000002</v>
      </c>
      <c r="F52" s="531">
        <f t="shared" si="1"/>
        <v>-2283.9999999999918</v>
      </c>
      <c r="G52" s="531">
        <f t="shared" si="2"/>
        <v>96556.1</v>
      </c>
      <c r="H52" s="578">
        <f t="shared" si="3"/>
        <v>-2.3654642223536283E-2</v>
      </c>
      <c r="I52" s="531"/>
      <c r="J52" s="531"/>
      <c r="N52" s="4"/>
      <c r="S52" s="4"/>
      <c r="T52" s="4"/>
      <c r="U52" s="227"/>
    </row>
    <row r="53" spans="2:32" x14ac:dyDescent="0.25">
      <c r="B53" s="526">
        <v>42314</v>
      </c>
      <c r="C53" s="530">
        <v>4710</v>
      </c>
      <c r="D53" s="577">
        <v>16.95</v>
      </c>
      <c r="E53" s="531">
        <v>16.45</v>
      </c>
      <c r="F53" s="531">
        <f t="shared" si="1"/>
        <v>-2355</v>
      </c>
      <c r="G53" s="531">
        <f t="shared" si="2"/>
        <v>79834.5</v>
      </c>
      <c r="H53" s="578">
        <f t="shared" si="3"/>
        <v>-2.9498525073746312E-2</v>
      </c>
      <c r="I53" s="531"/>
      <c r="J53" s="531"/>
      <c r="N53" s="4"/>
      <c r="S53" s="4"/>
      <c r="T53" s="4"/>
      <c r="U53" s="227"/>
    </row>
    <row r="54" spans="2:32" x14ac:dyDescent="0.25">
      <c r="B54" s="526">
        <v>42317</v>
      </c>
      <c r="C54" s="530">
        <v>5060</v>
      </c>
      <c r="D54" s="577">
        <v>16.87</v>
      </c>
      <c r="E54" s="531">
        <v>15.84</v>
      </c>
      <c r="F54" s="531">
        <f t="shared" si="1"/>
        <v>-5211.8000000000056</v>
      </c>
      <c r="G54" s="531">
        <f t="shared" si="2"/>
        <v>85362.200000000012</v>
      </c>
      <c r="H54" s="578">
        <f t="shared" si="3"/>
        <v>-6.1055127445169E-2</v>
      </c>
      <c r="I54" s="531"/>
      <c r="J54" s="531"/>
      <c r="N54" s="4"/>
      <c r="S54" s="4"/>
      <c r="T54" s="4"/>
      <c r="U54" s="417"/>
      <c r="AC54" s="228"/>
      <c r="AF54" s="228"/>
    </row>
    <row r="55" spans="2:32" x14ac:dyDescent="0.25">
      <c r="B55" s="526">
        <v>42324</v>
      </c>
      <c r="C55" s="530">
        <v>6000</v>
      </c>
      <c r="D55" s="577">
        <v>16.54</v>
      </c>
      <c r="E55" s="531">
        <v>14.89</v>
      </c>
      <c r="F55" s="531">
        <f t="shared" si="1"/>
        <v>-9899.9999999999909</v>
      </c>
      <c r="G55" s="531">
        <f t="shared" si="2"/>
        <v>99240</v>
      </c>
      <c r="H55" s="578">
        <f t="shared" si="3"/>
        <v>-9.9758162031438849E-2</v>
      </c>
      <c r="I55" s="531"/>
      <c r="J55" s="531"/>
      <c r="N55" s="4"/>
      <c r="S55" s="4"/>
      <c r="T55" s="4"/>
      <c r="U55" s="107"/>
    </row>
    <row r="56" spans="2:32" x14ac:dyDescent="0.25">
      <c r="B56" s="526">
        <v>42325</v>
      </c>
      <c r="C56" s="530">
        <v>5060</v>
      </c>
      <c r="D56" s="577">
        <v>16.73</v>
      </c>
      <c r="E56" s="531">
        <v>15.28</v>
      </c>
      <c r="F56" s="531">
        <f t="shared" si="1"/>
        <v>-7337.0000000000055</v>
      </c>
      <c r="G56" s="531">
        <f t="shared" si="2"/>
        <v>84653.8</v>
      </c>
      <c r="H56" s="578">
        <f t="shared" si="3"/>
        <v>-8.6670651524208067E-2</v>
      </c>
      <c r="I56" s="531"/>
      <c r="J56" s="531"/>
      <c r="N56" s="4"/>
      <c r="S56" s="4"/>
      <c r="T56" s="4"/>
      <c r="U56" s="107"/>
    </row>
    <row r="57" spans="2:32" x14ac:dyDescent="0.25">
      <c r="B57" s="526">
        <v>42328</v>
      </c>
      <c r="C57" s="530">
        <v>6000</v>
      </c>
      <c r="D57" s="577">
        <v>16.52</v>
      </c>
      <c r="E57" s="531">
        <v>15.39</v>
      </c>
      <c r="F57" s="531">
        <f t="shared" si="1"/>
        <v>-6779.9999999999936</v>
      </c>
      <c r="G57" s="531">
        <f t="shared" ref="G57:G84" si="4">IF(C57=0, 0,D57*C57)</f>
        <v>99120</v>
      </c>
      <c r="H57" s="578">
        <f t="shared" si="3"/>
        <v>-6.8401937046004779E-2</v>
      </c>
      <c r="I57" s="531"/>
      <c r="J57" s="531"/>
      <c r="N57" s="4"/>
      <c r="S57" s="415"/>
      <c r="T57" s="415"/>
      <c r="U57" s="416"/>
    </row>
    <row r="58" spans="2:32" x14ac:dyDescent="0.25">
      <c r="B58" s="526">
        <v>42331</v>
      </c>
      <c r="C58" s="530">
        <v>5060</v>
      </c>
      <c r="D58" s="577">
        <v>16.68</v>
      </c>
      <c r="E58" s="531">
        <v>15.32</v>
      </c>
      <c r="F58" s="531">
        <f t="shared" si="1"/>
        <v>-6881.5999999999967</v>
      </c>
      <c r="G58" s="531">
        <f t="shared" si="4"/>
        <v>84400.8</v>
      </c>
      <c r="H58" s="578">
        <f t="shared" si="3"/>
        <v>-8.1534772182254162E-2</v>
      </c>
      <c r="I58" s="531"/>
      <c r="J58" s="531"/>
      <c r="N58" s="4"/>
      <c r="S58" s="4"/>
      <c r="T58" s="4"/>
      <c r="U58" s="227"/>
      <c r="AC58" s="228"/>
      <c r="AF58" s="228"/>
    </row>
    <row r="59" spans="2:32" x14ac:dyDescent="0.25">
      <c r="B59" s="526">
        <v>42338</v>
      </c>
      <c r="C59" s="530">
        <v>4710</v>
      </c>
      <c r="D59" s="577">
        <v>16.73</v>
      </c>
      <c r="E59" s="531">
        <v>15.93</v>
      </c>
      <c r="F59" s="531">
        <f t="shared" si="1"/>
        <v>-3768.0000000000032</v>
      </c>
      <c r="G59" s="531">
        <f t="shared" si="4"/>
        <v>78798.3</v>
      </c>
      <c r="H59" s="578">
        <f t="shared" si="3"/>
        <v>-4.7818290496114808E-2</v>
      </c>
      <c r="I59" s="531"/>
      <c r="J59" s="531"/>
      <c r="N59" s="4"/>
      <c r="S59" s="4"/>
      <c r="T59" s="4"/>
      <c r="U59" s="227"/>
    </row>
    <row r="60" spans="2:32" x14ac:dyDescent="0.25">
      <c r="B60" s="526">
        <v>42340</v>
      </c>
      <c r="C60" s="530">
        <v>5060</v>
      </c>
      <c r="D60" s="577">
        <v>16.670000000000002</v>
      </c>
      <c r="E60" s="531">
        <v>15.82</v>
      </c>
      <c r="F60" s="531">
        <f t="shared" si="1"/>
        <v>-4301.0000000000073</v>
      </c>
      <c r="G60" s="531">
        <f t="shared" si="4"/>
        <v>84350.200000000012</v>
      </c>
      <c r="H60" s="578">
        <f t="shared" si="3"/>
        <v>-5.0989802039592164E-2</v>
      </c>
      <c r="I60" s="531"/>
      <c r="J60" s="531"/>
      <c r="N60" s="4"/>
      <c r="S60" s="4"/>
      <c r="T60" s="4"/>
      <c r="U60" s="417"/>
    </row>
    <row r="61" spans="2:32" x14ac:dyDescent="0.25">
      <c r="B61" s="526">
        <v>42341</v>
      </c>
      <c r="C61" s="530">
        <v>5060</v>
      </c>
      <c r="D61" s="577">
        <v>16.64</v>
      </c>
      <c r="E61" s="531">
        <v>15.61</v>
      </c>
      <c r="F61" s="531">
        <f t="shared" si="1"/>
        <v>-5211.8000000000056</v>
      </c>
      <c r="G61" s="531">
        <f t="shared" si="4"/>
        <v>84198.400000000009</v>
      </c>
      <c r="H61" s="578">
        <f t="shared" si="3"/>
        <v>-6.1899038461538526E-2</v>
      </c>
      <c r="I61" s="531"/>
      <c r="J61" s="531"/>
      <c r="N61" s="4"/>
      <c r="S61" s="4"/>
      <c r="T61" s="4"/>
      <c r="U61" s="107"/>
    </row>
    <row r="62" spans="2:32" x14ac:dyDescent="0.25">
      <c r="B62" s="526">
        <v>42347</v>
      </c>
      <c r="C62" s="530">
        <v>5260</v>
      </c>
      <c r="D62" s="577">
        <v>16.559999999999999</v>
      </c>
      <c r="E62" s="531">
        <v>14.32</v>
      </c>
      <c r="F62" s="531">
        <f t="shared" si="1"/>
        <v>-11782.399999999992</v>
      </c>
      <c r="G62" s="531">
        <f t="shared" si="4"/>
        <v>87105.599999999991</v>
      </c>
      <c r="H62" s="578">
        <f t="shared" ref="H62:H84" si="5">IF(C62=0, D62, (E62-D62)/D62)</f>
        <v>-0.13526570048309169</v>
      </c>
      <c r="I62" s="531"/>
      <c r="J62" s="531"/>
      <c r="N62" s="4"/>
      <c r="S62" s="4"/>
      <c r="T62" s="4"/>
      <c r="U62" s="107"/>
    </row>
    <row r="63" spans="2:32" x14ac:dyDescent="0.25">
      <c r="B63" s="526">
        <v>42348</v>
      </c>
      <c r="C63" s="530">
        <v>5060</v>
      </c>
      <c r="D63" s="577">
        <v>16.63</v>
      </c>
      <c r="E63" s="531">
        <v>14.66</v>
      </c>
      <c r="F63" s="531">
        <f t="shared" si="1"/>
        <v>-9968.1999999999935</v>
      </c>
      <c r="G63" s="531">
        <f t="shared" si="4"/>
        <v>84147.799999999988</v>
      </c>
      <c r="H63" s="578">
        <f t="shared" si="5"/>
        <v>-0.11846061334936855</v>
      </c>
      <c r="I63" s="531"/>
      <c r="J63" s="531"/>
      <c r="N63" s="4"/>
      <c r="S63" s="4"/>
      <c r="T63" s="4"/>
      <c r="U63" s="107"/>
    </row>
    <row r="64" spans="2:32" x14ac:dyDescent="0.25">
      <c r="B64" s="526">
        <v>42349</v>
      </c>
      <c r="C64" s="530">
        <v>5060</v>
      </c>
      <c r="D64" s="577">
        <v>16.62</v>
      </c>
      <c r="E64" s="531">
        <v>14.04</v>
      </c>
      <c r="F64" s="531">
        <f t="shared" si="1"/>
        <v>-13054.80000000001</v>
      </c>
      <c r="G64" s="531">
        <f t="shared" si="4"/>
        <v>84097.200000000012</v>
      </c>
      <c r="H64" s="578">
        <f t="shared" si="5"/>
        <v>-0.15523465703971129</v>
      </c>
      <c r="I64" s="531"/>
      <c r="J64" s="531"/>
      <c r="N64" s="4"/>
    </row>
    <row r="65" spans="2:18" x14ac:dyDescent="0.25">
      <c r="B65" s="526">
        <v>42349</v>
      </c>
      <c r="C65" s="530">
        <v>6000</v>
      </c>
      <c r="D65" s="577">
        <v>16.22</v>
      </c>
      <c r="E65" s="531">
        <v>14.04</v>
      </c>
      <c r="F65" s="531">
        <f t="shared" si="1"/>
        <v>-13079.999999999998</v>
      </c>
      <c r="G65" s="531">
        <f t="shared" si="4"/>
        <v>97320</v>
      </c>
      <c r="H65" s="578">
        <f t="shared" si="5"/>
        <v>-0.13440197287299629</v>
      </c>
      <c r="I65" s="531"/>
      <c r="J65" s="531"/>
      <c r="N65" s="4"/>
    </row>
    <row r="66" spans="2:18" x14ac:dyDescent="0.25">
      <c r="B66" s="526">
        <v>42349</v>
      </c>
      <c r="C66" s="530">
        <v>6200</v>
      </c>
      <c r="D66" s="577">
        <v>16.14</v>
      </c>
      <c r="E66" s="531">
        <v>14.04</v>
      </c>
      <c r="F66" s="531">
        <f t="shared" si="1"/>
        <v>-13020.000000000009</v>
      </c>
      <c r="G66" s="531">
        <f t="shared" si="4"/>
        <v>100068</v>
      </c>
      <c r="H66" s="578">
        <f t="shared" si="5"/>
        <v>-0.13011152416356886</v>
      </c>
      <c r="I66" s="531"/>
      <c r="J66" s="531"/>
      <c r="N66" s="4"/>
    </row>
    <row r="67" spans="2:18" x14ac:dyDescent="0.25">
      <c r="B67" s="526">
        <v>42349</v>
      </c>
      <c r="C67" s="530">
        <v>5721</v>
      </c>
      <c r="D67" s="577">
        <v>16.32</v>
      </c>
      <c r="E67" s="531">
        <v>14.04</v>
      </c>
      <c r="F67" s="531">
        <f t="shared" si="1"/>
        <v>-13043.880000000006</v>
      </c>
      <c r="G67" s="531">
        <f t="shared" si="4"/>
        <v>93366.720000000001</v>
      </c>
      <c r="H67" s="578">
        <f t="shared" si="5"/>
        <v>-0.13970588235294124</v>
      </c>
      <c r="I67" s="531"/>
      <c r="J67" s="531"/>
      <c r="N67" s="4"/>
      <c r="O67" s="4"/>
      <c r="P67" s="4"/>
      <c r="Q67" s="4"/>
      <c r="R67" s="4"/>
    </row>
    <row r="68" spans="2:18" x14ac:dyDescent="0.25">
      <c r="B68" s="526">
        <v>42349</v>
      </c>
      <c r="C68" s="530">
        <v>5060</v>
      </c>
      <c r="D68" s="577">
        <v>16.6143</v>
      </c>
      <c r="E68" s="531">
        <v>14.04</v>
      </c>
      <c r="F68" s="531">
        <f t="shared" si="1"/>
        <v>-13025.958000000004</v>
      </c>
      <c r="G68" s="531">
        <f t="shared" si="4"/>
        <v>84068.358000000007</v>
      </c>
      <c r="H68" s="578">
        <f t="shared" si="5"/>
        <v>-0.15494483667683867</v>
      </c>
      <c r="I68" s="531"/>
      <c r="J68" s="531"/>
      <c r="O68" s="415"/>
      <c r="P68" s="4"/>
      <c r="Q68" s="4"/>
      <c r="R68" s="4"/>
    </row>
    <row r="69" spans="2:18" x14ac:dyDescent="0.25">
      <c r="B69" s="526">
        <v>42356</v>
      </c>
      <c r="C69" s="530">
        <v>5060</v>
      </c>
      <c r="D69" s="577">
        <v>16.596900000000002</v>
      </c>
      <c r="E69" s="531">
        <v>14.32</v>
      </c>
      <c r="F69" s="531">
        <f t="shared" si="1"/>
        <v>-11521.114000000007</v>
      </c>
      <c r="G69" s="531">
        <f t="shared" si="4"/>
        <v>83980.314000000013</v>
      </c>
      <c r="H69" s="578">
        <f t="shared" si="5"/>
        <v>-0.13718827009863294</v>
      </c>
      <c r="I69" s="531"/>
      <c r="J69" s="531"/>
      <c r="Q69" s="415"/>
      <c r="R69" s="415"/>
    </row>
    <row r="70" spans="2:18" x14ac:dyDescent="0.25">
      <c r="B70" s="526">
        <v>42356</v>
      </c>
      <c r="C70" s="530">
        <v>7000</v>
      </c>
      <c r="D70" s="577">
        <v>15.97</v>
      </c>
      <c r="E70" s="531">
        <v>14.34</v>
      </c>
      <c r="F70" s="531">
        <f t="shared" si="1"/>
        <v>-11410.000000000005</v>
      </c>
      <c r="G70" s="531">
        <f t="shared" si="4"/>
        <v>111790</v>
      </c>
      <c r="H70" s="578">
        <f t="shared" si="5"/>
        <v>-0.10206637445209772</v>
      </c>
      <c r="I70" s="531"/>
      <c r="J70" s="531"/>
      <c r="Q70" s="4"/>
      <c r="R70" s="4"/>
    </row>
    <row r="71" spans="2:18" x14ac:dyDescent="0.25">
      <c r="B71" s="526">
        <v>42356</v>
      </c>
      <c r="C71" s="530">
        <v>6000</v>
      </c>
      <c r="D71" s="577">
        <v>16.23</v>
      </c>
      <c r="E71" s="531">
        <v>14.36</v>
      </c>
      <c r="F71" s="531">
        <f t="shared" si="1"/>
        <v>-11220.000000000005</v>
      </c>
      <c r="G71" s="531">
        <f t="shared" si="4"/>
        <v>97380</v>
      </c>
      <c r="H71" s="578">
        <f t="shared" si="5"/>
        <v>-0.11521873074553302</v>
      </c>
      <c r="I71" s="531"/>
      <c r="J71" s="531"/>
      <c r="Q71" s="4"/>
      <c r="R71" s="4"/>
    </row>
    <row r="72" spans="2:18" x14ac:dyDescent="0.25">
      <c r="B72" s="526">
        <v>42357</v>
      </c>
      <c r="C72" s="530">
        <v>5500</v>
      </c>
      <c r="D72" s="577">
        <v>16.398399999999999</v>
      </c>
      <c r="E72" s="531">
        <v>14.36</v>
      </c>
      <c r="F72" s="531">
        <f t="shared" si="1"/>
        <v>-11211.199999999997</v>
      </c>
      <c r="G72" s="531">
        <f t="shared" si="4"/>
        <v>90191.2</v>
      </c>
      <c r="H72" s="578">
        <f t="shared" si="5"/>
        <v>-0.12430481022538781</v>
      </c>
      <c r="I72" s="531"/>
      <c r="J72" s="531"/>
      <c r="Q72" s="4"/>
      <c r="R72" s="4"/>
    </row>
    <row r="73" spans="2:18" x14ac:dyDescent="0.25">
      <c r="B73" s="526">
        <v>42359</v>
      </c>
      <c r="C73" s="530">
        <v>5060</v>
      </c>
      <c r="D73" s="577">
        <v>16.55</v>
      </c>
      <c r="E73" s="531">
        <v>14.64</v>
      </c>
      <c r="F73" s="531">
        <f t="shared" si="1"/>
        <v>-9664.6</v>
      </c>
      <c r="G73" s="531">
        <f t="shared" si="4"/>
        <v>83743</v>
      </c>
      <c r="H73" s="578">
        <f t="shared" si="5"/>
        <v>-0.11540785498489427</v>
      </c>
      <c r="I73" s="531"/>
      <c r="J73" s="531"/>
      <c r="Q73" s="4"/>
      <c r="R73" s="4"/>
    </row>
    <row r="74" spans="2:18" x14ac:dyDescent="0.25">
      <c r="B74" s="526">
        <v>42361</v>
      </c>
      <c r="C74" s="530">
        <v>5060</v>
      </c>
      <c r="D74" s="577">
        <v>16.5456</v>
      </c>
      <c r="E74" s="531">
        <v>14.61</v>
      </c>
      <c r="F74" s="531">
        <f t="shared" si="1"/>
        <v>-9794.1360000000041</v>
      </c>
      <c r="G74" s="531">
        <f t="shared" si="4"/>
        <v>83720.736000000004</v>
      </c>
      <c r="H74" s="578">
        <f t="shared" si="5"/>
        <v>-0.11698578474035398</v>
      </c>
      <c r="I74" s="531"/>
      <c r="J74" s="531"/>
      <c r="Q74" s="4"/>
      <c r="R74" s="4"/>
    </row>
    <row r="75" spans="2:18" x14ac:dyDescent="0.25">
      <c r="B75" s="526">
        <v>42377</v>
      </c>
      <c r="C75" s="530">
        <v>5260</v>
      </c>
      <c r="D75" s="577">
        <v>16.424099999999999</v>
      </c>
      <c r="E75" s="531">
        <v>13.33</v>
      </c>
      <c r="F75" s="531">
        <f t="shared" si="1"/>
        <v>-16274.965999999995</v>
      </c>
      <c r="G75" s="531">
        <f t="shared" si="4"/>
        <v>86390.766000000003</v>
      </c>
      <c r="H75" s="578">
        <f t="shared" si="5"/>
        <v>-0.18838779598273264</v>
      </c>
      <c r="I75" s="531"/>
      <c r="J75" s="531"/>
      <c r="Q75" s="4"/>
      <c r="R75" s="4"/>
    </row>
    <row r="76" spans="2:18" x14ac:dyDescent="0.25">
      <c r="B76" s="526">
        <v>42398</v>
      </c>
      <c r="C76" s="530">
        <v>5000</v>
      </c>
      <c r="D76" s="577">
        <v>16.72</v>
      </c>
      <c r="E76" s="531">
        <v>10.74</v>
      </c>
      <c r="F76" s="531">
        <f t="shared" si="1"/>
        <v>-29899.999999999993</v>
      </c>
      <c r="G76" s="531">
        <f t="shared" si="4"/>
        <v>83600</v>
      </c>
      <c r="H76" s="578">
        <f t="shared" si="5"/>
        <v>-0.35765550239234445</v>
      </c>
      <c r="I76" s="531"/>
      <c r="J76" s="531"/>
      <c r="Q76" s="4"/>
      <c r="R76" s="4"/>
    </row>
    <row r="77" spans="2:18" x14ac:dyDescent="0.25">
      <c r="B77" s="526">
        <v>42401</v>
      </c>
      <c r="C77" s="530">
        <v>5260</v>
      </c>
      <c r="D77" s="577">
        <v>16.419699999999999</v>
      </c>
      <c r="E77" s="531">
        <v>10.96</v>
      </c>
      <c r="F77" s="531">
        <f t="shared" si="1"/>
        <v>-28718.02199999999</v>
      </c>
      <c r="G77" s="531">
        <f t="shared" si="4"/>
        <v>86367.621999999988</v>
      </c>
      <c r="H77" s="578">
        <f t="shared" si="5"/>
        <v>-0.33250912014226802</v>
      </c>
      <c r="I77" s="531"/>
      <c r="J77" s="531"/>
      <c r="Q77" s="4"/>
      <c r="R77" s="4"/>
    </row>
    <row r="78" spans="2:18" x14ac:dyDescent="0.25">
      <c r="B78" s="526">
        <v>42416</v>
      </c>
      <c r="C78" s="530">
        <v>4760</v>
      </c>
      <c r="D78" s="577">
        <v>17.02</v>
      </c>
      <c r="E78" s="531">
        <v>10.65</v>
      </c>
      <c r="F78" s="531">
        <f t="shared" si="1"/>
        <v>-30321.199999999997</v>
      </c>
      <c r="G78" s="531">
        <f t="shared" si="4"/>
        <v>81015.199999999997</v>
      </c>
      <c r="H78" s="578">
        <f t="shared" si="5"/>
        <v>-0.37426556991774379</v>
      </c>
      <c r="I78" s="531"/>
      <c r="J78" s="531"/>
      <c r="Q78" s="415"/>
      <c r="R78" s="415"/>
    </row>
    <row r="79" spans="2:18" x14ac:dyDescent="0.25">
      <c r="B79" s="526">
        <v>42416</v>
      </c>
      <c r="C79" s="530">
        <v>4000</v>
      </c>
      <c r="D79" s="577">
        <v>18.1967</v>
      </c>
      <c r="E79" s="531">
        <v>10.744999999999999</v>
      </c>
      <c r="F79" s="531">
        <f t="shared" si="1"/>
        <v>-29806.800000000003</v>
      </c>
      <c r="G79" s="531">
        <f t="shared" si="4"/>
        <v>72786.8</v>
      </c>
      <c r="H79" s="578">
        <f t="shared" si="5"/>
        <v>-0.40950831744217364</v>
      </c>
      <c r="I79" s="531"/>
      <c r="J79" s="531"/>
      <c r="Q79" s="4"/>
      <c r="R79" s="4"/>
    </row>
    <row r="80" spans="2:18" x14ac:dyDescent="0.25">
      <c r="B80" s="526">
        <v>42418</v>
      </c>
      <c r="C80" s="530">
        <v>3600</v>
      </c>
      <c r="D80" s="577">
        <v>18.931999999999999</v>
      </c>
      <c r="E80" s="531">
        <v>10.81</v>
      </c>
      <c r="F80" s="531">
        <f t="shared" si="1"/>
        <v>-29239.199999999993</v>
      </c>
      <c r="G80" s="531">
        <f t="shared" si="4"/>
        <v>68155.199999999997</v>
      </c>
      <c r="H80" s="578">
        <f t="shared" si="5"/>
        <v>-0.42900908514684127</v>
      </c>
      <c r="I80" s="531"/>
      <c r="J80" s="531"/>
      <c r="Q80" s="4"/>
      <c r="R80" s="4"/>
    </row>
    <row r="81" spans="2:18" x14ac:dyDescent="0.25">
      <c r="B81" s="526">
        <v>42423</v>
      </c>
      <c r="C81" s="530">
        <v>5260</v>
      </c>
      <c r="D81" s="577">
        <v>16.356200000000001</v>
      </c>
      <c r="E81" s="531">
        <v>10.49</v>
      </c>
      <c r="F81" s="531">
        <f t="shared" si="1"/>
        <v>-30856.212000000007</v>
      </c>
      <c r="G81" s="531">
        <f t="shared" si="4"/>
        <v>86033.612000000008</v>
      </c>
      <c r="H81" s="578">
        <f t="shared" si="5"/>
        <v>-0.35865298785781541</v>
      </c>
      <c r="I81" s="531"/>
      <c r="J81" s="531"/>
      <c r="Q81" s="4"/>
      <c r="R81" s="4"/>
    </row>
    <row r="82" spans="2:18" x14ac:dyDescent="0.25">
      <c r="B82" s="526">
        <v>42431</v>
      </c>
      <c r="C82" s="530">
        <v>4760</v>
      </c>
      <c r="D82" s="577">
        <v>16.858899999999998</v>
      </c>
      <c r="E82" s="531">
        <v>11.68</v>
      </c>
      <c r="F82" s="531">
        <f t="shared" si="1"/>
        <v>-24651.563999999995</v>
      </c>
      <c r="G82" s="531">
        <f t="shared" si="4"/>
        <v>80248.363999999987</v>
      </c>
      <c r="H82" s="578">
        <f t="shared" si="5"/>
        <v>-0.30719086061368173</v>
      </c>
      <c r="I82" s="531"/>
      <c r="J82" s="531"/>
      <c r="Q82" s="4"/>
      <c r="R82" s="4"/>
    </row>
    <row r="83" spans="2:18" x14ac:dyDescent="0.25">
      <c r="B83" s="526">
        <v>42436</v>
      </c>
      <c r="C83" s="530">
        <v>5290</v>
      </c>
      <c r="D83" s="577">
        <v>16.258900000000001</v>
      </c>
      <c r="E83" s="531">
        <v>11.58</v>
      </c>
      <c r="F83" s="531">
        <f t="shared" si="1"/>
        <v>-24751.381000000001</v>
      </c>
      <c r="G83" s="531">
        <f t="shared" si="4"/>
        <v>86009.581000000006</v>
      </c>
      <c r="H83" s="578">
        <f t="shared" si="5"/>
        <v>-0.28777469570512154</v>
      </c>
      <c r="I83" s="531"/>
      <c r="J83" s="531"/>
      <c r="Q83" s="4"/>
      <c r="R83" s="4"/>
    </row>
    <row r="84" spans="2:18" x14ac:dyDescent="0.25">
      <c r="B84" s="526">
        <v>42444</v>
      </c>
      <c r="C84" s="530">
        <v>5290</v>
      </c>
      <c r="D84" s="577">
        <v>16.259</v>
      </c>
      <c r="E84" s="531">
        <v>10.85</v>
      </c>
      <c r="F84" s="531">
        <f t="shared" si="1"/>
        <v>-28613.610000000004</v>
      </c>
      <c r="G84" s="531">
        <f t="shared" si="4"/>
        <v>86010.11</v>
      </c>
      <c r="H84" s="578">
        <f t="shared" si="5"/>
        <v>-0.33267728642597949</v>
      </c>
      <c r="I84" s="531"/>
      <c r="J84" s="531"/>
      <c r="Q84" s="4"/>
      <c r="R84" s="4"/>
    </row>
    <row r="85" spans="2:18" x14ac:dyDescent="0.25">
      <c r="B85" s="526">
        <v>42446</v>
      </c>
      <c r="C85" s="530">
        <v>5295</v>
      </c>
      <c r="D85" s="577">
        <v>16.2348</v>
      </c>
      <c r="E85" s="531">
        <v>10.87</v>
      </c>
      <c r="F85" s="531">
        <f t="shared" ref="F85:F123" si="6">-C85*(D85-E85)</f>
        <v>-28406.616000000002</v>
      </c>
      <c r="G85" s="531">
        <f t="shared" ref="G85:G123" si="7">IF(C85=0, 0,D85*C85)</f>
        <v>85963.266000000003</v>
      </c>
      <c r="H85" s="578">
        <f t="shared" ref="H85:H123" si="8">IF(C85=0, D85, (E85-D85)/D85)</f>
        <v>-0.33045063690344201</v>
      </c>
      <c r="I85" s="531"/>
      <c r="J85" s="531"/>
    </row>
    <row r="86" spans="2:18" x14ac:dyDescent="0.25">
      <c r="B86" s="526">
        <v>42447</v>
      </c>
      <c r="C86" s="530">
        <v>5300</v>
      </c>
      <c r="D86" s="577">
        <v>16.211200000000002</v>
      </c>
      <c r="E86" s="531">
        <v>11.07</v>
      </c>
      <c r="F86" s="531">
        <f t="shared" si="6"/>
        <v>-27248.360000000008</v>
      </c>
      <c r="G86" s="531">
        <f t="shared" si="7"/>
        <v>85919.360000000015</v>
      </c>
      <c r="H86" s="578">
        <f t="shared" si="8"/>
        <v>-0.31713876825898152</v>
      </c>
      <c r="I86" s="531"/>
      <c r="J86" s="531"/>
    </row>
    <row r="87" spans="2:18" x14ac:dyDescent="0.25">
      <c r="B87" s="526">
        <v>42447</v>
      </c>
      <c r="C87" s="530">
        <v>5155</v>
      </c>
      <c r="D87" s="577">
        <v>16.352699999999999</v>
      </c>
      <c r="E87" s="531">
        <v>11.14</v>
      </c>
      <c r="F87" s="531">
        <f t="shared" si="6"/>
        <v>-26871.468499999992</v>
      </c>
      <c r="G87" s="531">
        <f t="shared" si="7"/>
        <v>84298.1685</v>
      </c>
      <c r="H87" s="578">
        <f t="shared" si="8"/>
        <v>-0.31876693145474438</v>
      </c>
      <c r="I87" s="531"/>
      <c r="J87" s="531"/>
    </row>
    <row r="88" spans="2:18" x14ac:dyDescent="0.25">
      <c r="B88" s="526">
        <v>42450</v>
      </c>
      <c r="C88" s="530">
        <v>3955</v>
      </c>
      <c r="D88" s="577">
        <v>17.7959</v>
      </c>
      <c r="E88" s="531">
        <v>11.54</v>
      </c>
      <c r="F88" s="531">
        <f t="shared" si="6"/>
        <v>-24742.084500000001</v>
      </c>
      <c r="G88" s="531">
        <f t="shared" si="7"/>
        <v>70382.784499999994</v>
      </c>
      <c r="H88" s="578">
        <f t="shared" si="8"/>
        <v>-0.3515360279614968</v>
      </c>
      <c r="I88" s="531"/>
      <c r="J88" s="531"/>
      <c r="N88" s="4"/>
    </row>
    <row r="89" spans="2:18" x14ac:dyDescent="0.25">
      <c r="B89" s="526">
        <v>42451</v>
      </c>
      <c r="C89" s="530">
        <v>5260</v>
      </c>
      <c r="D89" s="577">
        <v>16.2089</v>
      </c>
      <c r="E89" s="531">
        <v>11.44</v>
      </c>
      <c r="F89" s="531">
        <f t="shared" si="6"/>
        <v>-25084.414000000001</v>
      </c>
      <c r="G89" s="531">
        <f t="shared" si="7"/>
        <v>85258.813999999998</v>
      </c>
      <c r="H89" s="578">
        <f t="shared" si="8"/>
        <v>-0.29421490662537253</v>
      </c>
      <c r="I89" s="579"/>
      <c r="J89" s="579"/>
    </row>
    <row r="90" spans="2:18" x14ac:dyDescent="0.25">
      <c r="B90" s="526">
        <v>42451</v>
      </c>
      <c r="C90" s="530">
        <v>5360</v>
      </c>
      <c r="D90" s="577">
        <v>16.1083</v>
      </c>
      <c r="E90" s="531">
        <v>10.65</v>
      </c>
      <c r="F90" s="531">
        <f t="shared" si="6"/>
        <v>-29256.487999999998</v>
      </c>
      <c r="G90" s="531">
        <f t="shared" si="7"/>
        <v>86340.487999999998</v>
      </c>
      <c r="H90" s="578">
        <f t="shared" si="8"/>
        <v>-0.33885015799308427</v>
      </c>
      <c r="I90" s="579"/>
      <c r="J90" s="579"/>
    </row>
    <row r="91" spans="2:18" x14ac:dyDescent="0.25">
      <c r="B91" s="526">
        <v>42461</v>
      </c>
      <c r="C91" s="530">
        <v>5260</v>
      </c>
      <c r="D91" s="577">
        <v>16.207000000000001</v>
      </c>
      <c r="E91" s="531">
        <v>10.92</v>
      </c>
      <c r="F91" s="531">
        <f t="shared" si="6"/>
        <v>-27809.620000000003</v>
      </c>
      <c r="G91" s="531">
        <f t="shared" si="7"/>
        <v>85248.82</v>
      </c>
      <c r="H91" s="578">
        <f t="shared" si="8"/>
        <v>-0.32621706669957429</v>
      </c>
      <c r="I91" s="531"/>
      <c r="J91" s="531"/>
    </row>
    <row r="92" spans="2:18" x14ac:dyDescent="0.25">
      <c r="B92" s="526">
        <v>42465</v>
      </c>
      <c r="C92" s="530">
        <v>5260</v>
      </c>
      <c r="D92" s="577">
        <v>16.207000000000001</v>
      </c>
      <c r="E92" s="531">
        <v>10.4</v>
      </c>
      <c r="F92" s="531">
        <f t="shared" si="6"/>
        <v>-30544.820000000003</v>
      </c>
      <c r="G92" s="531">
        <f t="shared" si="7"/>
        <v>85248.82</v>
      </c>
      <c r="H92" s="578">
        <f t="shared" si="8"/>
        <v>-0.3583019682853088</v>
      </c>
      <c r="I92" s="531"/>
      <c r="J92" s="531"/>
    </row>
    <row r="93" spans="2:18" x14ac:dyDescent="0.25">
      <c r="B93" s="526">
        <v>42467</v>
      </c>
      <c r="C93" s="530">
        <v>5760</v>
      </c>
      <c r="D93" s="577">
        <v>15.703799999999999</v>
      </c>
      <c r="E93" s="531">
        <v>10.4</v>
      </c>
      <c r="F93" s="531">
        <f t="shared" si="6"/>
        <v>-30549.887999999995</v>
      </c>
      <c r="G93" s="531">
        <f t="shared" si="7"/>
        <v>90453.887999999992</v>
      </c>
      <c r="H93" s="578">
        <f t="shared" si="8"/>
        <v>-0.33773991008545695</v>
      </c>
      <c r="I93" s="531"/>
      <c r="J93" s="531"/>
    </row>
    <row r="94" spans="2:18" x14ac:dyDescent="0.25">
      <c r="B94" s="526">
        <v>42468</v>
      </c>
      <c r="C94" s="530">
        <v>5260</v>
      </c>
      <c r="D94" s="577">
        <v>16.167100000000001</v>
      </c>
      <c r="E94" s="531">
        <v>10.76</v>
      </c>
      <c r="F94" s="531">
        <f t="shared" si="6"/>
        <v>-28441.346000000009</v>
      </c>
      <c r="G94" s="531">
        <f t="shared" si="7"/>
        <v>85038.946000000011</v>
      </c>
      <c r="H94" s="578">
        <f t="shared" si="8"/>
        <v>-0.33445082915303309</v>
      </c>
      <c r="I94" s="579" t="s">
        <v>192</v>
      </c>
      <c r="J94" s="579"/>
    </row>
    <row r="95" spans="2:18" x14ac:dyDescent="0.25">
      <c r="B95" s="526">
        <v>42472</v>
      </c>
      <c r="C95" s="530">
        <v>5860</v>
      </c>
      <c r="D95" s="577">
        <v>15.567399999999999</v>
      </c>
      <c r="E95" s="531">
        <v>10.17</v>
      </c>
      <c r="F95" s="531">
        <f t="shared" si="6"/>
        <v>-31628.763999999996</v>
      </c>
      <c r="G95" s="531">
        <f t="shared" si="7"/>
        <v>91224.963999999993</v>
      </c>
      <c r="H95" s="578">
        <f t="shared" si="8"/>
        <v>-0.34671171807752094</v>
      </c>
      <c r="I95" s="531"/>
      <c r="J95" s="531"/>
    </row>
    <row r="96" spans="2:18" x14ac:dyDescent="0.25">
      <c r="B96" s="526">
        <v>42473</v>
      </c>
      <c r="C96" s="530">
        <v>5260</v>
      </c>
      <c r="D96" s="577">
        <v>16.1158</v>
      </c>
      <c r="E96" s="531">
        <v>10.88</v>
      </c>
      <c r="F96" s="531">
        <f t="shared" si="6"/>
        <v>-27540.307999999997</v>
      </c>
      <c r="G96" s="531">
        <f t="shared" si="7"/>
        <v>84769.108000000007</v>
      </c>
      <c r="H96" s="578">
        <f t="shared" si="8"/>
        <v>-0.32488613658645549</v>
      </c>
      <c r="I96" s="531"/>
      <c r="J96" s="531"/>
    </row>
    <row r="97" spans="2:16" x14ac:dyDescent="0.25">
      <c r="B97" s="526">
        <v>42484</v>
      </c>
      <c r="C97" s="530">
        <v>5260</v>
      </c>
      <c r="D97" s="577">
        <v>16.1158</v>
      </c>
      <c r="E97" s="531">
        <v>10.66</v>
      </c>
      <c r="F97" s="531">
        <f t="shared" si="6"/>
        <v>-28697.508000000002</v>
      </c>
      <c r="G97" s="531">
        <f t="shared" si="7"/>
        <v>84769.108000000007</v>
      </c>
      <c r="H97" s="578">
        <f t="shared" si="8"/>
        <v>-0.33853733603047942</v>
      </c>
      <c r="I97" s="531"/>
      <c r="J97" s="531"/>
    </row>
    <row r="98" spans="2:16" x14ac:dyDescent="0.25">
      <c r="B98" s="526">
        <v>42486</v>
      </c>
      <c r="C98" s="530">
        <v>4260</v>
      </c>
      <c r="D98" s="577">
        <v>17.2287</v>
      </c>
      <c r="E98" s="531">
        <v>11.51</v>
      </c>
      <c r="F98" s="531">
        <f t="shared" si="6"/>
        <v>-24361.662</v>
      </c>
      <c r="G98" s="531">
        <f t="shared" si="7"/>
        <v>73394.262000000002</v>
      </c>
      <c r="H98" s="578">
        <f t="shared" si="8"/>
        <v>-0.33192870036624933</v>
      </c>
      <c r="I98" s="531"/>
      <c r="J98" s="531"/>
    </row>
    <row r="99" spans="2:16" x14ac:dyDescent="0.25">
      <c r="B99" s="526">
        <v>42487</v>
      </c>
      <c r="C99" s="530">
        <v>5260</v>
      </c>
      <c r="D99" s="577">
        <v>16.099699999999999</v>
      </c>
      <c r="E99" s="531">
        <v>11.56</v>
      </c>
      <c r="F99" s="531">
        <f t="shared" si="6"/>
        <v>-23878.821999999989</v>
      </c>
      <c r="G99" s="531">
        <f t="shared" si="7"/>
        <v>84684.421999999991</v>
      </c>
      <c r="H99" s="578">
        <f t="shared" si="8"/>
        <v>-0.28197419827698644</v>
      </c>
      <c r="I99" s="531"/>
      <c r="J99" s="531"/>
      <c r="O99" s="4"/>
      <c r="P99" s="234"/>
    </row>
    <row r="100" spans="2:16" x14ac:dyDescent="0.25">
      <c r="B100" s="526">
        <v>42488</v>
      </c>
      <c r="C100" s="530">
        <v>5260</v>
      </c>
      <c r="D100" s="577">
        <v>16.078399999999998</v>
      </c>
      <c r="E100" s="531">
        <v>11.62</v>
      </c>
      <c r="F100" s="531">
        <f t="shared" si="6"/>
        <v>-23451.183999999997</v>
      </c>
      <c r="G100" s="531">
        <f t="shared" si="7"/>
        <v>84572.383999999991</v>
      </c>
      <c r="H100" s="578">
        <f t="shared" si="8"/>
        <v>-0.27729127276345905</v>
      </c>
      <c r="I100" s="531"/>
      <c r="J100" s="531"/>
      <c r="O100" s="4"/>
      <c r="P100" s="4"/>
    </row>
    <row r="101" spans="2:16" x14ac:dyDescent="0.25">
      <c r="B101" s="526">
        <v>42489</v>
      </c>
      <c r="C101" s="530">
        <v>5500</v>
      </c>
      <c r="D101" s="577">
        <v>15.848599999999999</v>
      </c>
      <c r="E101" s="531">
        <v>10.75</v>
      </c>
      <c r="F101" s="531">
        <f t="shared" si="6"/>
        <v>-28042.299999999996</v>
      </c>
      <c r="G101" s="531">
        <f t="shared" si="7"/>
        <v>87167.3</v>
      </c>
      <c r="H101" s="578">
        <f t="shared" si="8"/>
        <v>-0.32170664916774983</v>
      </c>
      <c r="I101" s="531"/>
      <c r="J101" s="531"/>
      <c r="O101" s="4"/>
      <c r="P101" s="4"/>
    </row>
    <row r="102" spans="2:16" x14ac:dyDescent="0.25">
      <c r="B102" s="526">
        <v>42494</v>
      </c>
      <c r="C102" s="530">
        <v>6500</v>
      </c>
      <c r="D102" s="577">
        <v>14.9526</v>
      </c>
      <c r="E102" s="531">
        <v>10</v>
      </c>
      <c r="F102" s="531">
        <f t="shared" si="6"/>
        <v>-32191.9</v>
      </c>
      <c r="G102" s="531">
        <f t="shared" si="7"/>
        <v>97191.900000000009</v>
      </c>
      <c r="H102" s="578">
        <f t="shared" si="8"/>
        <v>-0.33121998849698381</v>
      </c>
      <c r="I102" s="531"/>
      <c r="J102" s="531"/>
    </row>
    <row r="103" spans="2:16" x14ac:dyDescent="0.25">
      <c r="B103" s="526">
        <v>42495</v>
      </c>
      <c r="C103" s="530">
        <v>5500</v>
      </c>
      <c r="D103" s="577">
        <v>15.7966</v>
      </c>
      <c r="E103" s="531">
        <v>10.06</v>
      </c>
      <c r="F103" s="531">
        <f t="shared" si="6"/>
        <v>-31551.299999999996</v>
      </c>
      <c r="G103" s="531">
        <f t="shared" si="7"/>
        <v>86881.3</v>
      </c>
      <c r="H103" s="578">
        <f t="shared" si="8"/>
        <v>-0.363154096451135</v>
      </c>
      <c r="I103" s="531"/>
      <c r="J103" s="531"/>
    </row>
    <row r="104" spans="2:16" x14ac:dyDescent="0.25">
      <c r="B104" s="526">
        <v>42502</v>
      </c>
      <c r="C104" s="530">
        <v>8500</v>
      </c>
      <c r="D104" s="577">
        <v>13.6378</v>
      </c>
      <c r="E104" s="531">
        <v>9.6199999999999992</v>
      </c>
      <c r="F104" s="531">
        <f t="shared" si="6"/>
        <v>-34151.30000000001</v>
      </c>
      <c r="G104" s="531">
        <f t="shared" si="7"/>
        <v>115921.3</v>
      </c>
      <c r="H104" s="578">
        <f t="shared" si="8"/>
        <v>-0.2946076346624823</v>
      </c>
      <c r="I104" s="531"/>
      <c r="J104" s="531"/>
    </row>
    <row r="105" spans="2:16" x14ac:dyDescent="0.25">
      <c r="B105" s="526">
        <v>42503</v>
      </c>
      <c r="C105" s="530">
        <v>5500</v>
      </c>
      <c r="D105" s="577">
        <v>15.754899999999999</v>
      </c>
      <c r="E105" s="531">
        <v>9.58</v>
      </c>
      <c r="F105" s="531">
        <f t="shared" si="6"/>
        <v>-33961.949999999997</v>
      </c>
      <c r="G105" s="531">
        <f t="shared" si="7"/>
        <v>86651.95</v>
      </c>
      <c r="H105" s="578">
        <f t="shared" si="8"/>
        <v>-0.39193520745926663</v>
      </c>
      <c r="I105" s="531"/>
      <c r="J105" s="531"/>
    </row>
    <row r="106" spans="2:16" x14ac:dyDescent="0.25">
      <c r="B106" s="526">
        <v>42510</v>
      </c>
      <c r="C106" s="580">
        <v>5000</v>
      </c>
      <c r="D106" s="581">
        <v>16.255400000000002</v>
      </c>
      <c r="E106" s="531">
        <v>10.8</v>
      </c>
      <c r="F106" s="531">
        <f t="shared" si="6"/>
        <v>-27277.000000000004</v>
      </c>
      <c r="G106" s="531">
        <f t="shared" si="7"/>
        <v>81277.000000000015</v>
      </c>
      <c r="H106" s="578">
        <f t="shared" si="8"/>
        <v>-0.33560539882131479</v>
      </c>
      <c r="I106" s="531"/>
      <c r="J106" s="531"/>
    </row>
    <row r="107" spans="2:16" x14ac:dyDescent="0.25">
      <c r="B107" s="526">
        <v>42514</v>
      </c>
      <c r="C107" s="530">
        <v>4500</v>
      </c>
      <c r="D107" s="577">
        <v>16.752199999999998</v>
      </c>
      <c r="E107" s="531">
        <v>11.49</v>
      </c>
      <c r="F107" s="531">
        <f t="shared" si="6"/>
        <v>-23679.899999999991</v>
      </c>
      <c r="G107" s="531">
        <f t="shared" si="7"/>
        <v>75384.899999999994</v>
      </c>
      <c r="H107" s="578">
        <f t="shared" si="8"/>
        <v>-0.31411993648595399</v>
      </c>
      <c r="I107" s="531"/>
      <c r="J107" s="531"/>
    </row>
    <row r="108" spans="2:16" x14ac:dyDescent="0.25">
      <c r="B108" s="526">
        <v>42515</v>
      </c>
      <c r="C108" s="530">
        <v>4500</v>
      </c>
      <c r="D108" s="577">
        <v>16.746700000000001</v>
      </c>
      <c r="E108" s="531">
        <v>11.6</v>
      </c>
      <c r="F108" s="531">
        <f t="shared" si="6"/>
        <v>-23160.150000000005</v>
      </c>
      <c r="G108" s="531">
        <f t="shared" si="7"/>
        <v>75360.150000000009</v>
      </c>
      <c r="H108" s="578">
        <f t="shared" si="8"/>
        <v>-0.30732621949398992</v>
      </c>
      <c r="I108" s="531"/>
      <c r="J108" s="531"/>
    </row>
    <row r="109" spans="2:16" x14ac:dyDescent="0.25">
      <c r="B109" s="526">
        <v>42516</v>
      </c>
      <c r="C109" s="530">
        <v>4000</v>
      </c>
      <c r="D109" s="577">
        <v>17.344999999999999</v>
      </c>
      <c r="E109" s="531">
        <v>11.95</v>
      </c>
      <c r="F109" s="531">
        <f t="shared" si="6"/>
        <v>-21580</v>
      </c>
      <c r="G109" s="531">
        <f t="shared" si="7"/>
        <v>69380</v>
      </c>
      <c r="H109" s="578">
        <f t="shared" si="8"/>
        <v>-0.31104064571922746</v>
      </c>
      <c r="I109" s="531"/>
      <c r="J109" s="531"/>
    </row>
    <row r="110" spans="2:16" x14ac:dyDescent="0.25">
      <c r="B110" s="526">
        <v>42517</v>
      </c>
      <c r="C110" s="530">
        <v>4000</v>
      </c>
      <c r="D110" s="577">
        <v>17.322700000000001</v>
      </c>
      <c r="E110" s="531">
        <v>12.31</v>
      </c>
      <c r="F110" s="531">
        <f t="shared" si="6"/>
        <v>-20050.800000000003</v>
      </c>
      <c r="G110" s="531">
        <f t="shared" si="7"/>
        <v>69290.8</v>
      </c>
      <c r="H110" s="578">
        <f t="shared" si="8"/>
        <v>-0.28937174920768705</v>
      </c>
      <c r="I110" s="531"/>
      <c r="J110" s="531"/>
    </row>
    <row r="111" spans="2:16" x14ac:dyDescent="0.25">
      <c r="B111" s="526">
        <v>42522</v>
      </c>
      <c r="C111" s="530">
        <v>3375</v>
      </c>
      <c r="D111" s="577">
        <v>18.078900000000001</v>
      </c>
      <c r="E111" s="531">
        <v>13.09</v>
      </c>
      <c r="F111" s="531">
        <f t="shared" si="6"/>
        <v>-16837.537500000002</v>
      </c>
      <c r="G111" s="531">
        <f t="shared" si="7"/>
        <v>61016.287500000006</v>
      </c>
      <c r="H111" s="578">
        <f t="shared" si="8"/>
        <v>-0.27595152359933406</v>
      </c>
      <c r="I111" s="531"/>
      <c r="J111" s="531"/>
    </row>
    <row r="112" spans="2:16" x14ac:dyDescent="0.25">
      <c r="B112" s="526">
        <v>42524</v>
      </c>
      <c r="C112" s="530">
        <v>4000</v>
      </c>
      <c r="D112" s="577">
        <v>17.229099999999999</v>
      </c>
      <c r="E112" s="531">
        <v>12.86</v>
      </c>
      <c r="F112" s="531">
        <f t="shared" si="6"/>
        <v>-17476.399999999998</v>
      </c>
      <c r="G112" s="531">
        <f t="shared" si="7"/>
        <v>68916.399999999994</v>
      </c>
      <c r="H112" s="578">
        <f t="shared" si="8"/>
        <v>-0.25358840566251284</v>
      </c>
      <c r="I112" s="531"/>
      <c r="J112" s="531"/>
    </row>
    <row r="113" spans="2:10" x14ac:dyDescent="0.25">
      <c r="B113" s="526">
        <v>42530</v>
      </c>
      <c r="C113" s="530">
        <v>4000</v>
      </c>
      <c r="D113" s="577">
        <v>17.184100000000001</v>
      </c>
      <c r="E113" s="531">
        <v>12.51</v>
      </c>
      <c r="F113" s="531">
        <f t="shared" si="6"/>
        <v>-18696.400000000005</v>
      </c>
      <c r="G113" s="531">
        <f t="shared" si="7"/>
        <v>68736.400000000009</v>
      </c>
      <c r="H113" s="578">
        <f t="shared" si="8"/>
        <v>-0.27200144319458108</v>
      </c>
      <c r="I113" s="531"/>
      <c r="J113" s="531"/>
    </row>
    <row r="114" spans="2:10" x14ac:dyDescent="0.25">
      <c r="B114" s="526">
        <v>42532</v>
      </c>
      <c r="C114" s="530">
        <v>4760</v>
      </c>
      <c r="D114" s="577">
        <v>16.386800000000001</v>
      </c>
      <c r="E114" s="531">
        <v>12.14</v>
      </c>
      <c r="F114" s="531">
        <f t="shared" si="6"/>
        <v>-20214.768</v>
      </c>
      <c r="G114" s="531">
        <f t="shared" si="7"/>
        <v>78001.168000000005</v>
      </c>
      <c r="H114" s="578">
        <f t="shared" si="8"/>
        <v>-0.25915981155564233</v>
      </c>
      <c r="I114" s="531"/>
      <c r="J114" s="531"/>
    </row>
    <row r="115" spans="2:10" x14ac:dyDescent="0.25">
      <c r="B115" s="526">
        <v>42535</v>
      </c>
      <c r="C115" s="530">
        <v>4760</v>
      </c>
      <c r="D115" s="577">
        <v>16.387</v>
      </c>
      <c r="E115" s="531">
        <v>11.92</v>
      </c>
      <c r="F115" s="531">
        <f t="shared" si="6"/>
        <v>-21262.920000000002</v>
      </c>
      <c r="G115" s="531">
        <f t="shared" si="7"/>
        <v>78002.12</v>
      </c>
      <c r="H115" s="578">
        <f t="shared" si="8"/>
        <v>-0.27259412949289075</v>
      </c>
      <c r="I115" s="531"/>
      <c r="J115" s="531"/>
    </row>
    <row r="116" spans="2:10" x14ac:dyDescent="0.25">
      <c r="B116" s="526">
        <v>42537</v>
      </c>
      <c r="C116" s="530">
        <v>4760</v>
      </c>
      <c r="D116" s="577">
        <v>16.361599999999999</v>
      </c>
      <c r="E116" s="531">
        <v>11.95</v>
      </c>
      <c r="F116" s="531">
        <f t="shared" si="6"/>
        <v>-20999.216</v>
      </c>
      <c r="G116" s="531">
        <f t="shared" si="7"/>
        <v>77881.216</v>
      </c>
      <c r="H116" s="578">
        <f t="shared" si="8"/>
        <v>-0.26963133189908078</v>
      </c>
      <c r="I116" s="531"/>
      <c r="J116" s="531"/>
    </row>
    <row r="117" spans="2:10" x14ac:dyDescent="0.25">
      <c r="B117" s="526">
        <v>42541</v>
      </c>
      <c r="C117" s="530">
        <v>4600</v>
      </c>
      <c r="D117" s="577">
        <v>16.459700000000002</v>
      </c>
      <c r="E117" s="531">
        <v>12.32</v>
      </c>
      <c r="F117" s="531">
        <f t="shared" si="6"/>
        <v>-19042.620000000006</v>
      </c>
      <c r="G117" s="531">
        <f t="shared" si="7"/>
        <v>75714.62000000001</v>
      </c>
      <c r="H117" s="578">
        <f t="shared" si="8"/>
        <v>-0.25150519146764527</v>
      </c>
      <c r="I117" s="531"/>
      <c r="J117" s="531"/>
    </row>
    <row r="118" spans="2:10" x14ac:dyDescent="0.25">
      <c r="B118" s="526">
        <v>42542</v>
      </c>
      <c r="C118" s="530">
        <v>4000</v>
      </c>
      <c r="D118" s="577">
        <v>17.010200000000001</v>
      </c>
      <c r="E118" s="531">
        <v>12.75</v>
      </c>
      <c r="F118" s="531">
        <f t="shared" si="6"/>
        <v>-17040.800000000003</v>
      </c>
      <c r="G118" s="531">
        <f t="shared" si="7"/>
        <v>68040.800000000003</v>
      </c>
      <c r="H118" s="578">
        <f t="shared" si="8"/>
        <v>-0.25044973016190292</v>
      </c>
      <c r="I118" s="531"/>
      <c r="J118" s="531"/>
    </row>
    <row r="119" spans="2:10" x14ac:dyDescent="0.25">
      <c r="B119" s="526">
        <v>42544</v>
      </c>
      <c r="C119" s="530">
        <v>2500</v>
      </c>
      <c r="D119" s="577">
        <v>18.952100000000002</v>
      </c>
      <c r="E119" s="531">
        <v>14.05</v>
      </c>
      <c r="F119" s="531">
        <f t="shared" si="6"/>
        <v>-12255.250000000002</v>
      </c>
      <c r="G119" s="531">
        <f t="shared" si="7"/>
        <v>47380.250000000007</v>
      </c>
      <c r="H119" s="578">
        <f t="shared" si="8"/>
        <v>-0.25865735195571998</v>
      </c>
      <c r="I119" s="531"/>
      <c r="J119" s="531"/>
    </row>
    <row r="120" spans="2:10" x14ac:dyDescent="0.25">
      <c r="B120" s="526">
        <v>42545</v>
      </c>
      <c r="C120" s="530">
        <v>3000</v>
      </c>
      <c r="D120" s="577">
        <v>18.046700000000001</v>
      </c>
      <c r="E120" s="531">
        <v>13.52</v>
      </c>
      <c r="F120" s="531">
        <f t="shared" si="6"/>
        <v>-13580.100000000006</v>
      </c>
      <c r="G120" s="531">
        <f t="shared" si="7"/>
        <v>54140.100000000006</v>
      </c>
      <c r="H120" s="578">
        <f t="shared" si="8"/>
        <v>-0.25083256218588446</v>
      </c>
      <c r="I120" s="531"/>
      <c r="J120" s="531"/>
    </row>
    <row r="121" spans="2:10" x14ac:dyDescent="0.25">
      <c r="B121" s="526">
        <v>42545</v>
      </c>
      <c r="C121" s="530">
        <v>3500</v>
      </c>
      <c r="D121" s="577">
        <v>17.391500000000001</v>
      </c>
      <c r="E121" s="531">
        <v>13.46</v>
      </c>
      <c r="F121" s="531">
        <f t="shared" si="6"/>
        <v>-13760.25</v>
      </c>
      <c r="G121" s="531">
        <f t="shared" si="7"/>
        <v>60870.25</v>
      </c>
      <c r="H121" s="578">
        <f t="shared" si="8"/>
        <v>-0.22605870683954804</v>
      </c>
      <c r="I121" s="531"/>
      <c r="J121" s="531"/>
    </row>
    <row r="122" spans="2:10" x14ac:dyDescent="0.25">
      <c r="B122" s="526">
        <v>42545</v>
      </c>
      <c r="C122" s="530">
        <v>4000</v>
      </c>
      <c r="D122" s="577">
        <v>16.8825</v>
      </c>
      <c r="E122" s="531">
        <v>13.32</v>
      </c>
      <c r="F122" s="531">
        <f t="shared" si="6"/>
        <v>-14250</v>
      </c>
      <c r="G122" s="531">
        <f t="shared" si="7"/>
        <v>67530</v>
      </c>
      <c r="H122" s="578">
        <f t="shared" si="8"/>
        <v>-0.21101732563305198</v>
      </c>
      <c r="I122" s="531"/>
      <c r="J122" s="531"/>
    </row>
    <row r="123" spans="2:10" x14ac:dyDescent="0.25">
      <c r="B123" s="526">
        <v>42548</v>
      </c>
      <c r="C123" s="530">
        <v>4760</v>
      </c>
      <c r="D123" s="577">
        <v>16.2315</v>
      </c>
      <c r="E123" s="531">
        <v>12.23</v>
      </c>
      <c r="F123" s="531">
        <f t="shared" si="6"/>
        <v>-19047.14</v>
      </c>
      <c r="G123" s="531">
        <f t="shared" si="7"/>
        <v>77261.94</v>
      </c>
      <c r="H123" s="578">
        <f t="shared" si="8"/>
        <v>-0.246526815143394</v>
      </c>
      <c r="I123" s="531"/>
      <c r="J123" s="531"/>
    </row>
    <row r="124" spans="2:10" x14ac:dyDescent="0.25">
      <c r="B124" s="526">
        <v>42548</v>
      </c>
      <c r="C124" s="530">
        <v>5260</v>
      </c>
      <c r="D124" s="577">
        <v>15.884399999999999</v>
      </c>
      <c r="E124" s="531">
        <v>12.23</v>
      </c>
      <c r="F124" s="531">
        <f t="shared" ref="F124:F171" si="9">-C124*(D124-E124)</f>
        <v>-19222.143999999993</v>
      </c>
      <c r="G124" s="531">
        <f t="shared" ref="G124:G171" si="10">IF(C124=0, 0,D124*C124)</f>
        <v>83551.944000000003</v>
      </c>
      <c r="H124" s="578">
        <f t="shared" ref="H124:H171" si="11">IF(C124=0, D124, (E124-D124)/D124)</f>
        <v>-0.23006219939059702</v>
      </c>
      <c r="I124" s="531"/>
      <c r="J124" s="531"/>
    </row>
    <row r="125" spans="2:10" x14ac:dyDescent="0.25">
      <c r="B125" s="526">
        <v>42549</v>
      </c>
      <c r="C125" s="530">
        <v>4500</v>
      </c>
      <c r="D125" s="577">
        <v>16.3767</v>
      </c>
      <c r="E125" s="531">
        <v>12.99</v>
      </c>
      <c r="F125" s="531">
        <f t="shared" si="9"/>
        <v>-15240.149999999998</v>
      </c>
      <c r="G125" s="531">
        <f t="shared" si="10"/>
        <v>73695.149999999994</v>
      </c>
      <c r="H125" s="578">
        <f t="shared" si="11"/>
        <v>-0.2067999047427137</v>
      </c>
      <c r="I125" s="531"/>
      <c r="J125" s="531"/>
    </row>
    <row r="126" spans="2:10" x14ac:dyDescent="0.25">
      <c r="B126" s="526">
        <v>42550</v>
      </c>
      <c r="C126" s="530">
        <v>4500</v>
      </c>
      <c r="D126" s="577">
        <v>16.3767</v>
      </c>
      <c r="E126" s="531">
        <v>13.19</v>
      </c>
      <c r="F126" s="531">
        <f t="shared" si="9"/>
        <v>-14340.15</v>
      </c>
      <c r="G126" s="531">
        <f t="shared" si="10"/>
        <v>73695.149999999994</v>
      </c>
      <c r="H126" s="578">
        <f t="shared" si="11"/>
        <v>-0.19458743214444912</v>
      </c>
      <c r="I126" s="531">
        <v>16</v>
      </c>
      <c r="J126" s="531"/>
    </row>
    <row r="127" spans="2:10" x14ac:dyDescent="0.25">
      <c r="B127" s="526">
        <v>42551</v>
      </c>
      <c r="C127" s="530">
        <v>4000</v>
      </c>
      <c r="D127" s="577">
        <v>16.708500000000001</v>
      </c>
      <c r="E127" s="531">
        <v>13.76</v>
      </c>
      <c r="F127" s="531">
        <f t="shared" si="9"/>
        <v>-11794.000000000004</v>
      </c>
      <c r="G127" s="531">
        <f t="shared" si="10"/>
        <v>66834</v>
      </c>
      <c r="H127" s="578">
        <f t="shared" si="11"/>
        <v>-0.176467067660173</v>
      </c>
      <c r="I127" s="531"/>
      <c r="J127" s="531"/>
    </row>
    <row r="128" spans="2:10" x14ac:dyDescent="0.25">
      <c r="B128" s="526">
        <v>42551</v>
      </c>
      <c r="C128" s="530">
        <v>4500</v>
      </c>
      <c r="D128" s="577">
        <v>16.23</v>
      </c>
      <c r="E128" s="531">
        <v>13.76</v>
      </c>
      <c r="F128" s="531">
        <f t="shared" si="9"/>
        <v>-11115.000000000004</v>
      </c>
      <c r="G128" s="531">
        <f t="shared" si="10"/>
        <v>73035</v>
      </c>
      <c r="H128" s="578">
        <f t="shared" si="11"/>
        <v>-0.15218730745532968</v>
      </c>
      <c r="I128" s="531" t="s">
        <v>230</v>
      </c>
      <c r="J128" s="531"/>
    </row>
    <row r="129" spans="2:10" x14ac:dyDescent="0.25">
      <c r="B129" s="526">
        <v>42552</v>
      </c>
      <c r="C129" s="530">
        <v>4500</v>
      </c>
      <c r="D129" s="577">
        <v>16.23</v>
      </c>
      <c r="E129" s="531">
        <v>12.5</v>
      </c>
      <c r="F129" s="531">
        <f t="shared" si="9"/>
        <v>-16785.000000000004</v>
      </c>
      <c r="G129" s="531">
        <f t="shared" si="10"/>
        <v>73035</v>
      </c>
      <c r="H129" s="578">
        <f t="shared" si="11"/>
        <v>-0.22982131854590268</v>
      </c>
      <c r="I129" s="531"/>
      <c r="J129" s="531"/>
    </row>
    <row r="130" spans="2:10" x14ac:dyDescent="0.25">
      <c r="B130" s="526">
        <v>42556</v>
      </c>
      <c r="C130" s="580">
        <v>5000</v>
      </c>
      <c r="D130" s="581">
        <v>15.7963</v>
      </c>
      <c r="E130" s="531">
        <v>11.91</v>
      </c>
      <c r="F130" s="531">
        <f t="shared" si="9"/>
        <v>-19431.5</v>
      </c>
      <c r="G130" s="531">
        <f t="shared" si="10"/>
        <v>78981.5</v>
      </c>
      <c r="H130" s="578">
        <f t="shared" si="11"/>
        <v>-0.24602596810645533</v>
      </c>
      <c r="I130" s="531">
        <v>15.6</v>
      </c>
      <c r="J130" s="531"/>
    </row>
    <row r="131" spans="2:10" x14ac:dyDescent="0.25">
      <c r="B131" s="526">
        <v>42557</v>
      </c>
      <c r="C131" s="530">
        <v>4500</v>
      </c>
      <c r="D131" s="577">
        <v>16.142600000000002</v>
      </c>
      <c r="E131" s="531">
        <v>12.2</v>
      </c>
      <c r="F131" s="531">
        <f t="shared" si="9"/>
        <v>-17741.700000000012</v>
      </c>
      <c r="G131" s="531">
        <f t="shared" si="10"/>
        <v>72641.700000000012</v>
      </c>
      <c r="H131" s="578">
        <f t="shared" si="11"/>
        <v>-0.24423574888803551</v>
      </c>
      <c r="I131" s="531"/>
      <c r="J131" s="531"/>
    </row>
    <row r="132" spans="2:10" x14ac:dyDescent="0.25">
      <c r="B132" s="526">
        <v>42559</v>
      </c>
      <c r="C132" s="530">
        <v>4500</v>
      </c>
      <c r="D132" s="577">
        <v>16.142600000000002</v>
      </c>
      <c r="E132" s="531">
        <v>12.62</v>
      </c>
      <c r="F132" s="531">
        <f t="shared" si="9"/>
        <v>-15851.700000000012</v>
      </c>
      <c r="G132" s="531">
        <f t="shared" si="10"/>
        <v>72641.700000000012</v>
      </c>
      <c r="H132" s="578">
        <f t="shared" si="11"/>
        <v>-0.21821763532516461</v>
      </c>
      <c r="I132" s="531"/>
      <c r="J132" s="531"/>
    </row>
    <row r="133" spans="2:10" x14ac:dyDescent="0.25">
      <c r="B133" s="526">
        <v>42562</v>
      </c>
      <c r="C133" s="530">
        <v>4500</v>
      </c>
      <c r="D133" s="577">
        <v>16.143000000000001</v>
      </c>
      <c r="E133" s="531">
        <v>12.64</v>
      </c>
      <c r="F133" s="531">
        <f t="shared" si="9"/>
        <v>-15763.5</v>
      </c>
      <c r="G133" s="531">
        <f t="shared" si="10"/>
        <v>72643.5</v>
      </c>
      <c r="H133" s="578">
        <f t="shared" si="11"/>
        <v>-0.21699807966301182</v>
      </c>
      <c r="I133" s="531"/>
      <c r="J133" s="531"/>
    </row>
    <row r="134" spans="2:10" x14ac:dyDescent="0.25">
      <c r="B134" s="526">
        <v>42572</v>
      </c>
      <c r="C134" s="530">
        <v>4500</v>
      </c>
      <c r="D134" s="577">
        <v>16.143000000000001</v>
      </c>
      <c r="E134" s="531">
        <v>13.18</v>
      </c>
      <c r="F134" s="531">
        <f t="shared" si="9"/>
        <v>-13333.500000000004</v>
      </c>
      <c r="G134" s="531">
        <f t="shared" si="10"/>
        <v>72643.5</v>
      </c>
      <c r="H134" s="578">
        <f t="shared" si="11"/>
        <v>-0.18354704825621018</v>
      </c>
      <c r="I134" s="531"/>
      <c r="J134" s="531"/>
    </row>
    <row r="135" spans="2:10" x14ac:dyDescent="0.25">
      <c r="B135" s="526">
        <v>42576</v>
      </c>
      <c r="C135" s="530">
        <v>4000</v>
      </c>
      <c r="D135" s="577">
        <v>16.433</v>
      </c>
      <c r="E135" s="531">
        <v>13.92</v>
      </c>
      <c r="F135" s="531">
        <f t="shared" si="9"/>
        <v>-10052</v>
      </c>
      <c r="G135" s="531">
        <f t="shared" si="10"/>
        <v>65732</v>
      </c>
      <c r="H135" s="578">
        <f t="shared" si="11"/>
        <v>-0.15292399440150917</v>
      </c>
      <c r="I135" s="531"/>
      <c r="J135" s="531"/>
    </row>
    <row r="136" spans="2:10" x14ac:dyDescent="0.25">
      <c r="B136" s="526">
        <v>42577</v>
      </c>
      <c r="C136" s="530">
        <v>3200</v>
      </c>
      <c r="D136" s="577">
        <v>16.935400000000001</v>
      </c>
      <c r="E136" s="531">
        <v>14.67</v>
      </c>
      <c r="F136" s="531">
        <f t="shared" si="9"/>
        <v>-7249.2800000000043</v>
      </c>
      <c r="G136" s="531">
        <f t="shared" si="10"/>
        <v>54193.280000000006</v>
      </c>
      <c r="H136" s="578">
        <f t="shared" si="11"/>
        <v>-0.1337671386563058</v>
      </c>
      <c r="I136" s="531"/>
      <c r="J136" s="531"/>
    </row>
    <row r="137" spans="2:10" x14ac:dyDescent="0.25">
      <c r="B137" s="526">
        <v>42578</v>
      </c>
      <c r="C137" s="530">
        <v>3400</v>
      </c>
      <c r="D137" s="577">
        <v>16.7698</v>
      </c>
      <c r="E137" s="531">
        <v>14.19</v>
      </c>
      <c r="F137" s="531">
        <f t="shared" si="9"/>
        <v>-8771.3200000000015</v>
      </c>
      <c r="G137" s="531">
        <f t="shared" si="10"/>
        <v>57017.32</v>
      </c>
      <c r="H137" s="578">
        <f t="shared" si="11"/>
        <v>-0.15383606244558673</v>
      </c>
      <c r="I137" s="531"/>
      <c r="J137" s="531"/>
    </row>
    <row r="138" spans="2:10" x14ac:dyDescent="0.25">
      <c r="B138" s="526">
        <v>42579</v>
      </c>
      <c r="C138" s="530">
        <v>4000</v>
      </c>
      <c r="D138" s="577">
        <v>16.327300000000001</v>
      </c>
      <c r="E138" s="531">
        <v>13.81</v>
      </c>
      <c r="F138" s="531">
        <f t="shared" si="9"/>
        <v>-10069.200000000003</v>
      </c>
      <c r="G138" s="531">
        <f t="shared" si="10"/>
        <v>65309.200000000004</v>
      </c>
      <c r="H138" s="578">
        <f t="shared" si="11"/>
        <v>-0.15417735939193869</v>
      </c>
      <c r="I138" s="531"/>
      <c r="J138" s="531"/>
    </row>
    <row r="139" spans="2:10" x14ac:dyDescent="0.25">
      <c r="B139" s="526">
        <v>42580</v>
      </c>
      <c r="C139" s="530">
        <v>4500</v>
      </c>
      <c r="D139" s="577">
        <v>16.026499999999999</v>
      </c>
      <c r="E139" s="531">
        <v>13.74</v>
      </c>
      <c r="F139" s="531">
        <f t="shared" si="9"/>
        <v>-10289.249999999993</v>
      </c>
      <c r="G139" s="531">
        <f t="shared" si="10"/>
        <v>72119.25</v>
      </c>
      <c r="H139" s="578">
        <f t="shared" si="11"/>
        <v>-0.14266995289052498</v>
      </c>
      <c r="I139" s="531"/>
      <c r="J139" s="531"/>
    </row>
    <row r="140" spans="2:10" x14ac:dyDescent="0.25">
      <c r="B140" s="526">
        <v>42585</v>
      </c>
      <c r="C140" s="530">
        <v>4700</v>
      </c>
      <c r="D140" s="577">
        <v>15.9011</v>
      </c>
      <c r="E140" s="531">
        <v>13.4</v>
      </c>
      <c r="F140" s="531">
        <f t="shared" si="9"/>
        <v>-11755.169999999996</v>
      </c>
      <c r="G140" s="531">
        <f t="shared" si="10"/>
        <v>74735.17</v>
      </c>
      <c r="H140" s="578">
        <f t="shared" si="11"/>
        <v>-0.15729100502480955</v>
      </c>
      <c r="I140" s="531"/>
      <c r="J140" s="531"/>
    </row>
    <row r="141" spans="2:10" x14ac:dyDescent="0.25">
      <c r="B141" s="526">
        <v>42586</v>
      </c>
      <c r="C141" s="530">
        <v>4500</v>
      </c>
      <c r="D141" s="577">
        <v>15.990399999999999</v>
      </c>
      <c r="E141" s="531">
        <v>14.03</v>
      </c>
      <c r="F141" s="531">
        <f t="shared" si="9"/>
        <v>-8821.7999999999993</v>
      </c>
      <c r="G141" s="531">
        <f t="shared" si="10"/>
        <v>71956.800000000003</v>
      </c>
      <c r="H141" s="578">
        <f t="shared" si="11"/>
        <v>-0.12259855913548129</v>
      </c>
      <c r="I141" s="531" t="s">
        <v>263</v>
      </c>
      <c r="J141" s="531"/>
    </row>
    <row r="142" spans="2:10" x14ac:dyDescent="0.25">
      <c r="B142" s="526">
        <v>42587</v>
      </c>
      <c r="C142" s="530">
        <v>4000</v>
      </c>
      <c r="D142" s="577">
        <v>16.158000000000001</v>
      </c>
      <c r="E142" s="531">
        <v>14.52</v>
      </c>
      <c r="F142" s="531">
        <f t="shared" si="9"/>
        <v>-6552.0000000000064</v>
      </c>
      <c r="G142" s="531">
        <f t="shared" si="10"/>
        <v>64632.000000000007</v>
      </c>
      <c r="H142" s="578">
        <f t="shared" si="11"/>
        <v>-0.10137393241737848</v>
      </c>
      <c r="I142" s="531">
        <v>16</v>
      </c>
      <c r="J142" s="531"/>
    </row>
    <row r="143" spans="2:10" x14ac:dyDescent="0.25">
      <c r="B143" s="526">
        <v>42593</v>
      </c>
      <c r="C143" s="530">
        <v>4000</v>
      </c>
      <c r="D143" s="577">
        <v>16.158000000000001</v>
      </c>
      <c r="E143" s="531">
        <v>14.2</v>
      </c>
      <c r="F143" s="531">
        <f t="shared" si="9"/>
        <v>-7832.0000000000082</v>
      </c>
      <c r="G143" s="531">
        <f t="shared" si="10"/>
        <v>64632.000000000007</v>
      </c>
      <c r="H143" s="578">
        <f t="shared" si="11"/>
        <v>-0.12117836365886879</v>
      </c>
      <c r="I143" s="531"/>
      <c r="J143" s="531"/>
    </row>
    <row r="144" spans="2:10" x14ac:dyDescent="0.25">
      <c r="B144" s="526">
        <v>42597</v>
      </c>
      <c r="C144" s="530">
        <v>2000</v>
      </c>
      <c r="D144" s="577">
        <v>17.3687</v>
      </c>
      <c r="E144" s="531">
        <v>15.53</v>
      </c>
      <c r="F144" s="531">
        <f t="shared" si="9"/>
        <v>-3677.4000000000024</v>
      </c>
      <c r="G144" s="531">
        <f t="shared" si="10"/>
        <v>34737.4</v>
      </c>
      <c r="H144" s="578">
        <f t="shared" si="11"/>
        <v>-0.10586284523309177</v>
      </c>
      <c r="I144" s="531">
        <v>17</v>
      </c>
      <c r="J144" s="531"/>
    </row>
    <row r="145" spans="2:10" x14ac:dyDescent="0.25">
      <c r="B145" s="526">
        <v>42599</v>
      </c>
      <c r="C145" s="530">
        <v>2000</v>
      </c>
      <c r="D145" s="577">
        <v>17.331299999999999</v>
      </c>
      <c r="E145" s="531">
        <v>15.52</v>
      </c>
      <c r="F145" s="531">
        <f t="shared" si="9"/>
        <v>-3622.5999999999985</v>
      </c>
      <c r="G145" s="531">
        <f t="shared" si="10"/>
        <v>34662.6</v>
      </c>
      <c r="H145" s="578">
        <f t="shared" si="11"/>
        <v>-0.10451033678950797</v>
      </c>
      <c r="I145" s="531"/>
      <c r="J145" s="531"/>
    </row>
    <row r="146" spans="2:10" x14ac:dyDescent="0.25">
      <c r="B146" s="526">
        <v>42600</v>
      </c>
      <c r="C146" s="530">
        <v>2000</v>
      </c>
      <c r="D146" s="577">
        <v>17.331299999999999</v>
      </c>
      <c r="E146" s="531">
        <v>15.77</v>
      </c>
      <c r="F146" s="531">
        <f t="shared" si="9"/>
        <v>-3122.5999999999985</v>
      </c>
      <c r="G146" s="531">
        <f t="shared" si="10"/>
        <v>34662.6</v>
      </c>
      <c r="H146" s="578">
        <f t="shared" si="11"/>
        <v>-9.0085567730060601E-2</v>
      </c>
      <c r="I146" s="531"/>
      <c r="J146" s="531"/>
    </row>
    <row r="147" spans="2:10" x14ac:dyDescent="0.25">
      <c r="B147" s="526">
        <v>42601</v>
      </c>
      <c r="C147" s="530">
        <v>2000</v>
      </c>
      <c r="D147" s="577">
        <v>17.331299999999999</v>
      </c>
      <c r="E147" s="531">
        <v>16.25</v>
      </c>
      <c r="F147" s="531">
        <f t="shared" si="9"/>
        <v>-2162.5999999999976</v>
      </c>
      <c r="G147" s="531">
        <f t="shared" si="10"/>
        <v>34662.6</v>
      </c>
      <c r="H147" s="578">
        <f t="shared" si="11"/>
        <v>-6.2390011135921651E-2</v>
      </c>
      <c r="I147" s="531"/>
      <c r="J147" s="531"/>
    </row>
    <row r="148" spans="2:10" x14ac:dyDescent="0.25">
      <c r="B148" s="526">
        <v>42604</v>
      </c>
      <c r="C148" s="530">
        <v>2000</v>
      </c>
      <c r="D148" s="577">
        <v>17.331299999999999</v>
      </c>
      <c r="E148" s="531">
        <v>16.190000000000001</v>
      </c>
      <c r="F148" s="531">
        <f t="shared" si="9"/>
        <v>-2282.5999999999949</v>
      </c>
      <c r="G148" s="531">
        <f t="shared" si="10"/>
        <v>34662.6</v>
      </c>
      <c r="H148" s="578">
        <f t="shared" si="11"/>
        <v>-6.5851955710188939E-2</v>
      </c>
      <c r="I148" s="531"/>
      <c r="J148" s="531"/>
    </row>
    <row r="149" spans="2:10" x14ac:dyDescent="0.25">
      <c r="B149" s="526">
        <v>42607</v>
      </c>
      <c r="C149" s="530">
        <v>2000</v>
      </c>
      <c r="D149" s="577">
        <v>17.331299999999999</v>
      </c>
      <c r="E149" s="531">
        <v>16.2</v>
      </c>
      <c r="F149" s="531">
        <f t="shared" si="9"/>
        <v>-2262.599999999999</v>
      </c>
      <c r="G149" s="531">
        <f t="shared" si="10"/>
        <v>34662.6</v>
      </c>
      <c r="H149" s="578">
        <f t="shared" si="11"/>
        <v>-6.5274964947811168E-2</v>
      </c>
      <c r="I149" s="531"/>
      <c r="J149" s="531"/>
    </row>
    <row r="150" spans="2:10" x14ac:dyDescent="0.25">
      <c r="B150" s="526">
        <v>42609</v>
      </c>
      <c r="C150" s="530">
        <v>2000</v>
      </c>
      <c r="D150" s="577">
        <v>17.331299999999999</v>
      </c>
      <c r="E150" s="531">
        <v>16.91</v>
      </c>
      <c r="F150" s="531">
        <f t="shared" si="9"/>
        <v>-842.59999999999741</v>
      </c>
      <c r="G150" s="531">
        <f t="shared" si="10"/>
        <v>34662.6</v>
      </c>
      <c r="H150" s="578">
        <f t="shared" si="11"/>
        <v>-2.4308620818980612E-2</v>
      </c>
      <c r="I150" s="531"/>
      <c r="J150" s="531"/>
    </row>
    <row r="151" spans="2:10" x14ac:dyDescent="0.25">
      <c r="B151" s="526">
        <v>42612</v>
      </c>
      <c r="C151" s="530">
        <v>2000</v>
      </c>
      <c r="D151" s="577">
        <v>17.331299999999999</v>
      </c>
      <c r="E151" s="531">
        <v>16.739999999999998</v>
      </c>
      <c r="F151" s="531">
        <f t="shared" si="9"/>
        <v>-1182.6000000000008</v>
      </c>
      <c r="G151" s="531">
        <f t="shared" si="10"/>
        <v>34662.6</v>
      </c>
      <c r="H151" s="578">
        <f t="shared" si="11"/>
        <v>-3.4117463779404916E-2</v>
      </c>
      <c r="I151" s="531"/>
      <c r="J151" s="531"/>
    </row>
    <row r="152" spans="2:10" x14ac:dyDescent="0.25">
      <c r="B152" s="526">
        <v>42615</v>
      </c>
      <c r="C152" s="530">
        <v>2000</v>
      </c>
      <c r="D152" s="577">
        <v>17.331299999999999</v>
      </c>
      <c r="E152" s="531">
        <v>16.7</v>
      </c>
      <c r="F152" s="531">
        <f t="shared" si="9"/>
        <v>-1262.599999999999</v>
      </c>
      <c r="G152" s="531">
        <f t="shared" si="10"/>
        <v>34662.6</v>
      </c>
      <c r="H152" s="578">
        <f t="shared" si="11"/>
        <v>-3.6425426828916446E-2</v>
      </c>
      <c r="I152" s="531"/>
      <c r="J152" s="531"/>
    </row>
    <row r="153" spans="2:10" x14ac:dyDescent="0.25">
      <c r="B153" s="526">
        <v>42619</v>
      </c>
      <c r="C153" s="530">
        <v>2000</v>
      </c>
      <c r="D153" s="577">
        <v>17.273900000000001</v>
      </c>
      <c r="E153" s="531">
        <v>17.010000000000002</v>
      </c>
      <c r="F153" s="531">
        <f t="shared" si="9"/>
        <v>-527.79999999999916</v>
      </c>
      <c r="G153" s="531">
        <f t="shared" si="10"/>
        <v>34547.800000000003</v>
      </c>
      <c r="H153" s="578">
        <f t="shared" si="11"/>
        <v>-1.5277383798678906E-2</v>
      </c>
      <c r="I153" s="531">
        <v>17</v>
      </c>
      <c r="J153" s="531"/>
    </row>
    <row r="154" spans="2:10" x14ac:dyDescent="0.25">
      <c r="B154" s="526">
        <v>42620</v>
      </c>
      <c r="C154" s="530">
        <v>2000</v>
      </c>
      <c r="D154" s="577">
        <v>17.234000000000002</v>
      </c>
      <c r="E154" s="531">
        <v>17.16</v>
      </c>
      <c r="F154" s="531">
        <f t="shared" si="9"/>
        <v>-148.00000000000324</v>
      </c>
      <c r="G154" s="531">
        <f t="shared" si="10"/>
        <v>34468</v>
      </c>
      <c r="H154" s="578">
        <f t="shared" si="11"/>
        <v>-4.2938377625624706E-3</v>
      </c>
      <c r="I154" s="531">
        <v>17</v>
      </c>
      <c r="J154" s="531"/>
    </row>
    <row r="155" spans="2:10" x14ac:dyDescent="0.25">
      <c r="B155" s="526">
        <v>42621</v>
      </c>
      <c r="C155" s="530">
        <v>1500</v>
      </c>
      <c r="D155" s="577">
        <v>17.168800000000001</v>
      </c>
      <c r="E155" s="531">
        <v>17.45</v>
      </c>
      <c r="F155" s="531">
        <f t="shared" si="9"/>
        <v>421.79999999999751</v>
      </c>
      <c r="G155" s="531">
        <f t="shared" si="10"/>
        <v>25753.200000000001</v>
      </c>
      <c r="H155" s="578">
        <f t="shared" si="11"/>
        <v>1.6378547132006798E-2</v>
      </c>
      <c r="I155" s="531"/>
      <c r="J155" s="531"/>
    </row>
    <row r="156" spans="2:10" x14ac:dyDescent="0.25">
      <c r="B156" s="526">
        <v>42622</v>
      </c>
      <c r="C156" s="530">
        <v>2000</v>
      </c>
      <c r="D156" s="577">
        <v>17.137899999999998</v>
      </c>
      <c r="E156" s="531">
        <v>16.809999999999999</v>
      </c>
      <c r="F156" s="531">
        <f t="shared" si="9"/>
        <v>-655.79999999999927</v>
      </c>
      <c r="G156" s="531">
        <f t="shared" si="10"/>
        <v>34275.799999999996</v>
      </c>
      <c r="H156" s="578">
        <f t="shared" si="11"/>
        <v>-1.9133032635270348E-2</v>
      </c>
      <c r="I156" s="531">
        <v>17</v>
      </c>
      <c r="J156" s="531"/>
    </row>
    <row r="157" spans="2:10" x14ac:dyDescent="0.25">
      <c r="B157" s="526">
        <v>42625</v>
      </c>
      <c r="C157" s="530">
        <v>2000</v>
      </c>
      <c r="D157" s="577">
        <v>17.137899999999998</v>
      </c>
      <c r="E157" s="531">
        <v>17.149999999999999</v>
      </c>
      <c r="F157" s="531">
        <f t="shared" si="9"/>
        <v>24.200000000000443</v>
      </c>
      <c r="G157" s="531">
        <f t="shared" si="10"/>
        <v>34275.799999999996</v>
      </c>
      <c r="H157" s="578">
        <f t="shared" si="11"/>
        <v>7.0603749584256077E-4</v>
      </c>
      <c r="I157" s="531"/>
      <c r="J157" s="531"/>
    </row>
    <row r="158" spans="2:10" x14ac:dyDescent="0.25">
      <c r="B158" s="526">
        <v>42626</v>
      </c>
      <c r="C158" s="530">
        <v>2100</v>
      </c>
      <c r="D158" s="577">
        <v>17.1065</v>
      </c>
      <c r="E158" s="531">
        <v>16.75</v>
      </c>
      <c r="F158" s="531">
        <f t="shared" si="9"/>
        <v>-748.650000000001</v>
      </c>
      <c r="G158" s="531">
        <f t="shared" si="10"/>
        <v>35923.65</v>
      </c>
      <c r="H158" s="578">
        <f t="shared" si="11"/>
        <v>-2.0840031566948265E-2</v>
      </c>
      <c r="I158" s="531"/>
      <c r="J158" s="531"/>
    </row>
    <row r="159" spans="2:10" x14ac:dyDescent="0.25">
      <c r="B159" s="526">
        <v>42627</v>
      </c>
      <c r="C159" s="530">
        <v>2100</v>
      </c>
      <c r="D159" s="577">
        <v>17.1065</v>
      </c>
      <c r="E159" s="531">
        <v>16.93</v>
      </c>
      <c r="F159" s="531">
        <f t="shared" si="9"/>
        <v>-370.65000000000163</v>
      </c>
      <c r="G159" s="531">
        <f t="shared" si="10"/>
        <v>35923.65</v>
      </c>
      <c r="H159" s="578">
        <f t="shared" si="11"/>
        <v>-1.0317715488264739E-2</v>
      </c>
      <c r="I159" s="531"/>
      <c r="J159" s="531"/>
    </row>
    <row r="160" spans="2:10" x14ac:dyDescent="0.25">
      <c r="B160" s="526">
        <v>42628</v>
      </c>
      <c r="C160" s="530">
        <v>2100</v>
      </c>
      <c r="D160" s="577">
        <v>17.1065</v>
      </c>
      <c r="E160" s="531">
        <v>17.45</v>
      </c>
      <c r="F160" s="531">
        <f t="shared" si="9"/>
        <v>721.34999999999752</v>
      </c>
      <c r="G160" s="531">
        <f t="shared" si="10"/>
        <v>35923.65</v>
      </c>
      <c r="H160" s="578">
        <f t="shared" si="11"/>
        <v>2.008008651682102E-2</v>
      </c>
      <c r="I160" s="531"/>
      <c r="J160" s="531"/>
    </row>
    <row r="161" spans="2:10" x14ac:dyDescent="0.25">
      <c r="B161" s="526">
        <v>42629</v>
      </c>
      <c r="C161" s="530">
        <v>2100</v>
      </c>
      <c r="D161" s="577">
        <v>17.1065</v>
      </c>
      <c r="E161" s="531">
        <v>17.48</v>
      </c>
      <c r="F161" s="531">
        <f t="shared" si="9"/>
        <v>784.34999999999991</v>
      </c>
      <c r="G161" s="531">
        <f t="shared" si="10"/>
        <v>35923.65</v>
      </c>
      <c r="H161" s="578">
        <f t="shared" si="11"/>
        <v>2.1833805863268343E-2</v>
      </c>
      <c r="I161" s="531"/>
      <c r="J161" s="531"/>
    </row>
    <row r="162" spans="2:10" x14ac:dyDescent="0.25">
      <c r="B162" s="526">
        <v>42632</v>
      </c>
      <c r="C162" s="530">
        <v>2100</v>
      </c>
      <c r="D162" s="577">
        <v>17.106529999999999</v>
      </c>
      <c r="E162" s="531">
        <v>16.95</v>
      </c>
      <c r="F162" s="531">
        <f t="shared" si="9"/>
        <v>-328.71300000000014</v>
      </c>
      <c r="G162" s="531">
        <f t="shared" si="10"/>
        <v>35923.712999999996</v>
      </c>
      <c r="H162" s="578">
        <f t="shared" si="11"/>
        <v>-9.150306929576019E-3</v>
      </c>
      <c r="I162" s="531"/>
      <c r="J162" s="531"/>
    </row>
    <row r="163" spans="2:10" x14ac:dyDescent="0.25">
      <c r="B163" s="526">
        <v>42634</v>
      </c>
      <c r="C163" s="530">
        <v>1600</v>
      </c>
      <c r="D163" s="577">
        <v>16.943059999999999</v>
      </c>
      <c r="E163" s="531">
        <v>17.66</v>
      </c>
      <c r="F163" s="531">
        <f t="shared" si="9"/>
        <v>1147.1040000000016</v>
      </c>
      <c r="G163" s="531">
        <f t="shared" si="10"/>
        <v>27108.895999999997</v>
      </c>
      <c r="H163" s="578">
        <f t="shared" si="11"/>
        <v>4.2314670431433346E-2</v>
      </c>
      <c r="I163" s="531"/>
      <c r="J163" s="531"/>
    </row>
    <row r="164" spans="2:10" x14ac:dyDescent="0.25">
      <c r="B164" s="526">
        <v>42635</v>
      </c>
      <c r="C164" s="530">
        <v>1600</v>
      </c>
      <c r="D164" s="577">
        <v>16.943059999999999</v>
      </c>
      <c r="E164" s="531">
        <v>17.59</v>
      </c>
      <c r="F164" s="531">
        <f t="shared" si="9"/>
        <v>1035.1040000000012</v>
      </c>
      <c r="G164" s="531">
        <f t="shared" si="10"/>
        <v>27108.895999999997</v>
      </c>
      <c r="H164" s="578">
        <f t="shared" si="11"/>
        <v>3.8183185327797978E-2</v>
      </c>
      <c r="I164" s="531"/>
      <c r="J164" s="531"/>
    </row>
    <row r="165" spans="2:10" x14ac:dyDescent="0.25">
      <c r="B165" s="526">
        <v>42640</v>
      </c>
      <c r="C165" s="530">
        <v>1600</v>
      </c>
      <c r="D165" s="577">
        <v>16.943059999999999</v>
      </c>
      <c r="E165" s="531">
        <v>18</v>
      </c>
      <c r="F165" s="531">
        <f t="shared" si="9"/>
        <v>1691.1040000000014</v>
      </c>
      <c r="G165" s="531">
        <f t="shared" si="10"/>
        <v>27108.895999999997</v>
      </c>
      <c r="H165" s="578">
        <f t="shared" si="11"/>
        <v>6.2381883791947909E-2</v>
      </c>
      <c r="I165" s="531"/>
      <c r="J165" s="531"/>
    </row>
    <row r="166" spans="2:10" x14ac:dyDescent="0.25">
      <c r="B166" s="526">
        <v>42641</v>
      </c>
      <c r="C166" s="530">
        <v>1800</v>
      </c>
      <c r="D166" s="577">
        <v>16.979289999999999</v>
      </c>
      <c r="E166" s="531">
        <v>17.440000000000001</v>
      </c>
      <c r="F166" s="531">
        <f t="shared" si="9"/>
        <v>829.27800000000434</v>
      </c>
      <c r="G166" s="531">
        <f t="shared" si="10"/>
        <v>30562.721999999998</v>
      </c>
      <c r="H166" s="578">
        <f t="shared" si="11"/>
        <v>2.71336433973389E-2</v>
      </c>
      <c r="I166" s="531"/>
      <c r="J166" s="531"/>
    </row>
    <row r="167" spans="2:10" x14ac:dyDescent="0.25">
      <c r="B167" s="526">
        <v>42643</v>
      </c>
      <c r="C167" s="530">
        <v>1800</v>
      </c>
      <c r="D167" s="577">
        <v>16.979289999999999</v>
      </c>
      <c r="E167" s="531">
        <v>17.78</v>
      </c>
      <c r="F167" s="531">
        <f t="shared" si="9"/>
        <v>1441.2780000000041</v>
      </c>
      <c r="G167" s="531">
        <f t="shared" si="10"/>
        <v>30562.721999999998</v>
      </c>
      <c r="H167" s="578">
        <f t="shared" si="11"/>
        <v>4.7158037821369583E-2</v>
      </c>
      <c r="I167" s="531"/>
      <c r="J167" s="531"/>
    </row>
    <row r="168" spans="2:10" x14ac:dyDescent="0.25">
      <c r="B168" s="526">
        <v>42647</v>
      </c>
      <c r="C168" s="530">
        <v>2000</v>
      </c>
      <c r="D168" s="577">
        <v>16.989360000000001</v>
      </c>
      <c r="E168" s="531">
        <v>17.8</v>
      </c>
      <c r="F168" s="531">
        <f t="shared" si="9"/>
        <v>1621.2799999999988</v>
      </c>
      <c r="G168" s="531">
        <f t="shared" si="10"/>
        <v>33978.720000000001</v>
      </c>
      <c r="H168" s="578">
        <f t="shared" si="11"/>
        <v>4.7714569589437116E-2</v>
      </c>
      <c r="I168" s="582" t="s">
        <v>291</v>
      </c>
      <c r="J168" s="582" t="s">
        <v>289</v>
      </c>
    </row>
    <row r="169" spans="2:10" x14ac:dyDescent="0.25">
      <c r="B169" s="526">
        <v>42648</v>
      </c>
      <c r="C169" s="530">
        <v>2000</v>
      </c>
      <c r="D169" s="577">
        <v>16.989360000000001</v>
      </c>
      <c r="E169" s="531">
        <v>17.7</v>
      </c>
      <c r="F169" s="531">
        <f t="shared" si="9"/>
        <v>1421.2799999999959</v>
      </c>
      <c r="G169" s="531">
        <f t="shared" si="10"/>
        <v>33978.720000000001</v>
      </c>
      <c r="H169" s="578">
        <f t="shared" si="11"/>
        <v>4.1828532681631204E-2</v>
      </c>
      <c r="I169" s="531"/>
      <c r="J169" s="531"/>
    </row>
    <row r="170" spans="2:10" x14ac:dyDescent="0.25">
      <c r="B170" s="526">
        <v>42661</v>
      </c>
      <c r="C170" s="530">
        <v>2200</v>
      </c>
      <c r="D170" s="577">
        <v>16.96123</v>
      </c>
      <c r="E170" s="531">
        <v>17.41</v>
      </c>
      <c r="F170" s="531">
        <f t="shared" si="9"/>
        <v>987.2939999999993</v>
      </c>
      <c r="G170" s="531">
        <f t="shared" si="10"/>
        <v>37314.705999999998</v>
      </c>
      <c r="H170" s="578">
        <f t="shared" si="11"/>
        <v>2.6458576412205934E-2</v>
      </c>
      <c r="I170" s="531"/>
      <c r="J170" s="531"/>
    </row>
    <row r="171" spans="2:10" x14ac:dyDescent="0.25">
      <c r="B171" s="526">
        <v>42662</v>
      </c>
      <c r="C171" s="530">
        <v>2000</v>
      </c>
      <c r="D171" s="577">
        <v>16.933399999999999</v>
      </c>
      <c r="E171" s="531">
        <v>17.215</v>
      </c>
      <c r="F171" s="531">
        <f t="shared" si="9"/>
        <v>563.20000000000186</v>
      </c>
      <c r="G171" s="531">
        <f t="shared" si="10"/>
        <v>33866.799999999996</v>
      </c>
      <c r="H171" s="578">
        <f t="shared" si="11"/>
        <v>1.6629855787969397E-2</v>
      </c>
      <c r="I171" s="582">
        <v>16.8</v>
      </c>
      <c r="J171" s="531"/>
    </row>
    <row r="172" spans="2:10" x14ac:dyDescent="0.25">
      <c r="B172" s="526">
        <v>42664</v>
      </c>
      <c r="C172" s="530">
        <v>2000</v>
      </c>
      <c r="D172" s="577">
        <v>16.933399999999999</v>
      </c>
      <c r="E172" s="531">
        <v>16.940000000000001</v>
      </c>
      <c r="F172" s="531">
        <f t="shared" ref="F172:F177" si="12">-C172*(D172-E172)</f>
        <v>13.200000000004763</v>
      </c>
      <c r="G172" s="531">
        <f t="shared" ref="G172:G177" si="13">IF(C172=0, 0,D172*C172)</f>
        <v>33866.799999999996</v>
      </c>
      <c r="H172" s="578">
        <f t="shared" ref="H172:H177" si="14">IF(C172=0, D172, (E172-D172)/D172)</f>
        <v>3.8976224503067206E-4</v>
      </c>
      <c r="I172" s="531"/>
      <c r="J172" s="531"/>
    </row>
    <row r="173" spans="2:10" x14ac:dyDescent="0.25">
      <c r="B173" s="526">
        <v>42668</v>
      </c>
      <c r="C173" s="530">
        <v>1800</v>
      </c>
      <c r="D173" s="577">
        <v>16.864930000000001</v>
      </c>
      <c r="E173" s="531">
        <v>17.54</v>
      </c>
      <c r="F173" s="531">
        <f t="shared" si="12"/>
        <v>1215.1259999999966</v>
      </c>
      <c r="G173" s="531">
        <f t="shared" si="13"/>
        <v>30356.874000000003</v>
      </c>
      <c r="H173" s="578">
        <f t="shared" si="14"/>
        <v>4.0028034507110198E-2</v>
      </c>
      <c r="I173" s="531"/>
      <c r="J173" s="531"/>
    </row>
    <row r="174" spans="2:10" x14ac:dyDescent="0.25">
      <c r="B174" s="526">
        <v>42669</v>
      </c>
      <c r="C174" s="530">
        <v>1000</v>
      </c>
      <c r="D174" s="577">
        <v>16.149180000000001</v>
      </c>
      <c r="E174" s="531">
        <v>17.64</v>
      </c>
      <c r="F174" s="531">
        <f t="shared" si="12"/>
        <v>1490.8199999999993</v>
      </c>
      <c r="G174" s="531">
        <f t="shared" si="13"/>
        <v>16149.18</v>
      </c>
      <c r="H174" s="578">
        <f t="shared" si="14"/>
        <v>9.2315523141113007E-2</v>
      </c>
      <c r="I174" s="531"/>
      <c r="J174" s="531"/>
    </row>
    <row r="175" spans="2:10" x14ac:dyDescent="0.25">
      <c r="B175" s="526">
        <v>42670</v>
      </c>
      <c r="C175" s="530">
        <v>1800</v>
      </c>
      <c r="D175" s="577">
        <v>16.753990000000002</v>
      </c>
      <c r="E175" s="531">
        <v>17.53</v>
      </c>
      <c r="F175" s="531">
        <f t="shared" si="12"/>
        <v>1396.8179999999988</v>
      </c>
      <c r="G175" s="531">
        <f t="shared" si="13"/>
        <v>30157.182000000004</v>
      </c>
      <c r="H175" s="578">
        <f t="shared" si="14"/>
        <v>4.6317921880101358E-2</v>
      </c>
      <c r="I175" s="531"/>
      <c r="J175" s="531"/>
    </row>
    <row r="176" spans="2:10" x14ac:dyDescent="0.25">
      <c r="B176" s="526">
        <v>42670</v>
      </c>
      <c r="C176" s="530">
        <v>2000</v>
      </c>
      <c r="D176" s="577">
        <v>16.820589999999999</v>
      </c>
      <c r="E176" s="531">
        <v>17.53</v>
      </c>
      <c r="F176" s="531">
        <f t="shared" si="12"/>
        <v>1418.8200000000038</v>
      </c>
      <c r="G176" s="531">
        <f t="shared" si="13"/>
        <v>33641.18</v>
      </c>
      <c r="H176" s="578">
        <f t="shared" si="14"/>
        <v>4.2175096117318234E-2</v>
      </c>
      <c r="I176" s="582">
        <v>16.8</v>
      </c>
      <c r="J176" s="531"/>
    </row>
    <row r="177" spans="2:17" x14ac:dyDescent="0.25">
      <c r="B177" s="526">
        <v>42671</v>
      </c>
      <c r="C177" s="530">
        <v>2000</v>
      </c>
      <c r="D177" s="577">
        <v>16.752666999999999</v>
      </c>
      <c r="E177" s="531">
        <v>17.2</v>
      </c>
      <c r="F177" s="531">
        <f t="shared" si="12"/>
        <v>894.66600000000085</v>
      </c>
      <c r="G177" s="531">
        <f t="shared" si="13"/>
        <v>33505.333999999995</v>
      </c>
      <c r="H177" s="578">
        <f t="shared" si="14"/>
        <v>2.6702196133905155E-2</v>
      </c>
      <c r="I177" s="582" t="s">
        <v>301</v>
      </c>
      <c r="J177" s="531"/>
    </row>
    <row r="178" spans="2:17" x14ac:dyDescent="0.25">
      <c r="B178" s="526">
        <v>42672</v>
      </c>
      <c r="C178" s="530">
        <v>2000</v>
      </c>
      <c r="D178" s="577">
        <v>16.752666999999999</v>
      </c>
      <c r="E178" s="531">
        <v>17.16</v>
      </c>
      <c r="F178" s="531">
        <f>-C178*(D178-E178)</f>
        <v>814.66600000000255</v>
      </c>
      <c r="G178" s="531">
        <f>IF(C178=0, 0,D178*C178)</f>
        <v>33505.333999999995</v>
      </c>
      <c r="H178" s="578">
        <f>IF(C178=0, D178, (E178-D178)/D178)</f>
        <v>2.4314516608012402E-2</v>
      </c>
      <c r="I178" s="582" t="s">
        <v>301</v>
      </c>
      <c r="J178" s="531"/>
    </row>
    <row r="179" spans="2:17" x14ac:dyDescent="0.25">
      <c r="B179" s="526">
        <v>42675</v>
      </c>
      <c r="C179" s="530">
        <v>2000</v>
      </c>
      <c r="D179" s="577">
        <v>16.742699999999999</v>
      </c>
      <c r="E179" s="531">
        <v>17.2</v>
      </c>
      <c r="F179" s="531">
        <f>-C179*(D179-E179)</f>
        <v>914.60000000000014</v>
      </c>
      <c r="G179" s="531">
        <f>IF(C179=0, 0,D179*C179)</f>
        <v>33485.4</v>
      </c>
      <c r="H179" s="578">
        <f>IF(C179=0, D179, (E179-D179)/D179)</f>
        <v>2.731339628614262E-2</v>
      </c>
      <c r="I179" s="582" t="s">
        <v>301</v>
      </c>
      <c r="J179" s="531"/>
    </row>
    <row r="180" spans="2:17" x14ac:dyDescent="0.25">
      <c r="B180" s="526">
        <v>42676</v>
      </c>
      <c r="C180" s="530">
        <v>2000</v>
      </c>
      <c r="D180" s="577">
        <v>16.742699999999999</v>
      </c>
      <c r="E180" s="531">
        <v>16.675000000000001</v>
      </c>
      <c r="F180" s="531">
        <f t="shared" ref="F180:F191" si="15">-C180*(D180-E180)</f>
        <v>-135.39999999999708</v>
      </c>
      <c r="G180" s="531">
        <f t="shared" ref="G180:G191" si="16">IF(C180=0, 0,D180*C180)</f>
        <v>33485.4</v>
      </c>
      <c r="H180" s="578">
        <f t="shared" ref="H180:H191" si="17">IF(C180=0, D180, (E180-D180)/D180)</f>
        <v>-4.0435533098006019E-3</v>
      </c>
      <c r="I180" s="531"/>
      <c r="J180" s="531"/>
    </row>
    <row r="181" spans="2:17" x14ac:dyDescent="0.25">
      <c r="B181" s="526">
        <v>42678</v>
      </c>
      <c r="C181" s="530">
        <v>2000</v>
      </c>
      <c r="D181" s="577">
        <v>16.7227</v>
      </c>
      <c r="E181" s="531">
        <v>16.68</v>
      </c>
      <c r="F181" s="531">
        <f t="shared" si="15"/>
        <v>-85.39999999999992</v>
      </c>
      <c r="G181" s="531">
        <f t="shared" si="16"/>
        <v>33445.4</v>
      </c>
      <c r="H181" s="578">
        <f t="shared" si="17"/>
        <v>-2.5534154173668102E-3</v>
      </c>
      <c r="I181" s="582" t="s">
        <v>301</v>
      </c>
      <c r="J181" s="531"/>
    </row>
    <row r="182" spans="2:17" x14ac:dyDescent="0.25">
      <c r="B182" s="526">
        <v>42701</v>
      </c>
      <c r="C182" s="530">
        <v>1800</v>
      </c>
      <c r="D182" s="577">
        <v>16.627528999999999</v>
      </c>
      <c r="E182" s="531">
        <v>20.13</v>
      </c>
      <c r="F182" s="531">
        <f t="shared" si="15"/>
        <v>6304.4477999999999</v>
      </c>
      <c r="G182" s="531">
        <f t="shared" si="16"/>
        <v>29929.552199999998</v>
      </c>
      <c r="H182" s="578">
        <f t="shared" si="17"/>
        <v>0.21064290430646671</v>
      </c>
      <c r="I182" s="531"/>
      <c r="J182" s="531"/>
    </row>
    <row r="183" spans="2:17" x14ac:dyDescent="0.25">
      <c r="B183" s="526">
        <v>42702</v>
      </c>
      <c r="C183" s="530">
        <v>1650</v>
      </c>
      <c r="D183" s="577">
        <v>16.310980000000001</v>
      </c>
      <c r="E183" s="531">
        <v>20.059999999999999</v>
      </c>
      <c r="F183" s="531">
        <f t="shared" si="15"/>
        <v>6185.8829999999971</v>
      </c>
      <c r="G183" s="531">
        <f t="shared" si="16"/>
        <v>26913.117000000002</v>
      </c>
      <c r="H183" s="578">
        <f t="shared" si="17"/>
        <v>0.22984639794788528</v>
      </c>
      <c r="I183" s="531"/>
      <c r="J183" s="531"/>
    </row>
    <row r="184" spans="2:17" x14ac:dyDescent="0.25">
      <c r="B184" s="526">
        <v>42705</v>
      </c>
      <c r="C184" s="530">
        <v>1800</v>
      </c>
      <c r="D184" s="577">
        <v>16.541699999999999</v>
      </c>
      <c r="E184" s="531">
        <v>18.48</v>
      </c>
      <c r="F184" s="531">
        <f t="shared" si="15"/>
        <v>3488.9400000000032</v>
      </c>
      <c r="G184" s="531">
        <f t="shared" si="16"/>
        <v>29775.059999999998</v>
      </c>
      <c r="H184" s="578">
        <f t="shared" si="17"/>
        <v>0.11717659007236268</v>
      </c>
      <c r="I184" s="531"/>
      <c r="J184" s="531"/>
    </row>
    <row r="185" spans="2:17" x14ac:dyDescent="0.25">
      <c r="B185" s="526">
        <v>42705</v>
      </c>
      <c r="C185" s="530">
        <v>2000</v>
      </c>
      <c r="D185" s="577">
        <v>16.707599999999999</v>
      </c>
      <c r="E185" s="531">
        <v>18.48</v>
      </c>
      <c r="F185" s="531">
        <f t="shared" si="15"/>
        <v>3544.800000000002</v>
      </c>
      <c r="G185" s="531">
        <f t="shared" si="16"/>
        <v>33415.199999999997</v>
      </c>
      <c r="H185" s="578">
        <f t="shared" si="17"/>
        <v>0.10608345902463556</v>
      </c>
      <c r="I185" s="582">
        <v>16.48</v>
      </c>
      <c r="J185" s="531"/>
    </row>
    <row r="186" spans="2:17" x14ac:dyDescent="0.25">
      <c r="B186" s="526">
        <v>42706</v>
      </c>
      <c r="C186" s="530">
        <v>1800</v>
      </c>
      <c r="D186" s="577">
        <v>16.476199999999999</v>
      </c>
      <c r="E186" s="531">
        <v>18.79</v>
      </c>
      <c r="F186" s="531">
        <f t="shared" si="15"/>
        <v>4164.8400000000011</v>
      </c>
      <c r="G186" s="531">
        <f t="shared" si="16"/>
        <v>29657.159999999996</v>
      </c>
      <c r="H186" s="578">
        <f t="shared" si="17"/>
        <v>0.14043286680181113</v>
      </c>
      <c r="I186" s="531"/>
      <c r="J186" s="531"/>
    </row>
    <row r="187" spans="2:17" x14ac:dyDescent="0.25">
      <c r="B187" s="526">
        <v>42710</v>
      </c>
      <c r="C187" s="530">
        <v>1800</v>
      </c>
      <c r="D187" s="577">
        <v>16.450700000000001</v>
      </c>
      <c r="E187" s="531">
        <v>19.059999999999999</v>
      </c>
      <c r="F187" s="531">
        <f t="shared" si="15"/>
        <v>4696.7399999999952</v>
      </c>
      <c r="G187" s="531">
        <f t="shared" si="16"/>
        <v>29611.260000000002</v>
      </c>
      <c r="H187" s="578">
        <f t="shared" si="17"/>
        <v>0.1586133112876654</v>
      </c>
      <c r="I187" s="531"/>
      <c r="J187" s="531"/>
    </row>
    <row r="188" spans="2:17" x14ac:dyDescent="0.25">
      <c r="B188" s="526">
        <v>42711</v>
      </c>
      <c r="C188" s="530">
        <v>1000</v>
      </c>
      <c r="D188" s="577">
        <v>13.444599999999999</v>
      </c>
      <c r="E188" s="531">
        <v>20.440000000000001</v>
      </c>
      <c r="F188" s="531">
        <f t="shared" si="15"/>
        <v>6995.4000000000015</v>
      </c>
      <c r="G188" s="531">
        <f t="shared" si="16"/>
        <v>13444.599999999999</v>
      </c>
      <c r="H188" s="578">
        <f t="shared" si="17"/>
        <v>0.52031298811418725</v>
      </c>
      <c r="I188" s="531"/>
      <c r="J188" s="531"/>
    </row>
    <row r="189" spans="2:17" x14ac:dyDescent="0.25">
      <c r="B189" s="526">
        <v>42716</v>
      </c>
      <c r="C189" s="530">
        <v>1800</v>
      </c>
      <c r="D189" s="577">
        <v>16.229800000000001</v>
      </c>
      <c r="E189" s="531">
        <v>20.02</v>
      </c>
      <c r="F189" s="531">
        <f t="shared" si="15"/>
        <v>6822.3599999999979</v>
      </c>
      <c r="G189" s="531">
        <f t="shared" si="16"/>
        <v>29213.640000000003</v>
      </c>
      <c r="H189" s="578">
        <f t="shared" si="17"/>
        <v>0.2335333768746379</v>
      </c>
      <c r="I189" s="531"/>
      <c r="J189" s="531"/>
    </row>
    <row r="190" spans="2:17" x14ac:dyDescent="0.25">
      <c r="B190" s="526">
        <v>42716</v>
      </c>
      <c r="C190" s="530">
        <v>1650</v>
      </c>
      <c r="D190" s="577">
        <v>15.888</v>
      </c>
      <c r="E190" s="531">
        <v>20.02</v>
      </c>
      <c r="F190" s="531">
        <f t="shared" si="15"/>
        <v>6817.7999999999993</v>
      </c>
      <c r="G190" s="531">
        <f t="shared" si="16"/>
        <v>26215.200000000001</v>
      </c>
      <c r="H190" s="578">
        <f t="shared" si="17"/>
        <v>0.26007049345417926</v>
      </c>
      <c r="I190" s="531"/>
      <c r="J190" s="531"/>
    </row>
    <row r="191" spans="2:17" x14ac:dyDescent="0.25">
      <c r="B191" s="526">
        <v>42717</v>
      </c>
      <c r="C191" s="530">
        <v>1550</v>
      </c>
      <c r="D191" s="577">
        <v>15.6</v>
      </c>
      <c r="E191" s="531">
        <v>20.13</v>
      </c>
      <c r="F191" s="531">
        <f t="shared" si="15"/>
        <v>7021.4999999999991</v>
      </c>
      <c r="G191" s="531">
        <f t="shared" si="16"/>
        <v>24180</v>
      </c>
      <c r="H191" s="578">
        <f t="shared" si="17"/>
        <v>0.29038461538461535</v>
      </c>
      <c r="I191" s="531"/>
      <c r="J191" s="531"/>
      <c r="Q191" s="4"/>
    </row>
    <row r="192" spans="2:17" x14ac:dyDescent="0.25">
      <c r="B192" s="526">
        <v>42726</v>
      </c>
      <c r="C192" s="530">
        <v>1550</v>
      </c>
      <c r="D192" s="577">
        <v>15.6</v>
      </c>
      <c r="E192" s="531">
        <v>23.2</v>
      </c>
      <c r="F192" s="531">
        <f>-C192*(D192-E192)</f>
        <v>11780</v>
      </c>
      <c r="G192" s="531">
        <f>IF(C192=0, 0,D192*C192)</f>
        <v>24180</v>
      </c>
      <c r="H192" s="578">
        <f>IF(C192=0, D192, (E192-D192)/D192)</f>
        <v>0.48717948717948717</v>
      </c>
      <c r="I192" s="531"/>
      <c r="J192" s="531"/>
      <c r="Q192" s="4"/>
    </row>
    <row r="193" spans="1:17" x14ac:dyDescent="0.25">
      <c r="B193" s="526">
        <v>42733</v>
      </c>
      <c r="C193" s="530">
        <v>1550</v>
      </c>
      <c r="D193" s="577">
        <v>15.6</v>
      </c>
      <c r="E193" s="531">
        <v>22.27</v>
      </c>
      <c r="F193" s="531">
        <f>-C193*(D193-E193)</f>
        <v>10338.5</v>
      </c>
      <c r="G193" s="531">
        <f>IF(C193=0, 0,D193*C193)</f>
        <v>24180</v>
      </c>
      <c r="H193" s="578">
        <f>IF(C193=0, D193, (E193-D193)/D193)</f>
        <v>0.42756410256410254</v>
      </c>
      <c r="I193" s="531"/>
      <c r="J193" s="531"/>
      <c r="Q193" s="4"/>
    </row>
    <row r="194" spans="1:17" x14ac:dyDescent="0.25">
      <c r="B194" s="526">
        <v>42738</v>
      </c>
      <c r="C194" s="530">
        <v>1550</v>
      </c>
      <c r="D194" s="577">
        <v>15.548634</v>
      </c>
      <c r="E194" s="531">
        <v>22.55</v>
      </c>
      <c r="F194" s="531">
        <f>-C194*(D194-E194)</f>
        <v>10852.117300000002</v>
      </c>
      <c r="G194" s="531">
        <f>IF(C194=0, 0,D194*C194)</f>
        <v>24100.382699999998</v>
      </c>
      <c r="H194" s="578">
        <f>IF(C194=0, D194, (E194-D194)/D194)</f>
        <v>0.4502881732247348</v>
      </c>
      <c r="I194" s="531"/>
      <c r="J194" s="531"/>
    </row>
    <row r="195" spans="1:17" x14ac:dyDescent="0.25">
      <c r="B195" s="526"/>
      <c r="C195" s="530"/>
      <c r="D195" s="577"/>
      <c r="E195" s="531"/>
      <c r="F195" s="531"/>
      <c r="G195" s="531"/>
      <c r="H195" s="578"/>
      <c r="I195" s="531"/>
      <c r="J195" s="531"/>
    </row>
    <row r="196" spans="1:17" x14ac:dyDescent="0.25">
      <c r="B196" s="187"/>
      <c r="C196" s="10"/>
      <c r="D196" s="194"/>
      <c r="E196" s="39"/>
      <c r="F196" s="39"/>
      <c r="G196" s="39"/>
      <c r="H196" s="226"/>
      <c r="I196" s="39"/>
      <c r="J196" s="39"/>
    </row>
    <row r="197" spans="1:17" x14ac:dyDescent="0.25">
      <c r="B197" s="187"/>
      <c r="C197" s="10"/>
      <c r="D197" s="194"/>
      <c r="E197" s="39"/>
      <c r="F197" s="39"/>
      <c r="G197" s="39"/>
      <c r="H197" s="226"/>
      <c r="I197" s="39"/>
      <c r="J197" s="39"/>
    </row>
    <row r="198" spans="1:17" x14ac:dyDescent="0.25">
      <c r="B198" s="480"/>
      <c r="C198" s="4"/>
      <c r="D198" s="3"/>
      <c r="E198" s="3"/>
      <c r="F198" s="3"/>
      <c r="G198" s="72"/>
      <c r="H198" s="179"/>
      <c r="I198" s="3"/>
      <c r="J198" s="3"/>
      <c r="K198" s="3"/>
      <c r="L198" s="4"/>
      <c r="M198" s="4"/>
    </row>
    <row r="199" spans="1:17" x14ac:dyDescent="0.25">
      <c r="B199" s="480"/>
      <c r="C199" s="4"/>
      <c r="D199" s="3"/>
      <c r="E199" s="3"/>
      <c r="F199" s="3"/>
      <c r="G199" s="72"/>
      <c r="H199" s="179"/>
      <c r="I199" s="3"/>
      <c r="J199" s="3"/>
      <c r="K199" s="3"/>
      <c r="L199" s="4"/>
      <c r="M199" s="4"/>
    </row>
    <row r="200" spans="1:17" x14ac:dyDescent="0.25">
      <c r="B200" s="185" t="s">
        <v>113</v>
      </c>
      <c r="C200" s="185" t="s">
        <v>146</v>
      </c>
      <c r="D200" s="186" t="s">
        <v>145</v>
      </c>
      <c r="E200" s="188" t="s">
        <v>147</v>
      </c>
      <c r="F200" s="189" t="s">
        <v>65</v>
      </c>
      <c r="G200" s="223" t="s">
        <v>151</v>
      </c>
      <c r="H200" s="189" t="s">
        <v>88</v>
      </c>
      <c r="I200" s="223" t="s">
        <v>154</v>
      </c>
      <c r="J200" s="223" t="s">
        <v>504</v>
      </c>
      <c r="K200" s="223" t="s">
        <v>471</v>
      </c>
      <c r="L200" s="223" t="s">
        <v>679</v>
      </c>
      <c r="M200" s="4"/>
    </row>
    <row r="201" spans="1:17" x14ac:dyDescent="0.25">
      <c r="A201" s="365" t="s">
        <v>347</v>
      </c>
      <c r="B201" s="364">
        <v>42754</v>
      </c>
      <c r="C201" s="365">
        <v>1550</v>
      </c>
      <c r="D201" s="370">
        <v>20.207419000000002</v>
      </c>
      <c r="E201" s="366">
        <v>21.71</v>
      </c>
      <c r="F201" s="366">
        <f t="shared" ref="F201:F243" si="18">-C201*(D201-E201)</f>
        <v>2329.0005499999988</v>
      </c>
      <c r="G201" s="366">
        <f>IF(C201=0, 0,D201*C201)</f>
        <v>31321.499450000003</v>
      </c>
      <c r="H201" s="368">
        <f t="shared" ref="H201:H243" si="19">IF(C201=0, D201, (E201-D201)/D201)</f>
        <v>7.4357888060815641E-2</v>
      </c>
      <c r="I201" s="366"/>
      <c r="J201" s="366"/>
      <c r="K201" s="366"/>
      <c r="L201" s="366"/>
      <c r="M201" s="4"/>
    </row>
    <row r="202" spans="1:17" x14ac:dyDescent="0.25">
      <c r="A202" s="365" t="s">
        <v>354</v>
      </c>
      <c r="B202" s="364">
        <v>42759</v>
      </c>
      <c r="C202" s="365">
        <v>1350</v>
      </c>
      <c r="D202" s="370">
        <v>19.798221999999999</v>
      </c>
      <c r="E202" s="366">
        <v>22.995000000000001</v>
      </c>
      <c r="F202" s="366">
        <f t="shared" si="18"/>
        <v>4315.650300000003</v>
      </c>
      <c r="G202" s="366">
        <f t="shared" ref="G202:G243" si="20">IF(C202=0, 0,D202*C202)</f>
        <v>26727.599699999999</v>
      </c>
      <c r="H202" s="368">
        <f t="shared" si="19"/>
        <v>0.16146793383769523</v>
      </c>
      <c r="I202" s="366"/>
      <c r="J202" s="366"/>
      <c r="K202" s="366"/>
      <c r="L202" s="366"/>
      <c r="M202" s="4"/>
    </row>
    <row r="203" spans="1:17" x14ac:dyDescent="0.25">
      <c r="A203" s="365" t="s">
        <v>355</v>
      </c>
      <c r="B203" s="364">
        <v>42759</v>
      </c>
      <c r="C203" s="365">
        <v>1550</v>
      </c>
      <c r="D203" s="370">
        <v>20.192</v>
      </c>
      <c r="E203" s="366">
        <v>22.86</v>
      </c>
      <c r="F203" s="366">
        <f t="shared" si="18"/>
        <v>4135.3999999999987</v>
      </c>
      <c r="G203" s="366">
        <f t="shared" si="20"/>
        <v>31297.599999999999</v>
      </c>
      <c r="H203" s="368">
        <f t="shared" si="19"/>
        <v>0.13213153724247223</v>
      </c>
      <c r="I203" s="366"/>
      <c r="J203" s="366"/>
      <c r="K203" s="366"/>
      <c r="L203" s="366"/>
      <c r="M203" s="4"/>
    </row>
    <row r="204" spans="1:17" x14ac:dyDescent="0.25">
      <c r="A204" s="365"/>
      <c r="B204" s="364">
        <v>42760</v>
      </c>
      <c r="C204" s="365">
        <v>950</v>
      </c>
      <c r="D204" s="370">
        <v>17.926220000000001</v>
      </c>
      <c r="E204" s="366">
        <v>23.78</v>
      </c>
      <c r="F204" s="366">
        <f t="shared" si="18"/>
        <v>5561.0910000000003</v>
      </c>
      <c r="G204" s="366">
        <f t="shared" si="20"/>
        <v>17029.909</v>
      </c>
      <c r="H204" s="368">
        <f t="shared" si="19"/>
        <v>0.32654848596078817</v>
      </c>
      <c r="I204" s="366"/>
      <c r="J204" s="366"/>
      <c r="K204" s="366"/>
      <c r="L204" s="366"/>
      <c r="M204" s="4"/>
    </row>
    <row r="205" spans="1:17" x14ac:dyDescent="0.25">
      <c r="A205" s="365" t="s">
        <v>356</v>
      </c>
      <c r="B205" s="364">
        <v>42760</v>
      </c>
      <c r="C205" s="365">
        <v>1550</v>
      </c>
      <c r="D205" s="370">
        <v>20.03736</v>
      </c>
      <c r="E205" s="366">
        <v>23.38</v>
      </c>
      <c r="F205" s="366">
        <f t="shared" si="18"/>
        <v>5181.0919999999987</v>
      </c>
      <c r="G205" s="366">
        <f t="shared" si="20"/>
        <v>31057.907999999999</v>
      </c>
      <c r="H205" s="368">
        <f t="shared" si="19"/>
        <v>0.16682037953103598</v>
      </c>
      <c r="I205" s="366">
        <v>20</v>
      </c>
      <c r="J205" s="366"/>
      <c r="K205" s="366"/>
      <c r="L205" s="366"/>
      <c r="M205" s="4"/>
    </row>
    <row r="206" spans="1:17" x14ac:dyDescent="0.25">
      <c r="A206" s="500" t="s">
        <v>378</v>
      </c>
      <c r="B206" s="499">
        <v>42765</v>
      </c>
      <c r="C206" s="500">
        <v>1350</v>
      </c>
      <c r="D206" s="501">
        <v>23.093333000000001</v>
      </c>
      <c r="E206" s="502">
        <v>24.18</v>
      </c>
      <c r="F206" s="502">
        <f t="shared" si="18"/>
        <v>1467.000449999998</v>
      </c>
      <c r="G206" s="502">
        <f t="shared" si="20"/>
        <v>31175.99955</v>
      </c>
      <c r="H206" s="503">
        <f t="shared" si="19"/>
        <v>4.7055442365118903E-2</v>
      </c>
      <c r="I206" s="502"/>
      <c r="J206" s="502"/>
      <c r="K206" s="502"/>
      <c r="L206" s="502"/>
      <c r="M206" s="4"/>
    </row>
    <row r="207" spans="1:17" x14ac:dyDescent="0.25">
      <c r="A207" s="500" t="s">
        <v>394</v>
      </c>
      <c r="B207" s="499">
        <v>42769</v>
      </c>
      <c r="C207" s="500">
        <v>1350</v>
      </c>
      <c r="D207" s="501">
        <v>23.059799999999999</v>
      </c>
      <c r="E207" s="502">
        <v>24.6</v>
      </c>
      <c r="F207" s="502">
        <f t="shared" si="18"/>
        <v>2079.2700000000032</v>
      </c>
      <c r="G207" s="502">
        <f t="shared" si="20"/>
        <v>31130.73</v>
      </c>
      <c r="H207" s="503">
        <f t="shared" si="19"/>
        <v>6.679155933702817E-2</v>
      </c>
      <c r="I207" s="502"/>
      <c r="J207" s="502"/>
      <c r="K207" s="502"/>
      <c r="L207" s="502"/>
      <c r="M207" s="4"/>
    </row>
    <row r="208" spans="1:17" x14ac:dyDescent="0.25">
      <c r="A208" s="500" t="s">
        <v>419</v>
      </c>
      <c r="B208" s="499">
        <v>42776</v>
      </c>
      <c r="C208" s="500">
        <v>1550</v>
      </c>
      <c r="D208" s="501">
        <v>23.174665000000001</v>
      </c>
      <c r="E208" s="502">
        <v>24.05</v>
      </c>
      <c r="F208" s="502">
        <f t="shared" si="18"/>
        <v>1356.7692499999996</v>
      </c>
      <c r="G208" s="502">
        <f t="shared" si="20"/>
        <v>35920.730750000002</v>
      </c>
      <c r="H208" s="503">
        <f t="shared" si="19"/>
        <v>3.7771204028191979E-2</v>
      </c>
      <c r="I208" s="502">
        <v>23</v>
      </c>
      <c r="J208" s="502"/>
      <c r="K208" s="502"/>
      <c r="L208" s="502"/>
      <c r="M208" s="4"/>
    </row>
    <row r="209" spans="1:13" x14ac:dyDescent="0.25">
      <c r="A209" s="500" t="s">
        <v>424</v>
      </c>
      <c r="B209" s="499">
        <v>42780</v>
      </c>
      <c r="C209" s="500">
        <v>1650</v>
      </c>
      <c r="D209" s="501">
        <v>23.174665000000001</v>
      </c>
      <c r="E209" s="502">
        <v>23.12</v>
      </c>
      <c r="F209" s="502">
        <f t="shared" si="18"/>
        <v>-90.19724999999994</v>
      </c>
      <c r="G209" s="502">
        <f t="shared" si="20"/>
        <v>38238.197250000005</v>
      </c>
      <c r="H209" s="503">
        <f t="shared" si="19"/>
        <v>-2.3588258988856995E-3</v>
      </c>
      <c r="I209" s="502"/>
      <c r="J209" s="502"/>
      <c r="K209" s="502"/>
      <c r="L209" s="502"/>
      <c r="M209" s="3"/>
    </row>
    <row r="210" spans="1:13" x14ac:dyDescent="0.25">
      <c r="A210" s="500" t="s">
        <v>437</v>
      </c>
      <c r="B210" s="499">
        <v>42782</v>
      </c>
      <c r="C210" s="500">
        <v>1550</v>
      </c>
      <c r="D210" s="501">
        <v>23.148890000000002</v>
      </c>
      <c r="E210" s="502">
        <v>22.98</v>
      </c>
      <c r="F210" s="502">
        <f t="shared" si="18"/>
        <v>-261.77950000000169</v>
      </c>
      <c r="G210" s="502">
        <f t="shared" si="20"/>
        <v>35880.779500000004</v>
      </c>
      <c r="H210" s="503">
        <f t="shared" si="19"/>
        <v>-7.2958141837470864E-3</v>
      </c>
      <c r="I210" s="502">
        <v>23</v>
      </c>
      <c r="J210" s="502"/>
      <c r="K210" s="502"/>
      <c r="L210" s="502"/>
      <c r="M210" s="4"/>
    </row>
    <row r="211" spans="1:13" x14ac:dyDescent="0.25">
      <c r="A211" s="638" t="s">
        <v>437</v>
      </c>
      <c r="B211" s="639">
        <v>42788</v>
      </c>
      <c r="C211" s="638">
        <v>1550</v>
      </c>
      <c r="D211" s="648">
        <v>23.390999999999998</v>
      </c>
      <c r="E211" s="640">
        <v>23.75</v>
      </c>
      <c r="F211" s="640">
        <f t="shared" si="18"/>
        <v>556.45000000000277</v>
      </c>
      <c r="G211" s="640">
        <f t="shared" si="20"/>
        <v>36256.049999999996</v>
      </c>
      <c r="H211" s="649">
        <f t="shared" si="19"/>
        <v>1.5347783335470985E-2</v>
      </c>
      <c r="I211" s="640">
        <v>23</v>
      </c>
      <c r="J211" s="640"/>
      <c r="K211" s="640"/>
      <c r="L211" s="640"/>
      <c r="M211" s="4"/>
    </row>
    <row r="212" spans="1:13" x14ac:dyDescent="0.25">
      <c r="A212" s="638" t="s">
        <v>455</v>
      </c>
      <c r="B212" s="639">
        <v>42790</v>
      </c>
      <c r="C212" s="638">
        <v>1550</v>
      </c>
      <c r="D212" s="648">
        <v>23.390999999999998</v>
      </c>
      <c r="E212" s="640">
        <v>23.24</v>
      </c>
      <c r="F212" s="640">
        <f t="shared" si="18"/>
        <v>-234.0499999999997</v>
      </c>
      <c r="G212" s="640">
        <f t="shared" si="20"/>
        <v>36256.049999999996</v>
      </c>
      <c r="H212" s="649">
        <f t="shared" si="19"/>
        <v>-6.4554743277328809E-3</v>
      </c>
      <c r="I212" s="640"/>
      <c r="J212" s="640"/>
      <c r="K212" s="640"/>
      <c r="L212" s="640"/>
      <c r="M212" s="4"/>
    </row>
    <row r="213" spans="1:13" x14ac:dyDescent="0.25">
      <c r="A213" s="638"/>
      <c r="B213" s="639">
        <v>42793</v>
      </c>
      <c r="C213" s="638">
        <v>1550</v>
      </c>
      <c r="D213" s="648">
        <v>23.390999999999998</v>
      </c>
      <c r="E213" s="640">
        <v>23.76</v>
      </c>
      <c r="F213" s="640">
        <f t="shared" si="18"/>
        <v>571.95000000000516</v>
      </c>
      <c r="G213" s="640">
        <f t="shared" si="20"/>
        <v>36256.049999999996</v>
      </c>
      <c r="H213" s="649">
        <f t="shared" si="19"/>
        <v>1.5775298191612303E-2</v>
      </c>
      <c r="I213" s="640"/>
      <c r="J213" s="640"/>
      <c r="K213" s="640"/>
      <c r="L213" s="640"/>
      <c r="M213" s="4"/>
    </row>
    <row r="214" spans="1:13" x14ac:dyDescent="0.25">
      <c r="A214" s="638">
        <v>600</v>
      </c>
      <c r="B214" s="639">
        <v>42795</v>
      </c>
      <c r="C214" s="638">
        <v>1200</v>
      </c>
      <c r="D214" s="648">
        <v>23.166550000000001</v>
      </c>
      <c r="E214" s="640">
        <v>24.55</v>
      </c>
      <c r="F214" s="640">
        <f t="shared" si="18"/>
        <v>1660.1399999999999</v>
      </c>
      <c r="G214" s="640">
        <f t="shared" si="20"/>
        <v>27799.86</v>
      </c>
      <c r="H214" s="649">
        <f t="shared" si="19"/>
        <v>5.9717566922998885E-2</v>
      </c>
      <c r="I214" s="640">
        <v>23</v>
      </c>
      <c r="J214" s="640"/>
      <c r="K214" s="640">
        <v>14210</v>
      </c>
      <c r="L214" s="640">
        <f>(G214-K214)/C214</f>
        <v>11.324883333333334</v>
      </c>
    </row>
    <row r="215" spans="1:13" x14ac:dyDescent="0.25">
      <c r="A215" s="638">
        <v>200</v>
      </c>
      <c r="B215" s="639">
        <v>42796</v>
      </c>
      <c r="C215" s="638">
        <v>1200</v>
      </c>
      <c r="D215" s="648">
        <v>22.916799999999999</v>
      </c>
      <c r="E215" s="640">
        <v>24.7</v>
      </c>
      <c r="F215" s="640">
        <f t="shared" si="18"/>
        <v>2139.8400000000011</v>
      </c>
      <c r="G215" s="640">
        <f t="shared" si="20"/>
        <v>27500.16</v>
      </c>
      <c r="H215" s="649">
        <f t="shared" si="19"/>
        <v>7.7811910912518364E-2</v>
      </c>
      <c r="I215" s="640">
        <v>22.5</v>
      </c>
      <c r="J215" s="640"/>
      <c r="K215" s="640">
        <v>14690</v>
      </c>
      <c r="L215" s="640">
        <f t="shared" ref="L215:L230" si="21">(G215-K215)/C215</f>
        <v>10.675133333333333</v>
      </c>
    </row>
    <row r="216" spans="1:13" x14ac:dyDescent="0.25">
      <c r="A216" s="638">
        <v>100</v>
      </c>
      <c r="B216" s="639">
        <v>42798</v>
      </c>
      <c r="C216" s="638">
        <v>1000</v>
      </c>
      <c r="D216" s="648">
        <v>22.424299999999999</v>
      </c>
      <c r="E216" s="640">
        <v>25.57</v>
      </c>
      <c r="F216" s="640">
        <f t="shared" si="18"/>
        <v>3145.7000000000016</v>
      </c>
      <c r="G216" s="640">
        <f t="shared" si="20"/>
        <v>22424.3</v>
      </c>
      <c r="H216" s="649">
        <f t="shared" si="19"/>
        <v>0.14028085603563997</v>
      </c>
      <c r="I216" s="640"/>
      <c r="J216" s="640"/>
      <c r="K216" s="640">
        <v>15696</v>
      </c>
      <c r="L216" s="640">
        <f t="shared" si="21"/>
        <v>6.7282999999999991</v>
      </c>
    </row>
    <row r="217" spans="1:13" x14ac:dyDescent="0.25">
      <c r="A217" s="638">
        <v>100</v>
      </c>
      <c r="B217" s="639">
        <v>42803</v>
      </c>
      <c r="C217" s="638">
        <v>1100</v>
      </c>
      <c r="D217" s="648">
        <v>22.663</v>
      </c>
      <c r="E217" s="640">
        <v>25.15</v>
      </c>
      <c r="F217" s="640">
        <f t="shared" si="18"/>
        <v>2735.699999999998</v>
      </c>
      <c r="G217" s="640">
        <f t="shared" si="20"/>
        <v>24929.3</v>
      </c>
      <c r="H217" s="649">
        <f t="shared" si="19"/>
        <v>0.1097383400255923</v>
      </c>
      <c r="I217" s="640"/>
      <c r="J217" s="640"/>
      <c r="K217" s="640">
        <v>15286</v>
      </c>
      <c r="L217" s="640">
        <f t="shared" si="21"/>
        <v>8.7666363636363638</v>
      </c>
    </row>
    <row r="218" spans="1:13" x14ac:dyDescent="0.25">
      <c r="A218" s="638">
        <v>0</v>
      </c>
      <c r="B218" s="639">
        <v>42804</v>
      </c>
      <c r="C218" s="638">
        <v>1000</v>
      </c>
      <c r="D218" s="648">
        <v>22.371400000000001</v>
      </c>
      <c r="E218" s="640">
        <v>25.18</v>
      </c>
      <c r="F218" s="640">
        <f t="shared" si="18"/>
        <v>2808.5999999999985</v>
      </c>
      <c r="G218" s="640">
        <f t="shared" si="20"/>
        <v>22371.4</v>
      </c>
      <c r="H218" s="649">
        <f t="shared" si="19"/>
        <v>0.12554422164012974</v>
      </c>
      <c r="I218" s="640"/>
      <c r="J218" s="640"/>
      <c r="K218" s="640">
        <v>15359</v>
      </c>
      <c r="L218" s="640">
        <f t="shared" si="21"/>
        <v>7.0124000000000013</v>
      </c>
    </row>
    <row r="219" spans="1:13" x14ac:dyDescent="0.25">
      <c r="A219" s="638">
        <v>200</v>
      </c>
      <c r="B219" s="639">
        <v>42808</v>
      </c>
      <c r="C219" s="638">
        <v>1000</v>
      </c>
      <c r="D219" s="648">
        <v>22.371400000000001</v>
      </c>
      <c r="E219" s="640">
        <v>25.58</v>
      </c>
      <c r="F219" s="640">
        <f t="shared" si="18"/>
        <v>3208.5999999999972</v>
      </c>
      <c r="G219" s="640">
        <f t="shared" si="20"/>
        <v>22371.4</v>
      </c>
      <c r="H219" s="649">
        <f t="shared" si="19"/>
        <v>0.1434241933897743</v>
      </c>
      <c r="I219" s="640">
        <v>22</v>
      </c>
      <c r="J219" s="640"/>
      <c r="K219" s="640">
        <v>15759</v>
      </c>
      <c r="L219" s="640">
        <f t="shared" si="21"/>
        <v>6.6124000000000018</v>
      </c>
      <c r="M219" s="4"/>
    </row>
    <row r="220" spans="1:13" x14ac:dyDescent="0.25">
      <c r="A220" s="456">
        <v>0</v>
      </c>
      <c r="B220" s="455">
        <v>42809</v>
      </c>
      <c r="C220" s="456">
        <v>1000</v>
      </c>
      <c r="D220" s="628">
        <v>24.635000000000002</v>
      </c>
      <c r="E220" s="457">
        <v>26.12</v>
      </c>
      <c r="F220" s="457">
        <f t="shared" si="18"/>
        <v>1484.9999999999995</v>
      </c>
      <c r="G220" s="457">
        <f t="shared" si="20"/>
        <v>24635</v>
      </c>
      <c r="H220" s="651">
        <f t="shared" si="19"/>
        <v>6.0280089303835979E-2</v>
      </c>
      <c r="I220" s="457">
        <v>24</v>
      </c>
      <c r="J220" s="457">
        <v>68.36</v>
      </c>
      <c r="K220" s="457">
        <v>16373</v>
      </c>
      <c r="L220" s="457">
        <f t="shared" si="21"/>
        <v>8.2620000000000005</v>
      </c>
      <c r="M220" s="4"/>
    </row>
    <row r="221" spans="1:13" x14ac:dyDescent="0.25">
      <c r="A221" s="456">
        <v>0</v>
      </c>
      <c r="B221" s="455">
        <v>42817</v>
      </c>
      <c r="C221" s="456">
        <v>900</v>
      </c>
      <c r="D221" s="628">
        <v>24.152000000000001</v>
      </c>
      <c r="E221" s="457">
        <v>26.47</v>
      </c>
      <c r="F221" s="457">
        <f t="shared" si="18"/>
        <v>2086.199999999998</v>
      </c>
      <c r="G221" s="457">
        <f t="shared" si="20"/>
        <v>21736.799999999999</v>
      </c>
      <c r="H221" s="651">
        <f t="shared" si="19"/>
        <v>9.5975488572374867E-2</v>
      </c>
      <c r="I221" s="457"/>
      <c r="J221" s="457"/>
      <c r="K221" s="457">
        <v>16974</v>
      </c>
      <c r="L221" s="457">
        <f t="shared" si="21"/>
        <v>5.2919999999999989</v>
      </c>
      <c r="M221" s="4"/>
    </row>
    <row r="222" spans="1:13" x14ac:dyDescent="0.25">
      <c r="A222" s="456">
        <v>0</v>
      </c>
      <c r="B222" s="455">
        <v>42818</v>
      </c>
      <c r="C222" s="456">
        <v>1000</v>
      </c>
      <c r="D222" s="628">
        <v>24.585000000000001</v>
      </c>
      <c r="E222" s="457">
        <v>28.43</v>
      </c>
      <c r="F222" s="457">
        <f t="shared" si="18"/>
        <v>3844.9999999999991</v>
      </c>
      <c r="G222" s="457">
        <f t="shared" si="20"/>
        <v>24585</v>
      </c>
      <c r="H222" s="651">
        <f t="shared" si="19"/>
        <v>0.15639617653040466</v>
      </c>
      <c r="I222" s="457">
        <v>24</v>
      </c>
      <c r="J222" s="457"/>
      <c r="K222" s="457">
        <v>18733</v>
      </c>
      <c r="L222" s="457">
        <f t="shared" si="21"/>
        <v>5.8520000000000003</v>
      </c>
      <c r="M222" s="4"/>
    </row>
    <row r="223" spans="1:13" x14ac:dyDescent="0.25">
      <c r="A223" s="4">
        <v>0</v>
      </c>
      <c r="B223" s="187">
        <v>42819</v>
      </c>
      <c r="C223" s="10">
        <v>1000</v>
      </c>
      <c r="D223" s="194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6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7">
        <v>42833</v>
      </c>
      <c r="C224" s="10">
        <v>1000</v>
      </c>
      <c r="D224" s="194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6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7">
        <v>42835</v>
      </c>
      <c r="C225" s="10">
        <v>1100</v>
      </c>
      <c r="D225" s="194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6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7">
        <v>42836</v>
      </c>
      <c r="C226" s="10">
        <v>1200</v>
      </c>
      <c r="D226" s="194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6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7">
        <v>42845</v>
      </c>
      <c r="C227" s="10">
        <v>1000</v>
      </c>
      <c r="D227" s="194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6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7">
        <v>42846</v>
      </c>
      <c r="C228" s="10">
        <v>1200</v>
      </c>
      <c r="D228" s="194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6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7">
        <v>42853</v>
      </c>
      <c r="C229" s="10">
        <v>1000</v>
      </c>
      <c r="D229" s="194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6">
        <f t="shared" si="19"/>
        <v>0.10910694244027583</v>
      </c>
      <c r="I229" s="196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7">
        <v>42856</v>
      </c>
      <c r="C230" s="10">
        <v>950</v>
      </c>
      <c r="D230" s="194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6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7">
        <v>42864</v>
      </c>
      <c r="C231" s="10">
        <v>400</v>
      </c>
      <c r="D231" s="194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6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7">
        <v>42872</v>
      </c>
      <c r="C232" s="10">
        <v>800</v>
      </c>
      <c r="D232" s="194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6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7">
        <v>42874</v>
      </c>
      <c r="C233" s="10">
        <v>600</v>
      </c>
      <c r="D233" s="194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6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7">
        <v>42944</v>
      </c>
      <c r="C234" s="10">
        <v>450</v>
      </c>
      <c r="D234" s="194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6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7">
        <v>42947</v>
      </c>
      <c r="C235" s="10">
        <v>500</v>
      </c>
      <c r="D235" s="194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6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7">
        <v>42950</v>
      </c>
      <c r="C236" s="10">
        <v>550</v>
      </c>
      <c r="D236" s="194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6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7">
        <v>42955</v>
      </c>
      <c r="C237" s="10">
        <v>450</v>
      </c>
      <c r="D237" s="194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6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7">
        <v>42957</v>
      </c>
      <c r="C238" s="10">
        <v>550</v>
      </c>
      <c r="D238" s="194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6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7">
        <v>42962</v>
      </c>
      <c r="C239" s="10">
        <v>450</v>
      </c>
      <c r="D239" s="194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6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7">
        <v>42963</v>
      </c>
      <c r="C240" s="10">
        <v>250</v>
      </c>
      <c r="D240" s="194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6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7">
        <v>42978</v>
      </c>
      <c r="C241" s="10">
        <v>200</v>
      </c>
      <c r="D241" s="194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6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7">
        <v>42979</v>
      </c>
      <c r="C242" s="10">
        <v>150</v>
      </c>
      <c r="D242" s="194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6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7">
        <v>42983</v>
      </c>
      <c r="C243" s="10">
        <v>150</v>
      </c>
      <c r="D243" s="194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6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7"/>
      <c r="C244" s="10"/>
      <c r="D244" s="194"/>
      <c r="E244" s="39"/>
      <c r="F244" s="39"/>
      <c r="G244" s="39"/>
      <c r="H244" s="226"/>
      <c r="I244" s="39"/>
      <c r="J244" s="39"/>
      <c r="K244" s="39"/>
      <c r="L244" s="39"/>
    </row>
    <row r="245" spans="1:12" x14ac:dyDescent="0.25">
      <c r="B245" s="187"/>
      <c r="C245" s="10"/>
      <c r="D245" s="194"/>
      <c r="E245" s="39"/>
      <c r="F245" s="39"/>
      <c r="G245" s="39"/>
      <c r="H245" s="226"/>
      <c r="I245" s="39"/>
      <c r="J245" s="39"/>
      <c r="K245" s="39"/>
      <c r="L245" s="39"/>
    </row>
    <row r="246" spans="1:12" x14ac:dyDescent="0.25">
      <c r="B246" s="187"/>
      <c r="C246" s="10"/>
      <c r="D246" s="194"/>
      <c r="E246" s="39"/>
      <c r="F246" s="39"/>
      <c r="G246" s="39"/>
      <c r="H246" s="226"/>
      <c r="I246" s="39"/>
      <c r="J246" s="39"/>
      <c r="K246" s="39"/>
      <c r="L246" s="39"/>
    </row>
    <row r="247" spans="1:12" x14ac:dyDescent="0.25">
      <c r="B247" s="187"/>
      <c r="C247" s="10"/>
      <c r="D247" s="194"/>
      <c r="E247" s="39"/>
      <c r="F247" s="39"/>
      <c r="G247" s="39"/>
      <c r="H247" s="226"/>
      <c r="I247" s="39"/>
      <c r="J247" s="39"/>
      <c r="K247" s="39"/>
      <c r="L247" s="39"/>
    </row>
    <row r="248" spans="1:12" x14ac:dyDescent="0.25">
      <c r="B248" s="187"/>
      <c r="C248" s="10"/>
      <c r="D248" s="194"/>
      <c r="E248" s="39"/>
      <c r="F248" s="39"/>
      <c r="G248" s="39"/>
      <c r="H248" s="226"/>
      <c r="I248" s="39"/>
      <c r="J248" s="39"/>
      <c r="K248" s="39"/>
      <c r="L248" s="39"/>
    </row>
    <row r="250" spans="1:12" x14ac:dyDescent="0.25">
      <c r="B250" s="187"/>
      <c r="C250" s="10"/>
      <c r="D250" s="194"/>
      <c r="E250" s="39"/>
      <c r="F250" s="39"/>
      <c r="G250" s="39"/>
      <c r="H250" s="226"/>
      <c r="I250" s="39"/>
      <c r="J250" s="39"/>
    </row>
    <row r="251" spans="1:12" x14ac:dyDescent="0.25">
      <c r="B251" s="187"/>
      <c r="C251" s="10"/>
      <c r="D251" s="194"/>
      <c r="E251" s="39"/>
      <c r="F251" s="39"/>
      <c r="G251" s="39"/>
      <c r="H251" s="226"/>
      <c r="I251" s="39"/>
      <c r="J251" s="39"/>
    </row>
    <row r="252" spans="1:12" x14ac:dyDescent="0.25">
      <c r="B252" s="187"/>
      <c r="C252" s="10"/>
      <c r="D252" s="194"/>
      <c r="E252" s="39"/>
      <c r="F252" s="39"/>
      <c r="G252" s="39"/>
      <c r="H252" s="226"/>
      <c r="I252" s="39"/>
      <c r="J252" s="39"/>
    </row>
    <row r="253" spans="1:12" x14ac:dyDescent="0.25">
      <c r="B253" s="187"/>
      <c r="C253" s="10"/>
      <c r="D253" s="194"/>
      <c r="E253" s="39"/>
      <c r="F253" s="39"/>
      <c r="G253" s="39"/>
      <c r="H253" s="226"/>
      <c r="I253" s="39"/>
      <c r="J253" s="39"/>
    </row>
    <row r="254" spans="1:12" x14ac:dyDescent="0.25">
      <c r="B254" s="187"/>
      <c r="C254" s="10"/>
      <c r="D254" s="194"/>
      <c r="E254" s="39"/>
      <c r="F254" s="39"/>
      <c r="G254" s="39"/>
      <c r="H254" s="226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2" t="s">
        <v>7</v>
      </c>
      <c r="J260" s="472" t="s">
        <v>95</v>
      </c>
      <c r="K260" s="472" t="s">
        <v>61</v>
      </c>
      <c r="L260" s="31" t="s">
        <v>37</v>
      </c>
      <c r="M260" s="31" t="s">
        <v>38</v>
      </c>
    </row>
    <row r="261" spans="1:13" x14ac:dyDescent="0.25">
      <c r="A261" s="257" t="s">
        <v>34</v>
      </c>
      <c r="B261" s="551">
        <v>42166</v>
      </c>
      <c r="C261" s="253">
        <v>5</v>
      </c>
      <c r="D261" s="254">
        <v>26.04</v>
      </c>
      <c r="E261" s="254">
        <v>0</v>
      </c>
      <c r="F261" s="254">
        <f>C261*D261+E261</f>
        <v>130.19999999999999</v>
      </c>
      <c r="G261" s="258">
        <v>42186</v>
      </c>
      <c r="H261" s="253">
        <v>185</v>
      </c>
      <c r="I261" s="254">
        <v>19.75</v>
      </c>
      <c r="J261" s="254">
        <v>7.0000000000000007E-2</v>
      </c>
      <c r="K261" s="254">
        <f t="shared" ref="K261:K319" si="24">H261*I261-J261</f>
        <v>3653.68</v>
      </c>
      <c r="L261" s="253" t="s">
        <v>79</v>
      </c>
      <c r="M261" s="253"/>
    </row>
    <row r="262" spans="1:13" x14ac:dyDescent="0.25">
      <c r="A262" s="260" t="s">
        <v>71</v>
      </c>
      <c r="B262" s="551">
        <v>42167</v>
      </c>
      <c r="C262" s="253">
        <v>10</v>
      </c>
      <c r="D262" s="254">
        <v>25.1</v>
      </c>
      <c r="E262" s="254">
        <v>0</v>
      </c>
      <c r="F262" s="254">
        <f t="shared" ref="F262:F312" si="25">C262*D262+E262</f>
        <v>251</v>
      </c>
      <c r="G262" s="258">
        <v>42207</v>
      </c>
      <c r="H262" s="253">
        <v>20</v>
      </c>
      <c r="I262" s="254">
        <v>19.899999999999999</v>
      </c>
      <c r="J262" s="254">
        <v>0.01</v>
      </c>
      <c r="K262" s="254">
        <f t="shared" si="24"/>
        <v>397.99</v>
      </c>
      <c r="L262" s="253"/>
      <c r="M262" s="253"/>
    </row>
    <row r="263" spans="1:13" x14ac:dyDescent="0.25">
      <c r="A263" s="253"/>
      <c r="B263" s="551">
        <v>42179</v>
      </c>
      <c r="C263" s="253">
        <v>15</v>
      </c>
      <c r="D263" s="254">
        <v>24.51</v>
      </c>
      <c r="E263" s="254">
        <v>0</v>
      </c>
      <c r="F263" s="254">
        <f t="shared" si="25"/>
        <v>367.65000000000003</v>
      </c>
      <c r="G263" s="258">
        <v>42207</v>
      </c>
      <c r="H263" s="253">
        <v>95</v>
      </c>
      <c r="I263" s="254">
        <v>20.02</v>
      </c>
      <c r="J263" s="254">
        <v>0.5</v>
      </c>
      <c r="K263" s="254">
        <f t="shared" si="24"/>
        <v>1901.3999999999999</v>
      </c>
      <c r="L263" s="253"/>
      <c r="M263" s="253"/>
    </row>
    <row r="264" spans="1:13" x14ac:dyDescent="0.25">
      <c r="A264" s="253"/>
      <c r="B264" s="551">
        <v>42180</v>
      </c>
      <c r="C264" s="253">
        <v>100</v>
      </c>
      <c r="D264" s="254">
        <v>23.92</v>
      </c>
      <c r="E264" s="254">
        <v>0</v>
      </c>
      <c r="F264" s="254">
        <f t="shared" si="25"/>
        <v>2392</v>
      </c>
      <c r="G264" s="258">
        <v>42216</v>
      </c>
      <c r="H264" s="253">
        <v>165</v>
      </c>
      <c r="I264" s="254">
        <v>19.899999999999999</v>
      </c>
      <c r="J264" s="254">
        <v>0.06</v>
      </c>
      <c r="K264" s="254">
        <f t="shared" si="24"/>
        <v>3283.4399999999996</v>
      </c>
      <c r="L264" s="253"/>
      <c r="M264" s="253"/>
    </row>
    <row r="265" spans="1:13" x14ac:dyDescent="0.25">
      <c r="A265" s="253"/>
      <c r="B265" s="551">
        <v>42185</v>
      </c>
      <c r="C265" s="253">
        <v>50</v>
      </c>
      <c r="D265" s="254">
        <v>21.21</v>
      </c>
      <c r="E265" s="254">
        <v>0</v>
      </c>
      <c r="F265" s="254">
        <f t="shared" si="25"/>
        <v>1060.5</v>
      </c>
      <c r="G265" s="258">
        <v>42236</v>
      </c>
      <c r="H265" s="253">
        <v>630</v>
      </c>
      <c r="I265" s="254">
        <v>17.199682539682538</v>
      </c>
      <c r="J265" s="254">
        <v>0</v>
      </c>
      <c r="K265" s="254">
        <f t="shared" si="24"/>
        <v>10835.8</v>
      </c>
      <c r="L265" s="253"/>
      <c r="M265" s="253"/>
    </row>
    <row r="266" spans="1:13" x14ac:dyDescent="0.25">
      <c r="A266" s="253"/>
      <c r="B266" s="551">
        <v>42186</v>
      </c>
      <c r="C266" s="253">
        <v>50</v>
      </c>
      <c r="D266" s="254">
        <v>20.5</v>
      </c>
      <c r="E266" s="254">
        <v>0</v>
      </c>
      <c r="F266" s="254">
        <f t="shared" si="25"/>
        <v>1025</v>
      </c>
      <c r="G266" s="258">
        <v>42257</v>
      </c>
      <c r="H266" s="253">
        <v>850</v>
      </c>
      <c r="I266" s="254">
        <v>17.18</v>
      </c>
      <c r="J266" s="254">
        <v>0.27</v>
      </c>
      <c r="K266" s="254">
        <f t="shared" si="24"/>
        <v>14602.73</v>
      </c>
      <c r="L266" s="253"/>
      <c r="M266" s="253"/>
    </row>
    <row r="267" spans="1:13" x14ac:dyDescent="0.25">
      <c r="A267" s="253"/>
      <c r="B267" s="551">
        <v>42186</v>
      </c>
      <c r="C267" s="253">
        <v>170</v>
      </c>
      <c r="D267" s="254">
        <v>19.600000000000001</v>
      </c>
      <c r="E267" s="254">
        <v>0</v>
      </c>
      <c r="F267" s="254">
        <f t="shared" si="25"/>
        <v>3332.0000000000005</v>
      </c>
      <c r="G267" s="258">
        <v>42283</v>
      </c>
      <c r="H267" s="253">
        <v>1580</v>
      </c>
      <c r="I267" s="254">
        <v>15.83</v>
      </c>
      <c r="J267" s="254">
        <v>0.46</v>
      </c>
      <c r="K267" s="254">
        <f t="shared" si="24"/>
        <v>25010.940000000002</v>
      </c>
      <c r="L267" s="253"/>
      <c r="M267" s="253"/>
    </row>
    <row r="268" spans="1:13" x14ac:dyDescent="0.25">
      <c r="A268" s="253"/>
      <c r="B268" s="551">
        <v>42187</v>
      </c>
      <c r="C268" s="253">
        <v>1000</v>
      </c>
      <c r="D268" s="254">
        <v>19.2</v>
      </c>
      <c r="E268" s="254">
        <v>0</v>
      </c>
      <c r="F268" s="254">
        <f t="shared" si="25"/>
        <v>19200</v>
      </c>
      <c r="G268" s="441">
        <v>42285</v>
      </c>
      <c r="H268" s="253">
        <v>1440</v>
      </c>
      <c r="I268" s="254">
        <v>16.75</v>
      </c>
      <c r="J268" s="254">
        <v>0.44</v>
      </c>
      <c r="K268" s="254">
        <f t="shared" si="24"/>
        <v>24119.56</v>
      </c>
      <c r="L268" s="253"/>
      <c r="M268" s="253"/>
    </row>
    <row r="269" spans="1:13" x14ac:dyDescent="0.25">
      <c r="A269" s="253"/>
      <c r="B269" s="551">
        <v>42199</v>
      </c>
      <c r="C269" s="253">
        <v>100</v>
      </c>
      <c r="D269" s="254">
        <v>17.25</v>
      </c>
      <c r="E269" s="254">
        <v>0</v>
      </c>
      <c r="F269" s="254">
        <f t="shared" si="25"/>
        <v>1725</v>
      </c>
      <c r="G269" s="441">
        <v>42291</v>
      </c>
      <c r="H269" s="253">
        <v>410</v>
      </c>
      <c r="I269" s="254">
        <v>18.989999999999998</v>
      </c>
      <c r="J269" s="254">
        <v>0.14000000000000001</v>
      </c>
      <c r="K269" s="254">
        <f t="shared" si="24"/>
        <v>7785.7599999999993</v>
      </c>
      <c r="L269" s="254"/>
      <c r="M269" s="253"/>
    </row>
    <row r="270" spans="1:13" x14ac:dyDescent="0.25">
      <c r="A270" s="253"/>
      <c r="B270" s="551">
        <v>42205</v>
      </c>
      <c r="C270" s="253">
        <v>20</v>
      </c>
      <c r="D270" s="254">
        <v>18.850000000000001</v>
      </c>
      <c r="E270" s="254">
        <v>0</v>
      </c>
      <c r="F270" s="254">
        <f t="shared" si="25"/>
        <v>377</v>
      </c>
      <c r="G270" s="258">
        <v>42296</v>
      </c>
      <c r="H270" s="253">
        <v>2470</v>
      </c>
      <c r="I270" s="254">
        <v>19.100000000000001</v>
      </c>
      <c r="J270" s="254">
        <v>0.87</v>
      </c>
      <c r="K270" s="254">
        <f t="shared" si="24"/>
        <v>47176.13</v>
      </c>
      <c r="L270" s="253"/>
      <c r="M270" s="253"/>
    </row>
    <row r="271" spans="1:13" x14ac:dyDescent="0.25">
      <c r="A271" s="254"/>
      <c r="B271" s="551">
        <v>42208</v>
      </c>
      <c r="C271" s="253">
        <v>80</v>
      </c>
      <c r="D271" s="254">
        <v>18.95</v>
      </c>
      <c r="E271" s="254">
        <v>0</v>
      </c>
      <c r="F271" s="254">
        <f t="shared" si="25"/>
        <v>1516</v>
      </c>
      <c r="G271" s="258">
        <v>42310</v>
      </c>
      <c r="H271" s="253">
        <v>1100</v>
      </c>
      <c r="I271" s="254">
        <v>16.989999999999998</v>
      </c>
      <c r="J271" s="254">
        <v>7.29</v>
      </c>
      <c r="K271" s="254">
        <f t="shared" si="24"/>
        <v>18681.71</v>
      </c>
      <c r="L271" s="253"/>
      <c r="M271" s="253"/>
    </row>
    <row r="272" spans="1:13" x14ac:dyDescent="0.25">
      <c r="A272" s="253"/>
      <c r="B272" s="551">
        <v>42212</v>
      </c>
      <c r="C272" s="253">
        <v>100</v>
      </c>
      <c r="D272" s="254">
        <v>17.95</v>
      </c>
      <c r="E272" s="254">
        <v>0</v>
      </c>
      <c r="F272" s="254">
        <f t="shared" si="25"/>
        <v>1795</v>
      </c>
      <c r="G272" s="671">
        <v>42314</v>
      </c>
      <c r="H272" s="253">
        <v>2200</v>
      </c>
      <c r="I272" s="254">
        <v>17.55</v>
      </c>
      <c r="J272" s="254">
        <v>0.77</v>
      </c>
      <c r="K272" s="254">
        <f t="shared" si="24"/>
        <v>38609.230000000003</v>
      </c>
      <c r="L272" s="253"/>
      <c r="M272" s="253"/>
    </row>
    <row r="273" spans="1:13" x14ac:dyDescent="0.25">
      <c r="A273" s="253"/>
      <c r="B273" s="551">
        <v>42221</v>
      </c>
      <c r="C273" s="253">
        <v>65</v>
      </c>
      <c r="D273" s="254">
        <v>19.100000000000001</v>
      </c>
      <c r="E273" s="254">
        <v>0</v>
      </c>
      <c r="F273" s="254">
        <f t="shared" si="25"/>
        <v>1241.5</v>
      </c>
      <c r="G273" s="671"/>
      <c r="H273" s="253">
        <v>190</v>
      </c>
      <c r="I273" s="254">
        <v>17.55</v>
      </c>
      <c r="J273" s="254">
        <v>0</v>
      </c>
      <c r="K273" s="254">
        <f t="shared" si="24"/>
        <v>3334.5</v>
      </c>
      <c r="L273" s="253"/>
      <c r="M273" s="253"/>
    </row>
    <row r="274" spans="1:13" x14ac:dyDescent="0.25">
      <c r="A274" s="253"/>
      <c r="B274" s="551">
        <v>42221</v>
      </c>
      <c r="C274" s="253">
        <v>300</v>
      </c>
      <c r="D274" s="254">
        <v>18.600000000000001</v>
      </c>
      <c r="E274" s="254">
        <v>0</v>
      </c>
      <c r="F274" s="254">
        <f t="shared" si="25"/>
        <v>5580</v>
      </c>
      <c r="G274" s="258">
        <v>42320</v>
      </c>
      <c r="H274" s="253">
        <v>1000</v>
      </c>
      <c r="I274" s="254">
        <v>16.734999999999999</v>
      </c>
      <c r="J274" s="254">
        <v>0.31</v>
      </c>
      <c r="K274" s="254">
        <f t="shared" si="24"/>
        <v>16734.689999999999</v>
      </c>
      <c r="L274" s="253"/>
      <c r="M274" s="253"/>
    </row>
    <row r="275" spans="1:13" x14ac:dyDescent="0.25">
      <c r="A275" s="253"/>
      <c r="B275" s="551">
        <v>42221</v>
      </c>
      <c r="C275" s="253">
        <v>200</v>
      </c>
      <c r="D275" s="254">
        <v>18.5</v>
      </c>
      <c r="E275" s="254">
        <v>0</v>
      </c>
      <c r="F275" s="254">
        <f t="shared" si="25"/>
        <v>3700</v>
      </c>
      <c r="G275" s="258">
        <v>42328</v>
      </c>
      <c r="H275" s="253">
        <v>940</v>
      </c>
      <c r="I275" s="254">
        <v>15.51</v>
      </c>
      <c r="J275" s="254">
        <v>0.27</v>
      </c>
      <c r="K275" s="254">
        <f t="shared" si="24"/>
        <v>14579.13</v>
      </c>
      <c r="L275" s="253"/>
      <c r="M275" s="253"/>
    </row>
    <row r="276" spans="1:13" x14ac:dyDescent="0.25">
      <c r="A276" s="253"/>
      <c r="B276" s="551">
        <v>42223</v>
      </c>
      <c r="C276" s="253">
        <v>50</v>
      </c>
      <c r="D276" s="254">
        <v>18.75</v>
      </c>
      <c r="E276" s="254">
        <v>0</v>
      </c>
      <c r="F276" s="254">
        <f t="shared" si="25"/>
        <v>937.5</v>
      </c>
      <c r="G276" s="258">
        <v>42335</v>
      </c>
      <c r="H276" s="253">
        <v>940</v>
      </c>
      <c r="I276" s="254">
        <v>15.62</v>
      </c>
      <c r="J276" s="254">
        <v>0.27</v>
      </c>
      <c r="K276" s="254">
        <f t="shared" si="24"/>
        <v>14682.529999999999</v>
      </c>
      <c r="L276" s="253"/>
      <c r="M276" s="253"/>
    </row>
    <row r="277" spans="1:13" x14ac:dyDescent="0.25">
      <c r="A277" s="253"/>
      <c r="B277" s="551">
        <v>42227</v>
      </c>
      <c r="C277" s="253">
        <v>50</v>
      </c>
      <c r="D277" s="254">
        <v>18.45</v>
      </c>
      <c r="E277" s="254">
        <v>0</v>
      </c>
      <c r="F277" s="254">
        <f t="shared" si="25"/>
        <v>922.5</v>
      </c>
      <c r="G277" s="258">
        <v>42341</v>
      </c>
      <c r="H277" s="253">
        <v>350</v>
      </c>
      <c r="I277" s="254">
        <v>16.03</v>
      </c>
      <c r="J277" s="254">
        <v>0.1</v>
      </c>
      <c r="K277" s="254">
        <f t="shared" si="24"/>
        <v>5610.4</v>
      </c>
      <c r="L277" s="253"/>
      <c r="M277" s="253"/>
    </row>
    <row r="278" spans="1:13" x14ac:dyDescent="0.25">
      <c r="A278" s="253"/>
      <c r="B278" s="551">
        <v>42228</v>
      </c>
      <c r="C278" s="253">
        <v>100</v>
      </c>
      <c r="D278" s="254">
        <v>18.45</v>
      </c>
      <c r="E278" s="254">
        <v>0</v>
      </c>
      <c r="F278" s="254">
        <f t="shared" si="25"/>
        <v>1845</v>
      </c>
      <c r="G278" s="258">
        <v>42346</v>
      </c>
      <c r="H278" s="253">
        <v>200</v>
      </c>
      <c r="I278" s="254">
        <v>16.2</v>
      </c>
      <c r="J278" s="254">
        <v>0.06</v>
      </c>
      <c r="K278" s="254">
        <f t="shared" si="24"/>
        <v>3239.94</v>
      </c>
      <c r="L278" s="253"/>
      <c r="M278" s="253"/>
    </row>
    <row r="279" spans="1:13" x14ac:dyDescent="0.25">
      <c r="A279" s="253"/>
      <c r="B279" s="551">
        <v>42228</v>
      </c>
      <c r="C279" s="253">
        <v>200</v>
      </c>
      <c r="D279" s="254">
        <v>18.190000000000001</v>
      </c>
      <c r="E279" s="254">
        <v>0</v>
      </c>
      <c r="F279" s="254">
        <f t="shared" si="25"/>
        <v>3638.0000000000005</v>
      </c>
      <c r="G279" s="258">
        <v>42353</v>
      </c>
      <c r="H279" s="253">
        <v>200</v>
      </c>
      <c r="I279" s="254">
        <v>14.74</v>
      </c>
      <c r="J279" s="254">
        <v>0.05</v>
      </c>
      <c r="K279" s="254">
        <f t="shared" si="24"/>
        <v>2947.95</v>
      </c>
      <c r="L279" s="253"/>
      <c r="M279" s="253"/>
    </row>
    <row r="280" spans="1:13" x14ac:dyDescent="0.25">
      <c r="A280" s="253"/>
      <c r="B280" s="551">
        <v>42228</v>
      </c>
      <c r="C280" s="253">
        <v>200</v>
      </c>
      <c r="D280" s="254">
        <v>18.100000000000001</v>
      </c>
      <c r="E280" s="254">
        <v>0</v>
      </c>
      <c r="F280" s="254">
        <f t="shared" si="25"/>
        <v>3620.0000000000005</v>
      </c>
      <c r="G280" s="258">
        <v>42354</v>
      </c>
      <c r="H280" s="253">
        <v>940</v>
      </c>
      <c r="I280" s="254">
        <v>14.15</v>
      </c>
      <c r="J280" s="254">
        <v>0.24</v>
      </c>
      <c r="K280" s="254">
        <f t="shared" si="24"/>
        <v>13300.76</v>
      </c>
      <c r="L280" s="253"/>
      <c r="M280" s="253"/>
    </row>
    <row r="281" spans="1:13" x14ac:dyDescent="0.25">
      <c r="A281" s="253"/>
      <c r="B281" s="551">
        <v>42229</v>
      </c>
      <c r="C281" s="253">
        <v>100</v>
      </c>
      <c r="D281" s="254">
        <v>18.329999999999998</v>
      </c>
      <c r="E281" s="254">
        <v>0</v>
      </c>
      <c r="F281" s="254">
        <f t="shared" si="25"/>
        <v>1832.9999999999998</v>
      </c>
      <c r="G281" s="258">
        <v>42354</v>
      </c>
      <c r="H281" s="253">
        <v>1140</v>
      </c>
      <c r="I281" s="254">
        <v>14.06</v>
      </c>
      <c r="J281" s="254">
        <v>1.86</v>
      </c>
      <c r="K281" s="254">
        <f t="shared" si="24"/>
        <v>16026.54</v>
      </c>
      <c r="L281" s="253"/>
      <c r="M281" s="253"/>
    </row>
    <row r="282" spans="1:13" x14ac:dyDescent="0.25">
      <c r="A282" s="253"/>
      <c r="B282" s="551">
        <v>42230</v>
      </c>
      <c r="C282" s="253">
        <v>100</v>
      </c>
      <c r="D282" s="254">
        <v>18</v>
      </c>
      <c r="E282" s="254">
        <v>0</v>
      </c>
      <c r="F282" s="254">
        <f t="shared" si="25"/>
        <v>1800</v>
      </c>
      <c r="G282" s="258">
        <v>42355</v>
      </c>
      <c r="H282" s="253">
        <v>1840</v>
      </c>
      <c r="I282" s="254">
        <v>14.55</v>
      </c>
      <c r="J282" s="254">
        <v>0.49</v>
      </c>
      <c r="K282" s="254">
        <f t="shared" si="24"/>
        <v>26771.51</v>
      </c>
      <c r="L282" s="253"/>
      <c r="M282" s="253"/>
    </row>
    <row r="283" spans="1:13" x14ac:dyDescent="0.25">
      <c r="A283" s="253"/>
      <c r="B283" s="551">
        <v>42230</v>
      </c>
      <c r="C283" s="253">
        <v>200</v>
      </c>
      <c r="D283" s="254">
        <v>17.78</v>
      </c>
      <c r="E283" s="254">
        <v>0</v>
      </c>
      <c r="F283" s="254">
        <f t="shared" si="25"/>
        <v>3556</v>
      </c>
      <c r="G283" s="258">
        <v>42361</v>
      </c>
      <c r="H283" s="253">
        <v>1000</v>
      </c>
      <c r="I283" s="254">
        <v>14.39</v>
      </c>
      <c r="J283" s="254">
        <v>0.27</v>
      </c>
      <c r="K283" s="254">
        <f t="shared" si="24"/>
        <v>14389.73</v>
      </c>
      <c r="L283" s="253"/>
      <c r="M283" s="253"/>
    </row>
    <row r="284" spans="1:13" x14ac:dyDescent="0.25">
      <c r="A284" s="253"/>
      <c r="B284" s="551">
        <v>42234</v>
      </c>
      <c r="C284" s="253">
        <v>100</v>
      </c>
      <c r="D284" s="254">
        <v>17.75</v>
      </c>
      <c r="E284" s="254">
        <v>0</v>
      </c>
      <c r="F284" s="254">
        <f t="shared" si="25"/>
        <v>1775</v>
      </c>
      <c r="G284" s="258">
        <v>42361</v>
      </c>
      <c r="H284" s="253">
        <v>500</v>
      </c>
      <c r="I284" s="254">
        <v>14.4</v>
      </c>
      <c r="J284" s="254">
        <v>0.14000000000000001</v>
      </c>
      <c r="K284" s="254">
        <f t="shared" si="24"/>
        <v>7199.86</v>
      </c>
      <c r="L284" s="253"/>
      <c r="M284" s="253"/>
    </row>
    <row r="285" spans="1:13" x14ac:dyDescent="0.25">
      <c r="A285" s="253"/>
      <c r="B285" s="551">
        <v>42235</v>
      </c>
      <c r="C285" s="253">
        <v>100</v>
      </c>
      <c r="D285" s="254">
        <v>17.350000000000001</v>
      </c>
      <c r="E285" s="254">
        <v>0</v>
      </c>
      <c r="F285" s="254">
        <f t="shared" si="25"/>
        <v>1735.0000000000002</v>
      </c>
      <c r="G285" s="258">
        <v>42362</v>
      </c>
      <c r="H285" s="253">
        <v>440</v>
      </c>
      <c r="I285" s="254">
        <v>14.66</v>
      </c>
      <c r="J285" s="254">
        <v>0.12</v>
      </c>
      <c r="K285" s="254">
        <f t="shared" si="24"/>
        <v>6450.28</v>
      </c>
      <c r="L285" s="253"/>
      <c r="M285" s="253"/>
    </row>
    <row r="286" spans="1:13" x14ac:dyDescent="0.25">
      <c r="A286" s="253"/>
      <c r="B286" s="551">
        <v>42235</v>
      </c>
      <c r="C286" s="253">
        <v>100</v>
      </c>
      <c r="D286" s="254">
        <v>17.55</v>
      </c>
      <c r="E286" s="254">
        <v>0</v>
      </c>
      <c r="F286" s="254">
        <f t="shared" si="25"/>
        <v>1755</v>
      </c>
      <c r="G286" s="258">
        <v>42362</v>
      </c>
      <c r="H286" s="253">
        <v>1000</v>
      </c>
      <c r="I286" s="254">
        <v>14.76</v>
      </c>
      <c r="J286" s="254">
        <v>0.27</v>
      </c>
      <c r="K286" s="254">
        <f t="shared" si="24"/>
        <v>14759.73</v>
      </c>
      <c r="L286" s="253"/>
      <c r="M286" s="253"/>
    </row>
    <row r="287" spans="1:13" x14ac:dyDescent="0.25">
      <c r="A287" s="253"/>
      <c r="B287" s="551">
        <v>42235</v>
      </c>
      <c r="C287" s="253">
        <v>100</v>
      </c>
      <c r="D287" s="254">
        <v>17.170000000000002</v>
      </c>
      <c r="E287" s="254">
        <v>0</v>
      </c>
      <c r="F287" s="254">
        <f t="shared" si="25"/>
        <v>1717.0000000000002</v>
      </c>
      <c r="G287" s="258">
        <v>42398</v>
      </c>
      <c r="H287" s="253">
        <v>260</v>
      </c>
      <c r="I287" s="254">
        <v>10.78</v>
      </c>
      <c r="J287" s="254">
        <v>0.05</v>
      </c>
      <c r="K287" s="254">
        <f t="shared" si="24"/>
        <v>2802.7499999999995</v>
      </c>
      <c r="L287" s="253"/>
      <c r="M287" s="253"/>
    </row>
    <row r="288" spans="1:13" x14ac:dyDescent="0.25">
      <c r="A288" s="253"/>
      <c r="B288" s="551">
        <v>42235</v>
      </c>
      <c r="C288" s="253">
        <v>100</v>
      </c>
      <c r="D288" s="254">
        <v>17</v>
      </c>
      <c r="E288" s="254">
        <v>0</v>
      </c>
      <c r="F288" s="254">
        <f t="shared" si="25"/>
        <v>1700</v>
      </c>
      <c r="G288" s="258">
        <v>42418</v>
      </c>
      <c r="H288" s="253">
        <v>500</v>
      </c>
      <c r="I288" s="254">
        <v>10.67</v>
      </c>
      <c r="J288" s="254">
        <v>0.12</v>
      </c>
      <c r="K288" s="254">
        <f t="shared" si="24"/>
        <v>5334.88</v>
      </c>
      <c r="L288" s="253"/>
      <c r="M288" s="253"/>
    </row>
    <row r="289" spans="1:13" x14ac:dyDescent="0.25">
      <c r="A289" s="253"/>
      <c r="B289" s="551">
        <v>42236</v>
      </c>
      <c r="C289" s="253">
        <v>100</v>
      </c>
      <c r="D289" s="254">
        <v>16.559999999999999</v>
      </c>
      <c r="E289" s="254">
        <v>0</v>
      </c>
      <c r="F289" s="254">
        <f t="shared" si="25"/>
        <v>1655.9999999999998</v>
      </c>
      <c r="G289" s="258">
        <v>42418</v>
      </c>
      <c r="H289" s="253">
        <v>760</v>
      </c>
      <c r="I289" s="254">
        <v>10.85</v>
      </c>
      <c r="J289" s="254">
        <v>0.18</v>
      </c>
      <c r="K289" s="254">
        <f t="shared" si="24"/>
        <v>8245.82</v>
      </c>
      <c r="L289" s="253"/>
      <c r="M289" s="253"/>
    </row>
    <row r="290" spans="1:13" x14ac:dyDescent="0.25">
      <c r="A290" s="253"/>
      <c r="B290" s="551">
        <v>42236</v>
      </c>
      <c r="C290" s="253">
        <v>200</v>
      </c>
      <c r="D290" s="254">
        <v>16.21</v>
      </c>
      <c r="E290" s="254">
        <v>0</v>
      </c>
      <c r="F290" s="254">
        <f t="shared" si="25"/>
        <v>3242</v>
      </c>
      <c r="G290" s="258">
        <v>42418</v>
      </c>
      <c r="H290" s="253">
        <v>200</v>
      </c>
      <c r="I290" s="254">
        <v>11.46</v>
      </c>
      <c r="J290" s="254">
        <v>0.21</v>
      </c>
      <c r="K290" s="254">
        <f t="shared" si="24"/>
        <v>2291.79</v>
      </c>
      <c r="L290" s="253"/>
      <c r="M290" s="253"/>
    </row>
    <row r="291" spans="1:13" x14ac:dyDescent="0.25">
      <c r="A291" s="253"/>
      <c r="B291" s="551">
        <v>42236</v>
      </c>
      <c r="C291" s="253">
        <v>100</v>
      </c>
      <c r="D291" s="254">
        <v>16.399999999999999</v>
      </c>
      <c r="E291" s="254">
        <v>0</v>
      </c>
      <c r="F291" s="254">
        <f t="shared" si="25"/>
        <v>1639.9999999999998</v>
      </c>
      <c r="G291" s="258">
        <v>42418</v>
      </c>
      <c r="H291" s="259">
        <v>200</v>
      </c>
      <c r="I291" s="254">
        <v>11.7</v>
      </c>
      <c r="J291" s="254">
        <v>0.05</v>
      </c>
      <c r="K291" s="254">
        <f t="shared" si="24"/>
        <v>2339.9499999999998</v>
      </c>
      <c r="L291" s="253"/>
      <c r="M291" s="253"/>
    </row>
    <row r="292" spans="1:13" x14ac:dyDescent="0.25">
      <c r="A292" s="253"/>
      <c r="B292" s="551">
        <v>42237</v>
      </c>
      <c r="C292" s="253">
        <v>200</v>
      </c>
      <c r="D292" s="254">
        <v>16.32</v>
      </c>
      <c r="E292" s="254">
        <v>0</v>
      </c>
      <c r="F292" s="254">
        <f t="shared" si="25"/>
        <v>3264</v>
      </c>
      <c r="G292" s="258">
        <v>42431</v>
      </c>
      <c r="H292" s="259">
        <v>500</v>
      </c>
      <c r="I292" s="254">
        <v>11.57</v>
      </c>
      <c r="J292" s="254">
        <v>0.13</v>
      </c>
      <c r="K292" s="254">
        <f t="shared" si="24"/>
        <v>5784.87</v>
      </c>
      <c r="L292" s="253"/>
      <c r="M292" s="253"/>
    </row>
    <row r="293" spans="1:13" x14ac:dyDescent="0.25">
      <c r="A293" s="253"/>
      <c r="B293" s="551">
        <v>42237</v>
      </c>
      <c r="C293" s="253">
        <v>100</v>
      </c>
      <c r="D293" s="254">
        <v>16.420000000000002</v>
      </c>
      <c r="E293" s="254">
        <v>0</v>
      </c>
      <c r="F293" s="254">
        <f t="shared" si="25"/>
        <v>1642.0000000000002</v>
      </c>
      <c r="G293" s="258">
        <v>42436</v>
      </c>
      <c r="H293" s="259">
        <v>520</v>
      </c>
      <c r="I293" s="254">
        <v>11.59</v>
      </c>
      <c r="J293" s="254">
        <v>0.13</v>
      </c>
      <c r="K293" s="254">
        <f t="shared" si="24"/>
        <v>6026.67</v>
      </c>
      <c r="L293" s="253"/>
      <c r="M293" s="253"/>
    </row>
    <row r="294" spans="1:13" x14ac:dyDescent="0.25">
      <c r="A294" s="253"/>
      <c r="B294" s="551">
        <v>42240</v>
      </c>
      <c r="C294" s="253">
        <v>200</v>
      </c>
      <c r="D294" s="254">
        <v>16.27</v>
      </c>
      <c r="E294" s="254">
        <v>0</v>
      </c>
      <c r="F294" s="254">
        <f t="shared" si="25"/>
        <v>3254</v>
      </c>
      <c r="G294" s="258">
        <v>42446</v>
      </c>
      <c r="H294" s="259">
        <v>500</v>
      </c>
      <c r="I294" s="254">
        <v>10.95</v>
      </c>
      <c r="J294" s="254">
        <v>0.12</v>
      </c>
      <c r="K294" s="254">
        <f t="shared" si="24"/>
        <v>5474.88</v>
      </c>
      <c r="L294" s="253"/>
      <c r="M294" s="253"/>
    </row>
    <row r="295" spans="1:13" x14ac:dyDescent="0.25">
      <c r="A295" s="253"/>
      <c r="B295" s="551">
        <v>42240</v>
      </c>
      <c r="C295" s="253">
        <v>200</v>
      </c>
      <c r="D295" s="254">
        <v>16.2</v>
      </c>
      <c r="E295" s="254">
        <v>0</v>
      </c>
      <c r="F295" s="254">
        <f t="shared" si="25"/>
        <v>3240</v>
      </c>
      <c r="G295" s="258">
        <v>42447</v>
      </c>
      <c r="H295" s="259">
        <v>2000</v>
      </c>
      <c r="I295" s="254">
        <v>11.12</v>
      </c>
      <c r="J295" s="254">
        <v>0.48</v>
      </c>
      <c r="K295" s="254">
        <f t="shared" si="24"/>
        <v>22239.52</v>
      </c>
      <c r="L295" s="253"/>
      <c r="M295" s="253"/>
    </row>
    <row r="296" spans="1:13" x14ac:dyDescent="0.25">
      <c r="A296" s="253"/>
      <c r="B296" s="551">
        <v>42240</v>
      </c>
      <c r="C296" s="253">
        <v>100</v>
      </c>
      <c r="D296" s="254">
        <v>16.100000000000001</v>
      </c>
      <c r="E296" s="254">
        <v>0</v>
      </c>
      <c r="F296" s="254">
        <f t="shared" si="25"/>
        <v>1610.0000000000002</v>
      </c>
      <c r="G296" s="671">
        <v>42447</v>
      </c>
      <c r="H296" s="259">
        <v>355</v>
      </c>
      <c r="I296" s="254">
        <v>11.13</v>
      </c>
      <c r="J296" s="254">
        <v>0.12</v>
      </c>
      <c r="K296" s="254">
        <f t="shared" si="24"/>
        <v>3951.03</v>
      </c>
      <c r="L296" s="253"/>
      <c r="M296" s="253"/>
    </row>
    <row r="297" spans="1:13" x14ac:dyDescent="0.25">
      <c r="A297" s="253"/>
      <c r="B297" s="551">
        <v>42269</v>
      </c>
      <c r="C297" s="253">
        <v>800</v>
      </c>
      <c r="D297" s="254">
        <v>16.399999999999999</v>
      </c>
      <c r="E297" s="254">
        <v>0</v>
      </c>
      <c r="F297" s="254">
        <f t="shared" si="25"/>
        <v>13119.999999999998</v>
      </c>
      <c r="G297" s="671"/>
      <c r="H297" s="259">
        <v>40</v>
      </c>
      <c r="I297" s="254">
        <v>11.13</v>
      </c>
      <c r="J297" s="254">
        <v>0</v>
      </c>
      <c r="K297" s="254">
        <f t="shared" si="24"/>
        <v>445.20000000000005</v>
      </c>
      <c r="L297" s="253"/>
      <c r="M297" s="253"/>
    </row>
    <row r="298" spans="1:13" x14ac:dyDescent="0.25">
      <c r="A298" s="253"/>
      <c r="B298" s="551">
        <v>42270</v>
      </c>
      <c r="C298" s="253">
        <v>500</v>
      </c>
      <c r="D298" s="254">
        <v>15.8</v>
      </c>
      <c r="E298" s="254">
        <v>0</v>
      </c>
      <c r="F298" s="254">
        <f t="shared" si="25"/>
        <v>7900</v>
      </c>
      <c r="G298" s="671"/>
      <c r="H298" s="259">
        <v>105</v>
      </c>
      <c r="I298" s="254">
        <v>11.13</v>
      </c>
      <c r="J298" s="254">
        <v>0</v>
      </c>
      <c r="K298" s="254">
        <f t="shared" si="24"/>
        <v>1168.6500000000001</v>
      </c>
      <c r="L298" s="253"/>
      <c r="M298" s="253"/>
    </row>
    <row r="299" spans="1:13" x14ac:dyDescent="0.25">
      <c r="A299" s="253"/>
      <c r="B299" s="551">
        <v>42270</v>
      </c>
      <c r="C299" s="253">
        <v>1000</v>
      </c>
      <c r="D299" s="254">
        <v>15.6</v>
      </c>
      <c r="E299" s="254">
        <v>0</v>
      </c>
      <c r="F299" s="254">
        <f t="shared" si="25"/>
        <v>15600</v>
      </c>
      <c r="G299" s="258">
        <v>42450</v>
      </c>
      <c r="H299" s="259">
        <v>1300</v>
      </c>
      <c r="I299" s="254">
        <v>11.59</v>
      </c>
      <c r="J299" s="254">
        <v>0.33</v>
      </c>
      <c r="K299" s="254">
        <f t="shared" si="24"/>
        <v>15066.67</v>
      </c>
      <c r="L299" s="253"/>
      <c r="M299" s="253"/>
    </row>
    <row r="300" spans="1:13" x14ac:dyDescent="0.25">
      <c r="A300" s="253"/>
      <c r="B300" s="551">
        <v>42270</v>
      </c>
      <c r="C300" s="253">
        <v>180</v>
      </c>
      <c r="D300" s="254">
        <v>15.4</v>
      </c>
      <c r="E300" s="254">
        <v>0</v>
      </c>
      <c r="F300" s="254">
        <f t="shared" si="25"/>
        <v>2772</v>
      </c>
      <c r="G300" s="258">
        <v>42461</v>
      </c>
      <c r="H300" s="259">
        <v>100</v>
      </c>
      <c r="I300" s="254">
        <v>10.92</v>
      </c>
      <c r="J300" s="254">
        <v>0.02</v>
      </c>
      <c r="K300" s="254">
        <f t="shared" si="24"/>
        <v>1091.98</v>
      </c>
      <c r="L300" s="253"/>
      <c r="M300" s="253"/>
    </row>
    <row r="301" spans="1:13" x14ac:dyDescent="0.25">
      <c r="A301" s="253"/>
      <c r="B301" s="551">
        <v>42275</v>
      </c>
      <c r="C301" s="253">
        <v>200</v>
      </c>
      <c r="D301" s="254">
        <v>15</v>
      </c>
      <c r="E301" s="254">
        <v>0</v>
      </c>
      <c r="F301" s="254">
        <f t="shared" si="25"/>
        <v>3000</v>
      </c>
      <c r="G301" s="258">
        <v>42468</v>
      </c>
      <c r="H301" s="259">
        <v>500</v>
      </c>
      <c r="I301" s="254">
        <v>10.83</v>
      </c>
      <c r="J301" s="254">
        <v>0.12</v>
      </c>
      <c r="K301" s="254">
        <f t="shared" si="24"/>
        <v>5414.88</v>
      </c>
      <c r="L301" s="253"/>
      <c r="M301" s="253"/>
    </row>
    <row r="302" spans="1:13" x14ac:dyDescent="0.25">
      <c r="A302" s="253"/>
      <c r="B302" s="551">
        <v>42277</v>
      </c>
      <c r="C302" s="253">
        <v>200</v>
      </c>
      <c r="D302" s="254">
        <v>14.75</v>
      </c>
      <c r="E302" s="254">
        <v>0</v>
      </c>
      <c r="F302" s="254">
        <f t="shared" si="25"/>
        <v>2950</v>
      </c>
      <c r="G302" s="258">
        <v>42473</v>
      </c>
      <c r="H302" s="259">
        <v>600</v>
      </c>
      <c r="I302" s="254">
        <v>10.76</v>
      </c>
      <c r="J302" s="254">
        <v>0.14000000000000001</v>
      </c>
      <c r="K302" s="254">
        <f t="shared" si="24"/>
        <v>6455.86</v>
      </c>
      <c r="L302" s="253"/>
      <c r="M302" s="254"/>
    </row>
    <row r="303" spans="1:13" x14ac:dyDescent="0.25">
      <c r="A303" s="253"/>
      <c r="B303" s="551">
        <v>42291</v>
      </c>
      <c r="C303" s="253">
        <v>400</v>
      </c>
      <c r="D303" s="254">
        <v>18.7</v>
      </c>
      <c r="E303" s="254">
        <v>0</v>
      </c>
      <c r="F303" s="254">
        <f t="shared" si="25"/>
        <v>7480</v>
      </c>
      <c r="G303" s="258">
        <v>42486</v>
      </c>
      <c r="H303" s="259">
        <v>500</v>
      </c>
      <c r="I303" s="254">
        <v>11.19</v>
      </c>
      <c r="J303" s="254">
        <v>0.12</v>
      </c>
      <c r="K303" s="254">
        <f t="shared" si="24"/>
        <v>5594.88</v>
      </c>
      <c r="L303" s="253"/>
      <c r="M303" s="253"/>
    </row>
    <row r="304" spans="1:13" x14ac:dyDescent="0.25">
      <c r="A304" s="253"/>
      <c r="B304" s="551">
        <v>42297</v>
      </c>
      <c r="C304" s="253">
        <v>2000</v>
      </c>
      <c r="D304" s="254">
        <v>18.649999999999999</v>
      </c>
      <c r="E304" s="254">
        <v>0</v>
      </c>
      <c r="F304" s="254">
        <f t="shared" si="25"/>
        <v>37300</v>
      </c>
      <c r="G304" s="258">
        <v>42486</v>
      </c>
      <c r="H304" s="259">
        <v>500</v>
      </c>
      <c r="I304" s="254">
        <v>11.56</v>
      </c>
      <c r="J304" s="254">
        <v>0.13</v>
      </c>
      <c r="K304" s="254">
        <f t="shared" si="24"/>
        <v>5779.87</v>
      </c>
      <c r="L304" s="253"/>
      <c r="M304" s="253"/>
    </row>
    <row r="305" spans="1:13" x14ac:dyDescent="0.25">
      <c r="A305" s="253"/>
      <c r="B305" s="551">
        <v>42300</v>
      </c>
      <c r="C305" s="253">
        <v>1000</v>
      </c>
      <c r="D305" s="254">
        <v>17.7</v>
      </c>
      <c r="E305" s="254">
        <v>0</v>
      </c>
      <c r="F305" s="254">
        <f t="shared" si="25"/>
        <v>17700</v>
      </c>
      <c r="G305" s="258">
        <v>42488</v>
      </c>
      <c r="H305" s="259">
        <v>600</v>
      </c>
      <c r="I305" s="254">
        <v>12.19</v>
      </c>
      <c r="J305" s="254">
        <v>0.16</v>
      </c>
      <c r="K305" s="254">
        <f t="shared" si="24"/>
        <v>7313.84</v>
      </c>
      <c r="L305" s="253"/>
      <c r="M305" s="253"/>
    </row>
    <row r="306" spans="1:13" x14ac:dyDescent="0.25">
      <c r="A306" s="253"/>
      <c r="B306" s="551">
        <v>42300</v>
      </c>
      <c r="C306" s="253">
        <v>700</v>
      </c>
      <c r="D306" s="254">
        <v>17.22</v>
      </c>
      <c r="E306" s="254">
        <v>0</v>
      </c>
      <c r="F306" s="254">
        <f t="shared" si="25"/>
        <v>12054</v>
      </c>
      <c r="G306" s="258">
        <v>42488</v>
      </c>
      <c r="H306" s="259">
        <v>600</v>
      </c>
      <c r="I306" s="254">
        <v>12.4</v>
      </c>
      <c r="J306" s="254">
        <v>2.2599999999999998</v>
      </c>
      <c r="K306" s="254">
        <f t="shared" si="24"/>
        <v>7437.74</v>
      </c>
      <c r="L306" s="253"/>
      <c r="M306" s="253"/>
    </row>
    <row r="307" spans="1:13" x14ac:dyDescent="0.25">
      <c r="A307" s="253"/>
      <c r="B307" s="551">
        <v>42300</v>
      </c>
      <c r="C307" s="253">
        <v>1000</v>
      </c>
      <c r="D307" s="254">
        <v>16.999500000000001</v>
      </c>
      <c r="E307" s="254">
        <v>0</v>
      </c>
      <c r="F307" s="254">
        <f t="shared" si="25"/>
        <v>16999.5</v>
      </c>
      <c r="G307" s="258">
        <v>42495</v>
      </c>
      <c r="H307" s="259">
        <v>1000</v>
      </c>
      <c r="I307" s="254">
        <v>10.31</v>
      </c>
      <c r="J307" s="254">
        <v>0.22</v>
      </c>
      <c r="K307" s="254">
        <f t="shared" si="24"/>
        <v>10309.780000000001</v>
      </c>
      <c r="L307" s="253"/>
      <c r="M307" s="253"/>
    </row>
    <row r="308" spans="1:13" x14ac:dyDescent="0.25">
      <c r="A308" s="253"/>
      <c r="B308" s="551">
        <v>42310</v>
      </c>
      <c r="C308" s="253">
        <v>900</v>
      </c>
      <c r="D308" s="254">
        <v>16.89667</v>
      </c>
      <c r="E308" s="254">
        <v>6.95</v>
      </c>
      <c r="F308" s="254">
        <f t="shared" si="25"/>
        <v>15213.953000000001</v>
      </c>
      <c r="G308" s="258">
        <v>42503</v>
      </c>
      <c r="H308" s="259">
        <v>2000</v>
      </c>
      <c r="I308" s="254">
        <v>9.73</v>
      </c>
      <c r="J308" s="254">
        <v>0.42</v>
      </c>
      <c r="K308" s="254">
        <f t="shared" si="24"/>
        <v>19459.580000000002</v>
      </c>
      <c r="L308" s="253"/>
      <c r="M308" s="253"/>
    </row>
    <row r="309" spans="1:13" x14ac:dyDescent="0.25">
      <c r="A309" s="253"/>
      <c r="B309" s="551">
        <v>42311</v>
      </c>
      <c r="C309" s="253">
        <v>200</v>
      </c>
      <c r="D309" s="254">
        <v>16.27</v>
      </c>
      <c r="E309" s="254">
        <v>6.95</v>
      </c>
      <c r="F309" s="254">
        <f t="shared" si="25"/>
        <v>3260.95</v>
      </c>
      <c r="G309" s="258">
        <v>42503</v>
      </c>
      <c r="H309" s="259">
        <v>2000</v>
      </c>
      <c r="I309" s="254">
        <v>9.76</v>
      </c>
      <c r="J309" s="254">
        <v>0.43</v>
      </c>
      <c r="K309" s="254">
        <f t="shared" si="24"/>
        <v>19519.57</v>
      </c>
      <c r="L309" s="253"/>
      <c r="M309" s="253"/>
    </row>
    <row r="310" spans="1:13" x14ac:dyDescent="0.25">
      <c r="A310" s="253"/>
      <c r="B310" s="673">
        <v>42317</v>
      </c>
      <c r="C310" s="253">
        <v>190</v>
      </c>
      <c r="D310" s="254">
        <v>17.100000000000001</v>
      </c>
      <c r="E310" s="254">
        <v>0</v>
      </c>
      <c r="F310" s="254">
        <f t="shared" si="25"/>
        <v>3249.0000000000005</v>
      </c>
      <c r="G310" s="671">
        <v>42510</v>
      </c>
      <c r="H310" s="259">
        <v>240</v>
      </c>
      <c r="I310" s="254">
        <v>10.75</v>
      </c>
      <c r="J310" s="254">
        <v>0.12</v>
      </c>
      <c r="K310" s="254">
        <f t="shared" si="24"/>
        <v>2579.88</v>
      </c>
      <c r="L310" s="253"/>
      <c r="M310" s="253"/>
    </row>
    <row r="311" spans="1:13" x14ac:dyDescent="0.25">
      <c r="A311" s="253"/>
      <c r="B311" s="673"/>
      <c r="C311" s="253">
        <v>2</v>
      </c>
      <c r="D311" s="254">
        <v>17.100000000000001</v>
      </c>
      <c r="E311" s="254">
        <v>0</v>
      </c>
      <c r="F311" s="254">
        <f t="shared" si="25"/>
        <v>34.200000000000003</v>
      </c>
      <c r="G311" s="671"/>
      <c r="H311" s="259">
        <v>260</v>
      </c>
      <c r="I311" s="254">
        <v>10.75</v>
      </c>
      <c r="J311" s="254">
        <v>0</v>
      </c>
      <c r="K311" s="254">
        <f t="shared" si="24"/>
        <v>2795</v>
      </c>
      <c r="L311" s="253"/>
      <c r="M311" s="253"/>
    </row>
    <row r="312" spans="1:13" x14ac:dyDescent="0.25">
      <c r="A312" s="253"/>
      <c r="B312" s="673">
        <v>42318</v>
      </c>
      <c r="C312" s="253">
        <v>8</v>
      </c>
      <c r="D312" s="254">
        <v>16.989999999999998</v>
      </c>
      <c r="E312" s="254">
        <v>0</v>
      </c>
      <c r="F312" s="254">
        <f t="shared" si="25"/>
        <v>135.91999999999999</v>
      </c>
      <c r="G312" s="258">
        <v>42514</v>
      </c>
      <c r="H312" s="259">
        <v>500</v>
      </c>
      <c r="I312" s="254">
        <v>11.37</v>
      </c>
      <c r="J312" s="254">
        <v>0.12</v>
      </c>
      <c r="K312" s="254">
        <f t="shared" si="24"/>
        <v>5684.88</v>
      </c>
      <c r="L312" s="253"/>
      <c r="M312" s="253"/>
    </row>
    <row r="313" spans="1:13" x14ac:dyDescent="0.25">
      <c r="A313" s="253"/>
      <c r="B313" s="673"/>
      <c r="C313" s="253">
        <v>500</v>
      </c>
      <c r="D313" s="254">
        <v>16.989999999999998</v>
      </c>
      <c r="E313" s="254">
        <v>0</v>
      </c>
      <c r="F313" s="254">
        <f>C313*D313+E313</f>
        <v>8495</v>
      </c>
      <c r="G313" s="258">
        <v>42514</v>
      </c>
      <c r="H313" s="259">
        <v>500</v>
      </c>
      <c r="I313" s="254">
        <v>11.54</v>
      </c>
      <c r="J313" s="254">
        <v>0.13</v>
      </c>
      <c r="K313" s="254">
        <f t="shared" si="24"/>
        <v>5769.87</v>
      </c>
      <c r="L313" s="253"/>
      <c r="M313" s="253"/>
    </row>
    <row r="314" spans="1:13" x14ac:dyDescent="0.25">
      <c r="A314" s="253"/>
      <c r="B314" s="673"/>
      <c r="C314" s="253">
        <v>300</v>
      </c>
      <c r="D314" s="254">
        <v>16.989999999999998</v>
      </c>
      <c r="E314" s="254">
        <v>0</v>
      </c>
      <c r="F314" s="254">
        <f>C314*D314+E314</f>
        <v>5096.9999999999991</v>
      </c>
      <c r="G314" s="258">
        <v>42514</v>
      </c>
      <c r="H314" s="259">
        <v>500</v>
      </c>
      <c r="I314" s="254">
        <v>11.76</v>
      </c>
      <c r="J314" s="254">
        <v>0.13</v>
      </c>
      <c r="K314" s="254">
        <f t="shared" si="24"/>
        <v>5879.87</v>
      </c>
      <c r="L314" s="253"/>
      <c r="M314" s="253"/>
    </row>
    <row r="315" spans="1:13" x14ac:dyDescent="0.25">
      <c r="A315" s="253"/>
      <c r="B315" s="673"/>
      <c r="C315" s="253">
        <v>1000</v>
      </c>
      <c r="D315" s="254">
        <v>16.989999999999998</v>
      </c>
      <c r="E315" s="254">
        <v>0</v>
      </c>
      <c r="F315" s="254">
        <f>C315*D315+E315</f>
        <v>16990</v>
      </c>
      <c r="G315" s="258">
        <v>42515</v>
      </c>
      <c r="H315" s="259">
        <v>500</v>
      </c>
      <c r="I315" s="254">
        <v>11.96</v>
      </c>
      <c r="J315" s="254">
        <v>0.13</v>
      </c>
      <c r="K315" s="254">
        <f t="shared" si="24"/>
        <v>5979.87</v>
      </c>
      <c r="L315" s="253"/>
      <c r="M315" s="253"/>
    </row>
    <row r="316" spans="1:13" x14ac:dyDescent="0.25">
      <c r="A316" s="253"/>
      <c r="B316" s="551">
        <v>42318</v>
      </c>
      <c r="C316" s="253">
        <v>500</v>
      </c>
      <c r="D316" s="254">
        <v>16.59</v>
      </c>
      <c r="E316" s="254">
        <v>0</v>
      </c>
      <c r="F316" s="254">
        <f t="shared" ref="F316:F379" si="26">C316*D316+E316</f>
        <v>8295</v>
      </c>
      <c r="G316" s="258">
        <v>42517</v>
      </c>
      <c r="H316" s="259">
        <v>1000</v>
      </c>
      <c r="I316" s="254">
        <v>12.31</v>
      </c>
      <c r="J316" s="254">
        <v>0.27</v>
      </c>
      <c r="K316" s="254">
        <f t="shared" si="24"/>
        <v>12309.73</v>
      </c>
      <c r="L316" s="253"/>
      <c r="M316" s="253"/>
    </row>
    <row r="317" spans="1:13" x14ac:dyDescent="0.25">
      <c r="A317" s="253"/>
      <c r="B317" s="551">
        <v>42318</v>
      </c>
      <c r="C317" s="253">
        <v>500</v>
      </c>
      <c r="D317" s="254">
        <v>16.489999999999998</v>
      </c>
      <c r="E317" s="254">
        <v>0</v>
      </c>
      <c r="F317" s="254">
        <f t="shared" si="26"/>
        <v>8245</v>
      </c>
      <c r="G317" s="258">
        <v>42517</v>
      </c>
      <c r="H317" s="259">
        <v>1000</v>
      </c>
      <c r="I317" s="254">
        <v>12.33</v>
      </c>
      <c r="J317" s="254">
        <v>0.27</v>
      </c>
      <c r="K317" s="254">
        <f t="shared" si="24"/>
        <v>12329.73</v>
      </c>
      <c r="L317" s="253"/>
      <c r="M317" s="253"/>
    </row>
    <row r="318" spans="1:13" x14ac:dyDescent="0.25">
      <c r="A318" s="253"/>
      <c r="B318" s="551">
        <v>42321</v>
      </c>
      <c r="C318" s="253">
        <v>350</v>
      </c>
      <c r="D318" s="254">
        <v>15.82</v>
      </c>
      <c r="E318" s="254">
        <v>0</v>
      </c>
      <c r="F318" s="254">
        <f t="shared" si="26"/>
        <v>5537</v>
      </c>
      <c r="G318" s="258">
        <v>42521</v>
      </c>
      <c r="H318" s="259">
        <v>500</v>
      </c>
      <c r="I318" s="254">
        <v>12.76</v>
      </c>
      <c r="J318" s="254">
        <v>0.14000000000000001</v>
      </c>
      <c r="K318" s="254">
        <f t="shared" si="24"/>
        <v>6379.86</v>
      </c>
      <c r="L318" s="253"/>
      <c r="M318" s="253"/>
    </row>
    <row r="319" spans="1:13" x14ac:dyDescent="0.25">
      <c r="A319" s="253"/>
      <c r="B319" s="551">
        <v>42327</v>
      </c>
      <c r="C319" s="253">
        <v>500</v>
      </c>
      <c r="D319" s="254">
        <v>14.82</v>
      </c>
      <c r="E319" s="254">
        <v>0</v>
      </c>
      <c r="F319" s="254">
        <f t="shared" si="26"/>
        <v>7410</v>
      </c>
      <c r="G319" s="258">
        <v>42521</v>
      </c>
      <c r="H319" s="259">
        <v>500</v>
      </c>
      <c r="I319" s="254">
        <v>12.76</v>
      </c>
      <c r="J319" s="254">
        <v>0.14000000000000001</v>
      </c>
      <c r="K319" s="254">
        <f t="shared" si="24"/>
        <v>6379.86</v>
      </c>
      <c r="L319" s="253"/>
      <c r="M319" s="253"/>
    </row>
    <row r="320" spans="1:13" x14ac:dyDescent="0.25">
      <c r="A320" s="253"/>
      <c r="B320" s="551">
        <v>42327</v>
      </c>
      <c r="C320" s="253">
        <v>440</v>
      </c>
      <c r="D320" s="254">
        <v>14.68</v>
      </c>
      <c r="E320" s="254">
        <v>0</v>
      </c>
      <c r="F320" s="254">
        <f t="shared" si="26"/>
        <v>6459.2</v>
      </c>
      <c r="G320" s="253"/>
      <c r="H320" s="253"/>
      <c r="I320" s="254"/>
      <c r="J320" s="254"/>
      <c r="K320" s="254"/>
      <c r="L320" s="253"/>
      <c r="M320" s="253"/>
    </row>
    <row r="321" spans="1:13" x14ac:dyDescent="0.25">
      <c r="A321" s="253"/>
      <c r="B321" s="551">
        <v>42333</v>
      </c>
      <c r="C321" s="253">
        <v>940</v>
      </c>
      <c r="D321" s="253">
        <v>15.35</v>
      </c>
      <c r="E321" s="254">
        <v>0</v>
      </c>
      <c r="F321" s="254">
        <f t="shared" si="26"/>
        <v>14429</v>
      </c>
      <c r="G321" s="253"/>
      <c r="H321" s="253"/>
      <c r="I321" s="254"/>
      <c r="J321" s="254"/>
      <c r="K321" s="254"/>
      <c r="L321" s="253"/>
      <c r="M321" s="253"/>
    </row>
    <row r="322" spans="1:13" ht="15" customHeight="1" x14ac:dyDescent="0.25">
      <c r="A322" s="253"/>
      <c r="B322" s="551">
        <v>42340</v>
      </c>
      <c r="C322" s="253">
        <v>350</v>
      </c>
      <c r="D322" s="253">
        <v>15.85</v>
      </c>
      <c r="E322" s="254">
        <v>0</v>
      </c>
      <c r="F322" s="254">
        <f t="shared" si="26"/>
        <v>5547.5</v>
      </c>
      <c r="G322" s="253"/>
      <c r="H322" s="253"/>
      <c r="I322" s="254"/>
      <c r="J322" s="254"/>
      <c r="K322" s="254"/>
      <c r="L322" s="253"/>
      <c r="M322" s="253"/>
    </row>
    <row r="323" spans="1:13" x14ac:dyDescent="0.25">
      <c r="A323" s="253"/>
      <c r="B323" s="551">
        <v>42346</v>
      </c>
      <c r="C323" s="253">
        <v>200</v>
      </c>
      <c r="D323" s="253">
        <v>15.55</v>
      </c>
      <c r="E323" s="254">
        <v>0</v>
      </c>
      <c r="F323" s="254">
        <f t="shared" si="26"/>
        <v>3110</v>
      </c>
      <c r="G323" s="253"/>
      <c r="H323" s="253"/>
      <c r="I323" s="254"/>
      <c r="J323" s="254"/>
      <c r="K323" s="254"/>
      <c r="L323" s="253"/>
      <c r="M323" s="253"/>
    </row>
    <row r="324" spans="1:13" x14ac:dyDescent="0.25">
      <c r="A324" s="253"/>
      <c r="B324" s="551">
        <v>42352</v>
      </c>
      <c r="C324" s="253">
        <v>200</v>
      </c>
      <c r="D324" s="254">
        <v>14.4</v>
      </c>
      <c r="E324" s="254">
        <v>0</v>
      </c>
      <c r="F324" s="254">
        <f t="shared" si="26"/>
        <v>2880</v>
      </c>
      <c r="G324" s="253"/>
      <c r="H324" s="253"/>
      <c r="I324" s="254"/>
      <c r="J324" s="254"/>
      <c r="K324" s="254"/>
      <c r="L324" s="253"/>
      <c r="M324" s="253"/>
    </row>
    <row r="325" spans="1:13" x14ac:dyDescent="0.25">
      <c r="A325" s="253"/>
      <c r="B325" s="551">
        <v>42354</v>
      </c>
      <c r="C325" s="253">
        <v>940</v>
      </c>
      <c r="D325" s="254">
        <v>14.1</v>
      </c>
      <c r="E325" s="254">
        <v>0</v>
      </c>
      <c r="F325" s="254">
        <f t="shared" si="26"/>
        <v>13254</v>
      </c>
      <c r="G325" s="253"/>
      <c r="H325" s="253"/>
      <c r="I325" s="254"/>
      <c r="J325" s="254"/>
      <c r="K325" s="254"/>
      <c r="L325" s="253"/>
      <c r="M325" s="253"/>
    </row>
    <row r="326" spans="1:13" x14ac:dyDescent="0.25">
      <c r="A326" s="253"/>
      <c r="B326" s="551">
        <v>42354</v>
      </c>
      <c r="C326" s="253">
        <v>940</v>
      </c>
      <c r="D326" s="253">
        <v>14.03</v>
      </c>
      <c r="E326" s="254">
        <v>0</v>
      </c>
      <c r="F326" s="254">
        <f t="shared" si="26"/>
        <v>13188.199999999999</v>
      </c>
      <c r="G326" s="253"/>
      <c r="H326" s="253"/>
      <c r="I326" s="254"/>
      <c r="J326" s="254"/>
      <c r="K326" s="254"/>
      <c r="L326" s="253"/>
      <c r="M326" s="253"/>
    </row>
    <row r="327" spans="1:13" x14ac:dyDescent="0.25">
      <c r="A327" s="253"/>
      <c r="B327" s="551">
        <v>42354</v>
      </c>
      <c r="C327" s="253">
        <v>200</v>
      </c>
      <c r="D327" s="253">
        <v>14.01</v>
      </c>
      <c r="E327" s="254">
        <v>0</v>
      </c>
      <c r="F327" s="254">
        <f t="shared" si="26"/>
        <v>2802</v>
      </c>
      <c r="G327" s="253"/>
      <c r="H327" s="253"/>
      <c r="I327" s="254"/>
      <c r="J327" s="254"/>
      <c r="K327" s="254"/>
      <c r="L327" s="253"/>
      <c r="M327" s="253"/>
    </row>
    <row r="328" spans="1:13" x14ac:dyDescent="0.25">
      <c r="A328" s="253"/>
      <c r="B328" s="551">
        <v>42355</v>
      </c>
      <c r="C328" s="253">
        <v>1840</v>
      </c>
      <c r="D328" s="254">
        <v>14.5</v>
      </c>
      <c r="E328" s="254">
        <v>3.4</v>
      </c>
      <c r="F328" s="254">
        <f t="shared" si="26"/>
        <v>26683.4</v>
      </c>
      <c r="G328" s="258"/>
      <c r="H328" s="259"/>
      <c r="I328" s="254"/>
      <c r="J328" s="254"/>
      <c r="K328" s="254"/>
      <c r="L328" s="253"/>
      <c r="M328" s="253"/>
    </row>
    <row r="329" spans="1:13" x14ac:dyDescent="0.25">
      <c r="A329" s="253"/>
      <c r="B329" s="673">
        <v>42361</v>
      </c>
      <c r="C329" s="253">
        <v>1000</v>
      </c>
      <c r="D329" s="254">
        <v>14.33</v>
      </c>
      <c r="E329" s="254">
        <v>0</v>
      </c>
      <c r="F329" s="254">
        <f t="shared" si="26"/>
        <v>14330</v>
      </c>
      <c r="G329" s="258"/>
      <c r="H329" s="259"/>
      <c r="I329" s="254"/>
      <c r="J329" s="254"/>
      <c r="K329" s="254"/>
      <c r="L329" s="253"/>
      <c r="M329" s="253"/>
    </row>
    <row r="330" spans="1:13" x14ac:dyDescent="0.25">
      <c r="A330" s="253"/>
      <c r="B330" s="673"/>
      <c r="C330" s="253">
        <v>500</v>
      </c>
      <c r="D330" s="254">
        <v>14.33</v>
      </c>
      <c r="E330" s="254">
        <v>0</v>
      </c>
      <c r="F330" s="254">
        <f t="shared" si="26"/>
        <v>7165</v>
      </c>
      <c r="G330" s="258"/>
      <c r="H330" s="259"/>
      <c r="I330" s="254"/>
      <c r="J330" s="254"/>
      <c r="K330" s="254"/>
      <c r="L330" s="253"/>
      <c r="M330" s="253"/>
    </row>
    <row r="331" spans="1:13" x14ac:dyDescent="0.25">
      <c r="A331" s="253"/>
      <c r="B331" s="673"/>
      <c r="C331" s="253">
        <v>440</v>
      </c>
      <c r="D331" s="254">
        <v>14.33</v>
      </c>
      <c r="E331" s="254">
        <v>0</v>
      </c>
      <c r="F331" s="254">
        <f t="shared" si="26"/>
        <v>6305.2</v>
      </c>
      <c r="G331" s="253"/>
      <c r="H331" s="259"/>
      <c r="I331" s="254"/>
      <c r="J331" s="254"/>
      <c r="K331" s="254"/>
      <c r="L331" s="253"/>
      <c r="M331" s="253"/>
    </row>
    <row r="332" spans="1:13" x14ac:dyDescent="0.25">
      <c r="A332" s="253"/>
      <c r="B332" s="551">
        <v>42366</v>
      </c>
      <c r="C332" s="253">
        <v>1000</v>
      </c>
      <c r="D332" s="254">
        <v>14.74</v>
      </c>
      <c r="E332" s="254">
        <v>0</v>
      </c>
      <c r="F332" s="254">
        <f t="shared" si="26"/>
        <v>14740</v>
      </c>
      <c r="G332" s="253"/>
      <c r="H332" s="253"/>
      <c r="I332" s="254"/>
      <c r="J332" s="254"/>
      <c r="K332" s="254"/>
      <c r="L332" s="253"/>
      <c r="M332" s="253"/>
    </row>
    <row r="333" spans="1:13" x14ac:dyDescent="0.25">
      <c r="A333" s="253"/>
      <c r="B333" s="551">
        <v>42377</v>
      </c>
      <c r="C333" s="253">
        <v>200</v>
      </c>
      <c r="D333" s="254">
        <v>13.35</v>
      </c>
      <c r="E333" s="254">
        <v>0</v>
      </c>
      <c r="F333" s="254">
        <f t="shared" si="26"/>
        <v>2670</v>
      </c>
      <c r="G333" s="253"/>
      <c r="H333" s="253"/>
      <c r="I333" s="254"/>
      <c r="J333" s="254"/>
      <c r="K333" s="254"/>
      <c r="L333" s="253"/>
      <c r="M333" s="253"/>
    </row>
    <row r="334" spans="1:13" x14ac:dyDescent="0.25">
      <c r="A334" s="253"/>
      <c r="B334" s="551">
        <v>42401</v>
      </c>
      <c r="C334" s="253">
        <v>260</v>
      </c>
      <c r="D334" s="254">
        <v>10.69</v>
      </c>
      <c r="E334" s="254">
        <v>0</v>
      </c>
      <c r="F334" s="254">
        <f t="shared" si="26"/>
        <v>2779.4</v>
      </c>
      <c r="G334" s="253"/>
      <c r="H334" s="253"/>
      <c r="I334" s="254"/>
      <c r="J334" s="254"/>
      <c r="K334" s="254"/>
      <c r="L334" s="253"/>
      <c r="M334" s="253"/>
    </row>
    <row r="335" spans="1:13" x14ac:dyDescent="0.25">
      <c r="A335" s="253"/>
      <c r="B335" s="551">
        <v>42423</v>
      </c>
      <c r="C335" s="253">
        <v>1660</v>
      </c>
      <c r="D335" s="254">
        <v>10.77</v>
      </c>
      <c r="E335" s="254">
        <v>0</v>
      </c>
      <c r="F335" s="254">
        <f t="shared" si="26"/>
        <v>17878.2</v>
      </c>
      <c r="G335" s="253"/>
      <c r="H335" s="253"/>
      <c r="I335" s="254"/>
      <c r="J335" s="254"/>
      <c r="K335" s="254"/>
      <c r="L335" s="253"/>
      <c r="M335" s="254"/>
    </row>
    <row r="336" spans="1:13" x14ac:dyDescent="0.25">
      <c r="A336" s="253"/>
      <c r="B336" s="551">
        <v>42436</v>
      </c>
      <c r="C336" s="253">
        <v>520</v>
      </c>
      <c r="D336" s="254">
        <v>11.1</v>
      </c>
      <c r="E336" s="254">
        <v>0.16</v>
      </c>
      <c r="F336" s="254">
        <f t="shared" si="26"/>
        <v>5772.16</v>
      </c>
      <c r="G336" s="253"/>
      <c r="H336" s="253"/>
      <c r="I336" s="254"/>
      <c r="J336" s="254"/>
      <c r="K336" s="254"/>
      <c r="L336" s="253"/>
      <c r="M336" s="254"/>
    </row>
    <row r="337" spans="1:13" x14ac:dyDescent="0.25">
      <c r="A337" s="253"/>
      <c r="B337" s="673">
        <v>42436</v>
      </c>
      <c r="C337" s="253">
        <v>500</v>
      </c>
      <c r="D337" s="253">
        <v>11.35</v>
      </c>
      <c r="E337" s="254">
        <v>0</v>
      </c>
      <c r="F337" s="254">
        <f t="shared" si="26"/>
        <v>5675</v>
      </c>
      <c r="G337" s="253"/>
      <c r="H337" s="253"/>
      <c r="I337" s="254"/>
      <c r="J337" s="254"/>
      <c r="K337" s="254"/>
      <c r="L337" s="253"/>
      <c r="M337" s="253"/>
    </row>
    <row r="338" spans="1:13" x14ac:dyDescent="0.25">
      <c r="A338" s="253"/>
      <c r="B338" s="673"/>
      <c r="C338" s="253">
        <v>30</v>
      </c>
      <c r="D338" s="253">
        <v>11.35</v>
      </c>
      <c r="E338" s="254">
        <v>0</v>
      </c>
      <c r="F338" s="254">
        <f t="shared" si="26"/>
        <v>340.5</v>
      </c>
      <c r="G338" s="253"/>
      <c r="H338" s="253"/>
      <c r="I338" s="254"/>
      <c r="J338" s="254"/>
      <c r="K338" s="254"/>
      <c r="L338" s="253"/>
      <c r="M338" s="253"/>
    </row>
    <row r="339" spans="1:13" x14ac:dyDescent="0.25">
      <c r="A339" s="253"/>
      <c r="B339" s="673">
        <v>42447</v>
      </c>
      <c r="C339" s="253">
        <v>5</v>
      </c>
      <c r="D339" s="253">
        <v>10.75</v>
      </c>
      <c r="E339" s="254">
        <v>0</v>
      </c>
      <c r="F339" s="254">
        <f t="shared" si="26"/>
        <v>53.75</v>
      </c>
      <c r="G339" s="253"/>
      <c r="H339" s="253"/>
      <c r="I339" s="254"/>
      <c r="J339" s="254"/>
      <c r="K339" s="254"/>
      <c r="L339" s="253"/>
      <c r="M339" s="253"/>
    </row>
    <row r="340" spans="1:13" x14ac:dyDescent="0.25">
      <c r="A340" s="253"/>
      <c r="B340" s="673"/>
      <c r="C340" s="253">
        <v>500</v>
      </c>
      <c r="D340" s="253">
        <v>10.75</v>
      </c>
      <c r="E340" s="254">
        <v>0</v>
      </c>
      <c r="F340" s="254">
        <f t="shared" si="26"/>
        <v>5375</v>
      </c>
      <c r="G340" s="253"/>
      <c r="H340" s="253"/>
      <c r="I340" s="254"/>
      <c r="J340" s="254"/>
      <c r="K340" s="254"/>
      <c r="L340" s="253"/>
      <c r="M340" s="253"/>
    </row>
    <row r="341" spans="1:13" x14ac:dyDescent="0.25">
      <c r="A341" s="253"/>
      <c r="B341" s="673">
        <v>42447</v>
      </c>
      <c r="C341" s="253">
        <v>2000</v>
      </c>
      <c r="D341" s="253">
        <v>11.07</v>
      </c>
      <c r="E341" s="254">
        <v>0</v>
      </c>
      <c r="F341" s="254">
        <f t="shared" si="26"/>
        <v>22140</v>
      </c>
      <c r="G341" s="253"/>
      <c r="H341" s="253"/>
      <c r="I341" s="254"/>
      <c r="J341" s="254"/>
      <c r="K341" s="254"/>
      <c r="L341" s="253"/>
      <c r="M341" s="253"/>
    </row>
    <row r="342" spans="1:13" x14ac:dyDescent="0.25">
      <c r="A342" s="253"/>
      <c r="B342" s="673"/>
      <c r="C342" s="253">
        <v>5</v>
      </c>
      <c r="D342" s="253">
        <v>11.07</v>
      </c>
      <c r="E342" s="254">
        <v>0</v>
      </c>
      <c r="F342" s="254">
        <f t="shared" si="26"/>
        <v>55.35</v>
      </c>
      <c r="G342" s="253"/>
      <c r="H342" s="253"/>
      <c r="I342" s="254"/>
      <c r="J342" s="254"/>
      <c r="K342" s="254"/>
      <c r="L342" s="253"/>
      <c r="M342" s="253"/>
    </row>
    <row r="343" spans="1:13" x14ac:dyDescent="0.25">
      <c r="A343" s="253"/>
      <c r="B343" s="551">
        <v>42447</v>
      </c>
      <c r="C343" s="253">
        <v>355</v>
      </c>
      <c r="D343" s="253">
        <v>11.11</v>
      </c>
      <c r="E343" s="254">
        <v>0</v>
      </c>
      <c r="F343" s="254">
        <f t="shared" si="26"/>
        <v>3944.0499999999997</v>
      </c>
      <c r="G343" s="253"/>
      <c r="H343" s="253"/>
      <c r="I343" s="254"/>
      <c r="J343" s="254"/>
      <c r="K343" s="254"/>
      <c r="L343" s="253"/>
      <c r="M343" s="253"/>
    </row>
    <row r="344" spans="1:13" x14ac:dyDescent="0.25">
      <c r="A344" s="253"/>
      <c r="B344" s="551">
        <v>42450</v>
      </c>
      <c r="C344" s="253">
        <v>100</v>
      </c>
      <c r="D344" s="253">
        <v>11.51</v>
      </c>
      <c r="E344" s="254">
        <v>0</v>
      </c>
      <c r="F344" s="254">
        <f t="shared" si="26"/>
        <v>1151</v>
      </c>
      <c r="G344" s="253"/>
      <c r="H344" s="253"/>
      <c r="I344" s="254"/>
      <c r="J344" s="254"/>
      <c r="K344" s="254"/>
      <c r="L344" s="253"/>
      <c r="M344" s="253"/>
    </row>
    <row r="345" spans="1:13" x14ac:dyDescent="0.25">
      <c r="A345" s="253"/>
      <c r="B345" s="551">
        <v>42451</v>
      </c>
      <c r="C345" s="253">
        <v>1305</v>
      </c>
      <c r="D345" s="254">
        <v>11.4</v>
      </c>
      <c r="E345" s="254">
        <v>-1</v>
      </c>
      <c r="F345" s="254">
        <f t="shared" si="26"/>
        <v>14876</v>
      </c>
      <c r="G345" s="253"/>
      <c r="H345" s="253"/>
      <c r="I345" s="254"/>
      <c r="J345" s="254"/>
      <c r="K345" s="254"/>
      <c r="L345" s="253"/>
      <c r="M345" s="253"/>
    </row>
    <row r="346" spans="1:13" x14ac:dyDescent="0.25">
      <c r="A346" s="253"/>
      <c r="B346" s="551">
        <v>42452</v>
      </c>
      <c r="C346" s="253">
        <v>100</v>
      </c>
      <c r="D346" s="254">
        <v>10.82</v>
      </c>
      <c r="E346" s="254">
        <v>0</v>
      </c>
      <c r="F346" s="254">
        <f t="shared" si="26"/>
        <v>1082</v>
      </c>
      <c r="G346" s="253"/>
      <c r="H346" s="253"/>
      <c r="I346" s="254"/>
      <c r="J346" s="254"/>
      <c r="K346" s="254"/>
      <c r="L346" s="253"/>
      <c r="M346" s="253"/>
    </row>
    <row r="347" spans="1:13" x14ac:dyDescent="0.25">
      <c r="A347" s="253"/>
      <c r="B347" s="551">
        <v>42466</v>
      </c>
      <c r="C347" s="253">
        <v>500</v>
      </c>
      <c r="D347" s="254">
        <v>10.41</v>
      </c>
      <c r="E347" s="254">
        <v>0</v>
      </c>
      <c r="F347" s="254">
        <f t="shared" si="26"/>
        <v>5205</v>
      </c>
      <c r="G347" s="253"/>
      <c r="H347" s="253"/>
      <c r="I347" s="254"/>
      <c r="J347" s="254"/>
      <c r="K347" s="254"/>
      <c r="L347" s="253"/>
      <c r="M347" s="253"/>
    </row>
    <row r="348" spans="1:13" x14ac:dyDescent="0.25">
      <c r="A348" s="253"/>
      <c r="B348" s="551">
        <v>42472</v>
      </c>
      <c r="C348" s="253">
        <v>600</v>
      </c>
      <c r="D348" s="254">
        <v>10.31</v>
      </c>
      <c r="E348" s="254">
        <v>0</v>
      </c>
      <c r="F348" s="254">
        <f t="shared" si="26"/>
        <v>6186</v>
      </c>
      <c r="G348" s="253"/>
      <c r="H348" s="253"/>
      <c r="I348" s="254"/>
      <c r="J348" s="254"/>
      <c r="K348" s="254"/>
      <c r="L348" s="253"/>
      <c r="M348" s="253"/>
    </row>
    <row r="349" spans="1:13" x14ac:dyDescent="0.25">
      <c r="A349" s="253"/>
      <c r="B349" s="551">
        <v>42487</v>
      </c>
      <c r="C349" s="253">
        <v>1000</v>
      </c>
      <c r="D349" s="254">
        <v>11.29</v>
      </c>
      <c r="E349" s="254">
        <v>0</v>
      </c>
      <c r="F349" s="254">
        <f t="shared" si="26"/>
        <v>11290</v>
      </c>
      <c r="G349" s="253"/>
      <c r="H349" s="253"/>
      <c r="I349" s="254"/>
      <c r="J349" s="254"/>
      <c r="K349" s="254"/>
      <c r="L349" s="253"/>
      <c r="M349" s="253"/>
    </row>
    <row r="350" spans="1:13" x14ac:dyDescent="0.25">
      <c r="A350" s="253"/>
      <c r="B350" s="551">
        <v>42488</v>
      </c>
      <c r="C350" s="253">
        <v>1200</v>
      </c>
      <c r="D350" s="254">
        <v>12.2</v>
      </c>
      <c r="E350" s="254">
        <v>0</v>
      </c>
      <c r="F350" s="254">
        <f t="shared" si="26"/>
        <v>14640</v>
      </c>
      <c r="G350" s="253"/>
      <c r="H350" s="253"/>
      <c r="I350" s="254"/>
      <c r="J350" s="254"/>
      <c r="K350" s="254"/>
      <c r="L350" s="253"/>
      <c r="M350" s="253"/>
    </row>
    <row r="351" spans="1:13" ht="30" x14ac:dyDescent="0.25">
      <c r="A351" s="674" t="s">
        <v>201</v>
      </c>
      <c r="B351" s="551">
        <v>42489</v>
      </c>
      <c r="C351" s="253">
        <v>240</v>
      </c>
      <c r="D351" s="254">
        <v>10.81</v>
      </c>
      <c r="E351" s="254">
        <v>0</v>
      </c>
      <c r="F351" s="254">
        <f t="shared" si="26"/>
        <v>2594.4</v>
      </c>
      <c r="G351" s="253"/>
      <c r="H351" s="253"/>
      <c r="I351" s="254"/>
      <c r="J351" s="254"/>
      <c r="K351" s="254"/>
      <c r="L351" s="253"/>
      <c r="M351" s="253"/>
    </row>
    <row r="352" spans="1:13" x14ac:dyDescent="0.25">
      <c r="A352" s="674"/>
      <c r="B352" s="551">
        <v>42494</v>
      </c>
      <c r="C352" s="253">
        <v>500</v>
      </c>
      <c r="D352" s="254">
        <v>10.130000000000001</v>
      </c>
      <c r="E352" s="254">
        <v>-1</v>
      </c>
      <c r="F352" s="254">
        <f t="shared" si="26"/>
        <v>5064</v>
      </c>
      <c r="G352" s="253"/>
      <c r="H352" s="253"/>
      <c r="I352" s="254"/>
      <c r="J352" s="254"/>
      <c r="K352" s="254"/>
      <c r="L352" s="253"/>
      <c r="M352" s="253"/>
    </row>
    <row r="353" spans="1:13" x14ac:dyDescent="0.25">
      <c r="A353" s="674"/>
      <c r="B353" s="551">
        <v>42494</v>
      </c>
      <c r="C353" s="253">
        <v>500</v>
      </c>
      <c r="D353" s="254">
        <v>9.92</v>
      </c>
      <c r="E353" s="254">
        <v>0</v>
      </c>
      <c r="F353" s="254">
        <f t="shared" si="26"/>
        <v>4960</v>
      </c>
      <c r="G353" s="253"/>
      <c r="H353" s="253"/>
      <c r="I353" s="254"/>
      <c r="J353" s="254"/>
      <c r="K353" s="254"/>
      <c r="L353" s="253"/>
      <c r="M353" s="253"/>
    </row>
    <row r="354" spans="1:13" x14ac:dyDescent="0.25">
      <c r="A354" s="253"/>
      <c r="B354" s="551">
        <v>42502</v>
      </c>
      <c r="C354" s="253">
        <v>1000</v>
      </c>
      <c r="D354" s="254">
        <v>9.86</v>
      </c>
      <c r="E354" s="254">
        <v>0</v>
      </c>
      <c r="F354" s="254">
        <f t="shared" si="26"/>
        <v>9860</v>
      </c>
      <c r="G354" s="253"/>
      <c r="H354" s="253"/>
      <c r="I354" s="254"/>
      <c r="J354" s="254"/>
      <c r="K354" s="254"/>
      <c r="L354" s="253"/>
      <c r="M354" s="253"/>
    </row>
    <row r="355" spans="1:13" x14ac:dyDescent="0.25">
      <c r="A355" s="253"/>
      <c r="B355" s="551">
        <v>42502</v>
      </c>
      <c r="C355" s="253">
        <v>1000</v>
      </c>
      <c r="D355" s="254">
        <v>9.68</v>
      </c>
      <c r="E355" s="254">
        <v>0</v>
      </c>
      <c r="F355" s="254">
        <f t="shared" si="26"/>
        <v>9680</v>
      </c>
      <c r="G355" s="253"/>
      <c r="H355" s="253"/>
      <c r="I355" s="254"/>
      <c r="J355" s="254"/>
      <c r="K355" s="254"/>
      <c r="L355" s="253"/>
      <c r="M355" s="253"/>
    </row>
    <row r="356" spans="1:13" ht="15" customHeight="1" x14ac:dyDescent="0.25">
      <c r="A356" s="253"/>
      <c r="B356" s="551">
        <v>42502</v>
      </c>
      <c r="C356" s="253">
        <v>1000</v>
      </c>
      <c r="D356" s="254">
        <v>9.5</v>
      </c>
      <c r="E356" s="254">
        <v>0</v>
      </c>
      <c r="F356" s="254">
        <f t="shared" si="26"/>
        <v>9500</v>
      </c>
      <c r="G356" s="253"/>
      <c r="H356" s="253"/>
      <c r="I356" s="254"/>
      <c r="J356" s="254"/>
      <c r="K356" s="254"/>
      <c r="L356" s="253"/>
      <c r="M356" s="253"/>
    </row>
    <row r="357" spans="1:13" x14ac:dyDescent="0.25">
      <c r="A357" s="253"/>
      <c r="B357" s="551">
        <v>42503</v>
      </c>
      <c r="C357" s="253">
        <v>1000</v>
      </c>
      <c r="D357" s="254">
        <v>9.6999999999999993</v>
      </c>
      <c r="E357" s="254">
        <v>9.9</v>
      </c>
      <c r="F357" s="254">
        <f t="shared" si="26"/>
        <v>9709.9</v>
      </c>
      <c r="G357" s="253"/>
      <c r="H357" s="253"/>
      <c r="I357" s="254"/>
      <c r="J357" s="254"/>
      <c r="K357" s="254"/>
      <c r="L357" s="253"/>
      <c r="M357" s="253"/>
    </row>
    <row r="358" spans="1:13" x14ac:dyDescent="0.25">
      <c r="A358" s="253"/>
      <c r="B358" s="551">
        <v>42514</v>
      </c>
      <c r="C358" s="253">
        <v>500</v>
      </c>
      <c r="D358" s="254">
        <v>11.22</v>
      </c>
      <c r="E358" s="254">
        <v>-2.5</v>
      </c>
      <c r="F358" s="254">
        <f t="shared" si="26"/>
        <v>5607.5</v>
      </c>
      <c r="G358" s="253"/>
      <c r="H358" s="253"/>
      <c r="I358" s="254"/>
      <c r="J358" s="254"/>
      <c r="K358" s="254"/>
      <c r="L358" s="253"/>
      <c r="M358" s="253"/>
    </row>
    <row r="359" spans="1:13" x14ac:dyDescent="0.25">
      <c r="A359" s="253"/>
      <c r="B359" s="551">
        <v>42515</v>
      </c>
      <c r="C359" s="253">
        <v>500</v>
      </c>
      <c r="D359" s="254">
        <v>11.62</v>
      </c>
      <c r="E359" s="254">
        <v>0</v>
      </c>
      <c r="F359" s="254">
        <f t="shared" si="26"/>
        <v>5810</v>
      </c>
      <c r="G359" s="253"/>
      <c r="H359" s="253"/>
      <c r="I359" s="254"/>
      <c r="J359" s="254"/>
      <c r="K359" s="254"/>
      <c r="L359" s="253"/>
      <c r="M359" s="253"/>
    </row>
    <row r="360" spans="1:13" x14ac:dyDescent="0.25">
      <c r="A360" s="253"/>
      <c r="B360" s="551">
        <v>42517</v>
      </c>
      <c r="C360" s="253">
        <v>1000</v>
      </c>
      <c r="D360" s="254">
        <v>12.25</v>
      </c>
      <c r="E360" s="254">
        <v>0</v>
      </c>
      <c r="F360" s="254">
        <f t="shared" si="26"/>
        <v>12250</v>
      </c>
      <c r="G360" s="253"/>
      <c r="H360" s="253"/>
      <c r="I360" s="254"/>
      <c r="J360" s="254"/>
      <c r="K360" s="254"/>
      <c r="L360" s="253"/>
      <c r="M360" s="253"/>
    </row>
    <row r="361" spans="1:13" x14ac:dyDescent="0.25">
      <c r="A361" s="253"/>
      <c r="B361" s="551">
        <v>42517</v>
      </c>
      <c r="C361" s="253">
        <v>1000</v>
      </c>
      <c r="D361" s="254">
        <v>12.3</v>
      </c>
      <c r="E361" s="254">
        <v>0</v>
      </c>
      <c r="F361" s="254">
        <f t="shared" si="26"/>
        <v>12300</v>
      </c>
      <c r="G361" s="253"/>
      <c r="H361" s="253"/>
      <c r="I361" s="254"/>
      <c r="J361" s="254"/>
      <c r="K361" s="254"/>
      <c r="L361" s="253"/>
      <c r="M361" s="253"/>
    </row>
    <row r="362" spans="1:13" x14ac:dyDescent="0.25">
      <c r="A362" s="253"/>
      <c r="B362" s="551">
        <v>42521</v>
      </c>
      <c r="C362" s="253">
        <v>500</v>
      </c>
      <c r="D362" s="254">
        <v>12.61</v>
      </c>
      <c r="E362" s="254">
        <v>0</v>
      </c>
      <c r="F362" s="254">
        <f t="shared" si="26"/>
        <v>6305</v>
      </c>
      <c r="G362" s="253"/>
      <c r="H362" s="253"/>
      <c r="I362" s="254"/>
      <c r="J362" s="254"/>
      <c r="K362" s="254"/>
      <c r="L362" s="253"/>
      <c r="M362" s="253"/>
    </row>
    <row r="363" spans="1:13" x14ac:dyDescent="0.25">
      <c r="A363" s="253"/>
      <c r="B363" s="551">
        <v>42521</v>
      </c>
      <c r="C363" s="253">
        <v>500</v>
      </c>
      <c r="D363" s="254">
        <v>12.72</v>
      </c>
      <c r="E363" s="254">
        <v>0</v>
      </c>
      <c r="F363" s="254">
        <f t="shared" si="26"/>
        <v>6360</v>
      </c>
      <c r="G363" s="258">
        <v>42522</v>
      </c>
      <c r="H363" s="259">
        <v>500</v>
      </c>
      <c r="I363" s="254">
        <v>12.72</v>
      </c>
      <c r="J363" s="254">
        <v>0.14000000000000001</v>
      </c>
      <c r="K363" s="254">
        <f>H363*I363-J363</f>
        <v>6359.86</v>
      </c>
      <c r="L363" s="253"/>
      <c r="M363" s="253"/>
    </row>
    <row r="364" spans="1:13" x14ac:dyDescent="0.25">
      <c r="A364" s="253"/>
      <c r="B364" s="551">
        <v>42522</v>
      </c>
      <c r="C364" s="253">
        <v>500</v>
      </c>
      <c r="D364" s="254">
        <v>12.6</v>
      </c>
      <c r="E364" s="254">
        <v>0</v>
      </c>
      <c r="F364" s="254">
        <f t="shared" si="26"/>
        <v>6300</v>
      </c>
      <c r="G364" s="258">
        <v>42522</v>
      </c>
      <c r="H364" s="259">
        <v>500</v>
      </c>
      <c r="I364" s="254">
        <v>12.96</v>
      </c>
      <c r="J364" s="254">
        <v>0.14000000000000001</v>
      </c>
      <c r="K364" s="254">
        <f>H364*I364-J364</f>
        <v>6479.86</v>
      </c>
      <c r="L364" s="253"/>
      <c r="M364" s="253"/>
    </row>
    <row r="365" spans="1:13" x14ac:dyDescent="0.25">
      <c r="A365" s="253"/>
      <c r="B365" s="551">
        <v>42524</v>
      </c>
      <c r="C365" s="253">
        <v>625</v>
      </c>
      <c r="D365" s="254">
        <v>12.69</v>
      </c>
      <c r="E365" s="254">
        <v>0</v>
      </c>
      <c r="F365" s="254">
        <f t="shared" si="26"/>
        <v>7931.25</v>
      </c>
      <c r="G365" s="258">
        <v>42522</v>
      </c>
      <c r="H365" s="259">
        <v>125</v>
      </c>
      <c r="I365" s="254">
        <v>13.12</v>
      </c>
      <c r="J365" s="254">
        <v>0.04</v>
      </c>
      <c r="K365" s="254">
        <f>H365*I365-J365</f>
        <v>1639.96</v>
      </c>
      <c r="L365" s="253"/>
      <c r="M365" s="253"/>
    </row>
    <row r="366" spans="1:13" x14ac:dyDescent="0.25">
      <c r="A366" s="253"/>
      <c r="B366" s="551">
        <v>42524</v>
      </c>
      <c r="C366" s="253">
        <v>625</v>
      </c>
      <c r="D366" s="254">
        <v>12.8</v>
      </c>
      <c r="E366" s="254">
        <v>0</v>
      </c>
      <c r="F366" s="254">
        <f t="shared" si="26"/>
        <v>8000</v>
      </c>
      <c r="G366" s="258">
        <v>42524</v>
      </c>
      <c r="H366" s="259">
        <v>625</v>
      </c>
      <c r="I366" s="254">
        <v>12.85</v>
      </c>
      <c r="J366" s="254">
        <v>0.18</v>
      </c>
      <c r="K366" s="254">
        <f>H366*I366-J366</f>
        <v>8031.07</v>
      </c>
      <c r="L366" s="253"/>
      <c r="M366" s="253"/>
    </row>
    <row r="367" spans="1:13" x14ac:dyDescent="0.25">
      <c r="A367" s="253"/>
      <c r="B367" s="551">
        <v>42530</v>
      </c>
      <c r="C367" s="253">
        <v>500</v>
      </c>
      <c r="D367" s="254">
        <v>12.25</v>
      </c>
      <c r="E367" s="254">
        <v>0</v>
      </c>
      <c r="F367" s="254">
        <f t="shared" si="26"/>
        <v>6125</v>
      </c>
      <c r="G367" s="258">
        <v>42530</v>
      </c>
      <c r="H367" s="259">
        <v>500</v>
      </c>
      <c r="I367" s="254">
        <v>12.61</v>
      </c>
      <c r="J367" s="254">
        <v>0.14000000000000001</v>
      </c>
      <c r="K367" s="254">
        <f>H367*I367-J367</f>
        <v>6304.86</v>
      </c>
      <c r="L367" s="253"/>
      <c r="M367" s="253"/>
    </row>
    <row r="368" spans="1:13" x14ac:dyDescent="0.25">
      <c r="A368" s="253"/>
      <c r="B368" s="551">
        <v>42531</v>
      </c>
      <c r="C368" s="253">
        <v>760</v>
      </c>
      <c r="D368" s="254">
        <v>12.19</v>
      </c>
      <c r="E368" s="254">
        <v>0</v>
      </c>
      <c r="F368" s="254">
        <f t="shared" si="26"/>
        <v>9264.4</v>
      </c>
      <c r="G368" s="253"/>
      <c r="H368" s="253"/>
      <c r="I368" s="254"/>
      <c r="J368" s="254"/>
      <c r="K368" s="254"/>
      <c r="L368" s="253"/>
      <c r="M368" s="253"/>
    </row>
    <row r="369" spans="1:13" x14ac:dyDescent="0.25">
      <c r="A369" s="253"/>
      <c r="B369" s="551">
        <v>42537</v>
      </c>
      <c r="C369" s="253">
        <v>500</v>
      </c>
      <c r="D369" s="254">
        <v>11.71</v>
      </c>
      <c r="E369" s="254">
        <v>0</v>
      </c>
      <c r="F369" s="254">
        <f t="shared" si="26"/>
        <v>5855</v>
      </c>
      <c r="G369" s="258">
        <v>42537</v>
      </c>
      <c r="H369" s="259">
        <v>500</v>
      </c>
      <c r="I369" s="254">
        <v>11.95</v>
      </c>
      <c r="J369" s="254">
        <v>0.13</v>
      </c>
      <c r="K369" s="254">
        <f t="shared" ref="K369:K375" si="27">H369*I369-J369</f>
        <v>5974.87</v>
      </c>
      <c r="L369" s="253"/>
      <c r="M369" s="253"/>
    </row>
    <row r="370" spans="1:13" x14ac:dyDescent="0.25">
      <c r="A370" s="253"/>
      <c r="B370" s="551">
        <v>42541</v>
      </c>
      <c r="C370" s="253">
        <v>500</v>
      </c>
      <c r="D370" s="254">
        <v>12.4</v>
      </c>
      <c r="E370" s="254">
        <v>0</v>
      </c>
      <c r="F370" s="254">
        <f t="shared" si="26"/>
        <v>6200</v>
      </c>
      <c r="G370" s="258">
        <v>42541</v>
      </c>
      <c r="H370" s="259">
        <v>760</v>
      </c>
      <c r="I370" s="254">
        <v>12.63</v>
      </c>
      <c r="J370" s="254">
        <v>0.21</v>
      </c>
      <c r="K370" s="254">
        <f t="shared" si="27"/>
        <v>9598.590000000002</v>
      </c>
      <c r="L370" s="253"/>
      <c r="M370" s="253"/>
    </row>
    <row r="371" spans="1:13" x14ac:dyDescent="0.25">
      <c r="A371" s="253"/>
      <c r="B371" s="551">
        <v>42541</v>
      </c>
      <c r="C371" s="253">
        <v>100</v>
      </c>
      <c r="D371" s="254">
        <v>12.32</v>
      </c>
      <c r="E371" s="254">
        <v>0</v>
      </c>
      <c r="F371" s="254">
        <f t="shared" si="26"/>
        <v>1232</v>
      </c>
      <c r="G371" s="441">
        <v>42542</v>
      </c>
      <c r="H371" s="259">
        <v>600</v>
      </c>
      <c r="I371" s="254">
        <v>12.79</v>
      </c>
      <c r="J371" s="254">
        <v>0.17</v>
      </c>
      <c r="K371" s="254">
        <f t="shared" si="27"/>
        <v>7673.829999999999</v>
      </c>
      <c r="L371" s="253"/>
      <c r="M371" s="253"/>
    </row>
    <row r="372" spans="1:13" x14ac:dyDescent="0.25">
      <c r="A372" s="253"/>
      <c r="B372" s="551">
        <v>42545</v>
      </c>
      <c r="C372" s="253">
        <v>500</v>
      </c>
      <c r="D372" s="254">
        <v>13.52</v>
      </c>
      <c r="E372" s="254">
        <v>0</v>
      </c>
      <c r="F372" s="254">
        <f t="shared" si="26"/>
        <v>6760</v>
      </c>
      <c r="G372" s="258">
        <v>42544</v>
      </c>
      <c r="H372" s="259">
        <v>400</v>
      </c>
      <c r="I372" s="254">
        <v>13.42</v>
      </c>
      <c r="J372" s="254">
        <v>0.12</v>
      </c>
      <c r="K372" s="254">
        <f t="shared" si="27"/>
        <v>5367.88</v>
      </c>
      <c r="L372" s="253"/>
      <c r="M372" s="253"/>
    </row>
    <row r="373" spans="1:13" x14ac:dyDescent="0.25">
      <c r="A373" s="253"/>
      <c r="B373" s="551">
        <v>42545</v>
      </c>
      <c r="C373" s="253">
        <v>500</v>
      </c>
      <c r="D373" s="254">
        <v>13.46</v>
      </c>
      <c r="E373" s="254">
        <v>0</v>
      </c>
      <c r="F373" s="254">
        <f t="shared" si="26"/>
        <v>6730</v>
      </c>
      <c r="G373" s="258">
        <v>42544</v>
      </c>
      <c r="H373" s="259">
        <v>600</v>
      </c>
      <c r="I373" s="254">
        <v>13.78</v>
      </c>
      <c r="J373" s="254">
        <v>0.18</v>
      </c>
      <c r="K373" s="254">
        <f t="shared" si="27"/>
        <v>8267.82</v>
      </c>
      <c r="L373" s="253"/>
      <c r="M373" s="253"/>
    </row>
    <row r="374" spans="1:13" x14ac:dyDescent="0.25">
      <c r="A374" s="253"/>
      <c r="B374" s="551">
        <v>42545</v>
      </c>
      <c r="C374" s="253">
        <v>500</v>
      </c>
      <c r="D374" s="254">
        <v>13.32</v>
      </c>
      <c r="E374" s="254">
        <v>0</v>
      </c>
      <c r="F374" s="254">
        <f t="shared" si="26"/>
        <v>6660</v>
      </c>
      <c r="G374" s="258">
        <v>42544</v>
      </c>
      <c r="H374" s="259">
        <v>500</v>
      </c>
      <c r="I374" s="254">
        <v>14.05</v>
      </c>
      <c r="J374" s="254">
        <v>0.15</v>
      </c>
      <c r="K374" s="254">
        <f t="shared" si="27"/>
        <v>7024.85</v>
      </c>
      <c r="L374" s="253"/>
      <c r="M374" s="253"/>
    </row>
    <row r="375" spans="1:13" ht="15" customHeight="1" x14ac:dyDescent="0.25">
      <c r="A375" s="253"/>
      <c r="B375" s="551">
        <v>42548</v>
      </c>
      <c r="C375" s="253">
        <v>760</v>
      </c>
      <c r="D375" s="254">
        <v>12.81</v>
      </c>
      <c r="E375" s="254">
        <v>-3.8</v>
      </c>
      <c r="F375" s="254">
        <f t="shared" si="26"/>
        <v>9731.8000000000011</v>
      </c>
      <c r="G375" s="258">
        <v>42549</v>
      </c>
      <c r="H375" s="259">
        <v>760</v>
      </c>
      <c r="I375" s="254">
        <v>12.97</v>
      </c>
      <c r="J375" s="254">
        <v>0.21</v>
      </c>
      <c r="K375" s="254">
        <f t="shared" si="27"/>
        <v>9856.9900000000016</v>
      </c>
      <c r="L375" s="253"/>
      <c r="M375" s="253"/>
    </row>
    <row r="376" spans="1:13" x14ac:dyDescent="0.25">
      <c r="A376" s="253"/>
      <c r="B376" s="551">
        <v>42548</v>
      </c>
      <c r="C376" s="253">
        <v>500</v>
      </c>
      <c r="D376" s="254">
        <v>12.58</v>
      </c>
      <c r="E376" s="254">
        <v>0</v>
      </c>
      <c r="F376" s="254">
        <f t="shared" si="26"/>
        <v>6290</v>
      </c>
      <c r="G376" s="258">
        <v>42551</v>
      </c>
      <c r="H376" s="259">
        <v>500</v>
      </c>
      <c r="I376" s="254">
        <v>13.75</v>
      </c>
      <c r="J376" s="254">
        <v>7.1</v>
      </c>
      <c r="K376" s="254">
        <f>H376*I376-J376</f>
        <v>6867.9</v>
      </c>
      <c r="L376" s="253"/>
      <c r="M376" s="253"/>
    </row>
    <row r="377" spans="1:13" x14ac:dyDescent="0.25">
      <c r="A377" s="253"/>
      <c r="B377" s="551">
        <v>42551</v>
      </c>
      <c r="C377" s="253">
        <v>500</v>
      </c>
      <c r="D377" s="254">
        <v>12.42</v>
      </c>
      <c r="E377" s="254">
        <v>6.95</v>
      </c>
      <c r="F377" s="254">
        <f t="shared" si="26"/>
        <v>6216.95</v>
      </c>
      <c r="G377" s="253"/>
      <c r="H377" s="253"/>
      <c r="I377" s="254"/>
      <c r="J377" s="254"/>
      <c r="K377" s="254"/>
      <c r="L377" s="253"/>
      <c r="M377" s="253"/>
    </row>
    <row r="378" spans="1:13" x14ac:dyDescent="0.25">
      <c r="A378" s="253"/>
      <c r="B378" s="551">
        <v>42556</v>
      </c>
      <c r="C378" s="259">
        <v>500</v>
      </c>
      <c r="D378" s="254">
        <v>11.88</v>
      </c>
      <c r="E378" s="254">
        <v>-2.5</v>
      </c>
      <c r="F378" s="254">
        <f t="shared" si="26"/>
        <v>5937.5</v>
      </c>
      <c r="G378" s="253"/>
      <c r="H378" s="253"/>
      <c r="I378" s="254"/>
      <c r="J378" s="254"/>
      <c r="K378" s="254"/>
      <c r="L378" s="253"/>
      <c r="M378" s="253"/>
    </row>
    <row r="379" spans="1:13" x14ac:dyDescent="0.25">
      <c r="A379" s="253"/>
      <c r="B379" s="551">
        <v>42558</v>
      </c>
      <c r="C379" s="253">
        <v>500</v>
      </c>
      <c r="D379" s="254">
        <v>12.28</v>
      </c>
      <c r="E379" s="254">
        <v>0</v>
      </c>
      <c r="F379" s="254">
        <f t="shared" si="26"/>
        <v>6140</v>
      </c>
      <c r="G379" s="258">
        <v>42558</v>
      </c>
      <c r="H379" s="259">
        <v>1000</v>
      </c>
      <c r="I379" s="254">
        <v>12.48</v>
      </c>
      <c r="J379" s="254">
        <v>0.27</v>
      </c>
      <c r="K379" s="254">
        <f t="shared" ref="K379:K411" si="28">H379*I379-J379</f>
        <v>12479.73</v>
      </c>
      <c r="L379" s="253"/>
      <c r="M379" s="253"/>
    </row>
    <row r="380" spans="1:13" x14ac:dyDescent="0.25">
      <c r="A380" s="253"/>
      <c r="B380" s="551">
        <v>42578</v>
      </c>
      <c r="C380" s="253">
        <v>200</v>
      </c>
      <c r="D380" s="254">
        <v>14.12</v>
      </c>
      <c r="E380" s="254">
        <v>0</v>
      </c>
      <c r="F380" s="254">
        <f t="shared" ref="F380:F407" si="29">C380*D380+E380</f>
        <v>2824</v>
      </c>
      <c r="G380" s="258">
        <v>42576</v>
      </c>
      <c r="H380" s="259">
        <v>500</v>
      </c>
      <c r="I380" s="254">
        <v>13.82</v>
      </c>
      <c r="J380" s="254">
        <v>0.15</v>
      </c>
      <c r="K380" s="254">
        <f t="shared" si="28"/>
        <v>6909.85</v>
      </c>
      <c r="L380" s="253"/>
      <c r="M380" s="253"/>
    </row>
    <row r="381" spans="1:13" x14ac:dyDescent="0.25">
      <c r="A381" s="258"/>
      <c r="B381" s="551">
        <v>42579</v>
      </c>
      <c r="C381" s="253">
        <v>300</v>
      </c>
      <c r="D381" s="254">
        <v>13.82</v>
      </c>
      <c r="E381" s="254">
        <v>0</v>
      </c>
      <c r="F381" s="254">
        <f t="shared" si="29"/>
        <v>4146</v>
      </c>
      <c r="G381" s="258">
        <v>42577</v>
      </c>
      <c r="H381" s="253">
        <v>500</v>
      </c>
      <c r="I381" s="254">
        <v>14.33</v>
      </c>
      <c r="J381" s="254">
        <v>0.16</v>
      </c>
      <c r="K381" s="254">
        <f t="shared" si="28"/>
        <v>7164.84</v>
      </c>
      <c r="L381" s="253"/>
      <c r="M381" s="253"/>
    </row>
    <row r="382" spans="1:13" x14ac:dyDescent="0.25">
      <c r="A382" s="253"/>
      <c r="B382" s="551">
        <v>42579</v>
      </c>
      <c r="C382" s="253">
        <v>300</v>
      </c>
      <c r="D382" s="254">
        <v>13.82</v>
      </c>
      <c r="E382" s="254">
        <v>0</v>
      </c>
      <c r="F382" s="254">
        <f t="shared" si="29"/>
        <v>4146</v>
      </c>
      <c r="G382" s="258">
        <v>42577</v>
      </c>
      <c r="H382" s="253">
        <v>300</v>
      </c>
      <c r="I382" s="254">
        <v>14.58</v>
      </c>
      <c r="J382" s="254">
        <v>0.1</v>
      </c>
      <c r="K382" s="254">
        <f t="shared" si="28"/>
        <v>4373.8999999999996</v>
      </c>
      <c r="L382" s="253"/>
      <c r="M382" s="253"/>
    </row>
    <row r="383" spans="1:13" x14ac:dyDescent="0.25">
      <c r="A383" s="253"/>
      <c r="B383" s="551">
        <v>42580</v>
      </c>
      <c r="C383" s="253">
        <v>500</v>
      </c>
      <c r="D383" s="254">
        <v>13.62</v>
      </c>
      <c r="E383" s="254">
        <v>0</v>
      </c>
      <c r="F383" s="254">
        <f t="shared" si="29"/>
        <v>6810</v>
      </c>
      <c r="G383" s="258">
        <v>42586</v>
      </c>
      <c r="H383" s="253">
        <v>200</v>
      </c>
      <c r="I383" s="254">
        <v>13.89</v>
      </c>
      <c r="J383" s="254">
        <v>-0.54</v>
      </c>
      <c r="K383" s="254">
        <f t="shared" si="28"/>
        <v>2778.54</v>
      </c>
      <c r="L383" s="253"/>
      <c r="M383" s="253"/>
    </row>
    <row r="384" spans="1:13" x14ac:dyDescent="0.25">
      <c r="A384" s="253"/>
      <c r="B384" s="551">
        <v>42584</v>
      </c>
      <c r="C384" s="253">
        <v>200</v>
      </c>
      <c r="D384" s="254">
        <v>13.08</v>
      </c>
      <c r="E384" s="254">
        <v>0</v>
      </c>
      <c r="F384" s="254">
        <f t="shared" si="29"/>
        <v>2616</v>
      </c>
      <c r="G384" s="258">
        <v>42587</v>
      </c>
      <c r="H384" s="253">
        <v>500</v>
      </c>
      <c r="I384" s="254">
        <v>14.65</v>
      </c>
      <c r="J384" s="254">
        <v>0.16</v>
      </c>
      <c r="K384" s="254">
        <f t="shared" si="28"/>
        <v>7324.84</v>
      </c>
      <c r="L384" s="253"/>
      <c r="M384" s="253"/>
    </row>
    <row r="385" spans="1:13" ht="30" x14ac:dyDescent="0.25">
      <c r="A385" s="253"/>
      <c r="B385" s="551">
        <v>42599</v>
      </c>
      <c r="C385" s="253">
        <v>500</v>
      </c>
      <c r="D385" s="254">
        <v>15.6</v>
      </c>
      <c r="E385" s="254">
        <v>0</v>
      </c>
      <c r="F385" s="254">
        <f t="shared" si="29"/>
        <v>7800</v>
      </c>
      <c r="G385" s="258">
        <v>42593</v>
      </c>
      <c r="H385" s="253">
        <v>500</v>
      </c>
      <c r="I385" s="254">
        <v>14.45</v>
      </c>
      <c r="J385" s="254">
        <v>0.16</v>
      </c>
      <c r="K385" s="254">
        <f t="shared" si="28"/>
        <v>7224.84</v>
      </c>
      <c r="L385" s="253"/>
      <c r="M385" s="675" t="s">
        <v>256</v>
      </c>
    </row>
    <row r="386" spans="1:13" x14ac:dyDescent="0.25">
      <c r="A386" s="253"/>
      <c r="B386" s="551">
        <v>42619</v>
      </c>
      <c r="C386" s="253">
        <v>200</v>
      </c>
      <c r="D386" s="254">
        <v>16.850000000000001</v>
      </c>
      <c r="E386" s="254">
        <v>0</v>
      </c>
      <c r="F386" s="254">
        <f t="shared" si="29"/>
        <v>3370.0000000000005</v>
      </c>
      <c r="G386" s="258">
        <v>42594</v>
      </c>
      <c r="H386" s="253">
        <v>500</v>
      </c>
      <c r="I386" s="254">
        <v>14.88</v>
      </c>
      <c r="J386" s="254">
        <v>0.16</v>
      </c>
      <c r="K386" s="254">
        <f t="shared" si="28"/>
        <v>7439.84</v>
      </c>
      <c r="L386" s="253"/>
      <c r="M386" s="675"/>
    </row>
    <row r="387" spans="1:13" x14ac:dyDescent="0.25">
      <c r="A387" s="253"/>
      <c r="B387" s="551">
        <v>42619</v>
      </c>
      <c r="C387" s="253">
        <v>300</v>
      </c>
      <c r="D387" s="254">
        <v>16.850000000000001</v>
      </c>
      <c r="E387" s="254">
        <v>0</v>
      </c>
      <c r="F387" s="254">
        <f t="shared" si="29"/>
        <v>5055</v>
      </c>
      <c r="G387" s="258">
        <v>42594</v>
      </c>
      <c r="H387" s="253">
        <v>500</v>
      </c>
      <c r="I387" s="254">
        <v>14.98</v>
      </c>
      <c r="J387" s="254">
        <v>0.16</v>
      </c>
      <c r="K387" s="254">
        <f t="shared" si="28"/>
        <v>7489.84</v>
      </c>
      <c r="L387" s="253"/>
      <c r="M387" s="675"/>
    </row>
    <row r="388" spans="1:13" x14ac:dyDescent="0.25">
      <c r="A388" s="253"/>
      <c r="B388" s="551">
        <v>42620</v>
      </c>
      <c r="C388" s="253">
        <v>500</v>
      </c>
      <c r="D388" s="254">
        <v>17.12</v>
      </c>
      <c r="E388" s="254">
        <v>0</v>
      </c>
      <c r="F388" s="254">
        <f t="shared" si="29"/>
        <v>8560</v>
      </c>
      <c r="G388" s="258">
        <v>42597</v>
      </c>
      <c r="H388" s="253">
        <v>500</v>
      </c>
      <c r="I388" s="254">
        <v>15.48</v>
      </c>
      <c r="J388" s="254">
        <v>0.17</v>
      </c>
      <c r="K388" s="254">
        <f t="shared" si="28"/>
        <v>7739.83</v>
      </c>
      <c r="L388" s="253"/>
      <c r="M388" s="675"/>
    </row>
    <row r="389" spans="1:13" x14ac:dyDescent="0.25">
      <c r="A389" s="253"/>
      <c r="B389" s="551">
        <v>42622</v>
      </c>
      <c r="C389" s="253">
        <v>500</v>
      </c>
      <c r="D389" s="254">
        <v>17.05</v>
      </c>
      <c r="E389" s="254">
        <v>-2.5</v>
      </c>
      <c r="F389" s="254">
        <f t="shared" si="29"/>
        <v>8522.5</v>
      </c>
      <c r="G389" s="258">
        <v>42599</v>
      </c>
      <c r="H389" s="253">
        <v>500</v>
      </c>
      <c r="I389" s="254">
        <v>15.75</v>
      </c>
      <c r="J389" s="254">
        <v>0.17</v>
      </c>
      <c r="K389" s="254">
        <f t="shared" si="28"/>
        <v>7874.83</v>
      </c>
      <c r="L389" s="253"/>
      <c r="M389" s="253"/>
    </row>
    <row r="390" spans="1:13" x14ac:dyDescent="0.25">
      <c r="A390" s="253"/>
      <c r="B390" s="551">
        <v>42626</v>
      </c>
      <c r="C390" s="253">
        <v>100</v>
      </c>
      <c r="D390" s="254">
        <v>16.48</v>
      </c>
      <c r="E390" s="254">
        <v>0</v>
      </c>
      <c r="F390" s="254">
        <f t="shared" si="29"/>
        <v>1648</v>
      </c>
      <c r="G390" s="258">
        <v>42619</v>
      </c>
      <c r="H390" s="253">
        <v>500</v>
      </c>
      <c r="I390" s="254">
        <v>17.079999999999998</v>
      </c>
      <c r="J390" s="254">
        <v>0.19</v>
      </c>
      <c r="K390" s="254">
        <f t="shared" si="28"/>
        <v>8539.81</v>
      </c>
      <c r="L390" s="253"/>
      <c r="M390" s="253"/>
    </row>
    <row r="391" spans="1:13" x14ac:dyDescent="0.25">
      <c r="A391" s="253"/>
      <c r="B391" s="551">
        <v>42641</v>
      </c>
      <c r="C391" s="253">
        <v>200</v>
      </c>
      <c r="D391" s="254">
        <v>17.260000000000002</v>
      </c>
      <c r="E391" s="254">
        <v>-0.68</v>
      </c>
      <c r="F391" s="254">
        <f t="shared" si="29"/>
        <v>3451.3200000000006</v>
      </c>
      <c r="G391" s="258">
        <v>42620</v>
      </c>
      <c r="H391" s="253">
        <v>500</v>
      </c>
      <c r="I391" s="254">
        <v>17.28</v>
      </c>
      <c r="J391" s="254">
        <v>0.19</v>
      </c>
      <c r="K391" s="254">
        <f t="shared" si="28"/>
        <v>8639.81</v>
      </c>
      <c r="L391" s="253"/>
      <c r="M391" s="253"/>
    </row>
    <row r="392" spans="1:13" x14ac:dyDescent="0.25">
      <c r="A392" s="253"/>
      <c r="B392" s="551">
        <v>42647</v>
      </c>
      <c r="C392" s="253">
        <v>200</v>
      </c>
      <c r="D392" s="254">
        <v>17.079999999999998</v>
      </c>
      <c r="E392" s="254">
        <v>0</v>
      </c>
      <c r="F392" s="254">
        <f t="shared" si="29"/>
        <v>3415.9999999999995</v>
      </c>
      <c r="G392" s="258">
        <v>42621</v>
      </c>
      <c r="H392" s="253">
        <v>500</v>
      </c>
      <c r="I392" s="254">
        <v>17.43</v>
      </c>
      <c r="J392" s="254">
        <v>0.19</v>
      </c>
      <c r="K392" s="254">
        <f t="shared" si="28"/>
        <v>8714.81</v>
      </c>
      <c r="L392" s="253"/>
      <c r="M392" s="253"/>
    </row>
    <row r="393" spans="1:13" x14ac:dyDescent="0.25">
      <c r="A393" s="253"/>
      <c r="B393" s="551">
        <v>42654</v>
      </c>
      <c r="C393" s="253">
        <v>200</v>
      </c>
      <c r="D393" s="254">
        <v>16.68</v>
      </c>
      <c r="E393" s="254">
        <v>0</v>
      </c>
      <c r="F393" s="254">
        <f t="shared" si="29"/>
        <v>3336</v>
      </c>
      <c r="G393" s="258">
        <v>42634</v>
      </c>
      <c r="H393" s="253">
        <v>500</v>
      </c>
      <c r="I393" s="254">
        <v>17.63</v>
      </c>
      <c r="J393" s="254">
        <v>2.69</v>
      </c>
      <c r="K393" s="254">
        <f t="shared" si="28"/>
        <v>8812.31</v>
      </c>
      <c r="L393" s="253"/>
      <c r="M393" s="253"/>
    </row>
    <row r="394" spans="1:13" x14ac:dyDescent="0.25">
      <c r="A394" s="253"/>
      <c r="B394" s="551">
        <v>42670</v>
      </c>
      <c r="C394" s="253">
        <v>150</v>
      </c>
      <c r="D394" s="254">
        <v>17.510000000000002</v>
      </c>
      <c r="E394" s="254">
        <v>0</v>
      </c>
      <c r="F394" s="254">
        <f t="shared" si="29"/>
        <v>2626.5000000000005</v>
      </c>
      <c r="G394" s="258">
        <v>42662</v>
      </c>
      <c r="H394" s="259">
        <v>200</v>
      </c>
      <c r="I394" s="254">
        <v>17.239999999999998</v>
      </c>
      <c r="J394" s="254">
        <v>0.08</v>
      </c>
      <c r="K394" s="254">
        <f t="shared" si="28"/>
        <v>3447.9199999999996</v>
      </c>
      <c r="L394" s="253"/>
      <c r="M394" s="253"/>
    </row>
    <row r="395" spans="1:13" x14ac:dyDescent="0.25">
      <c r="A395" s="253"/>
      <c r="B395" s="551">
        <v>42670</v>
      </c>
      <c r="C395" s="253">
        <v>200</v>
      </c>
      <c r="D395" s="254">
        <v>17.510000000000002</v>
      </c>
      <c r="E395" s="254">
        <v>0</v>
      </c>
      <c r="F395" s="254">
        <f t="shared" si="29"/>
        <v>3502.0000000000005</v>
      </c>
      <c r="G395" s="258">
        <v>42668</v>
      </c>
      <c r="H395" s="253">
        <v>200</v>
      </c>
      <c r="I395" s="254">
        <v>17.55</v>
      </c>
      <c r="J395" s="254">
        <v>0.08</v>
      </c>
      <c r="K395" s="254">
        <f t="shared" si="28"/>
        <v>3509.92</v>
      </c>
      <c r="L395" s="253"/>
      <c r="M395" s="253"/>
    </row>
    <row r="396" spans="1:13" x14ac:dyDescent="0.25">
      <c r="A396" s="253"/>
      <c r="B396" s="551">
        <v>42670</v>
      </c>
      <c r="C396" s="253">
        <v>450</v>
      </c>
      <c r="D396" s="254">
        <v>17.510000000000002</v>
      </c>
      <c r="E396" s="254">
        <v>0</v>
      </c>
      <c r="F396" s="254">
        <f t="shared" si="29"/>
        <v>7879.5000000000009</v>
      </c>
      <c r="G396" s="258">
        <v>42669</v>
      </c>
      <c r="H396" s="253">
        <v>800</v>
      </c>
      <c r="I396" s="254">
        <v>17.760000000000002</v>
      </c>
      <c r="J396" s="254">
        <v>0.31</v>
      </c>
      <c r="K396" s="254">
        <f t="shared" si="28"/>
        <v>14207.690000000002</v>
      </c>
      <c r="L396" s="253"/>
      <c r="M396" s="253"/>
    </row>
    <row r="397" spans="1:13" x14ac:dyDescent="0.25">
      <c r="A397" s="253"/>
      <c r="B397" s="551">
        <v>42670</v>
      </c>
      <c r="C397" s="253">
        <v>200</v>
      </c>
      <c r="D397" s="254">
        <v>17.420000000000002</v>
      </c>
      <c r="E397" s="254">
        <v>0</v>
      </c>
      <c r="F397" s="254">
        <f t="shared" si="29"/>
        <v>3484.0000000000005</v>
      </c>
      <c r="G397" s="258">
        <v>42671</v>
      </c>
      <c r="H397" s="253">
        <v>400</v>
      </c>
      <c r="I397" s="254">
        <v>17.64</v>
      </c>
      <c r="J397" s="254">
        <v>0.15</v>
      </c>
      <c r="K397" s="254">
        <f t="shared" si="28"/>
        <v>7055.85</v>
      </c>
      <c r="L397" s="253"/>
      <c r="M397" s="253"/>
    </row>
    <row r="398" spans="1:13" x14ac:dyDescent="0.25">
      <c r="A398" s="253"/>
      <c r="B398" s="551">
        <v>42671</v>
      </c>
      <c r="C398" s="253">
        <v>400</v>
      </c>
      <c r="D398" s="254">
        <v>17.3</v>
      </c>
      <c r="E398" s="254">
        <v>0</v>
      </c>
      <c r="F398" s="254">
        <f t="shared" si="29"/>
        <v>6920</v>
      </c>
      <c r="G398" s="258">
        <v>42675</v>
      </c>
      <c r="H398" s="253">
        <v>200</v>
      </c>
      <c r="I398" s="254">
        <v>16.989999999999998</v>
      </c>
      <c r="J398" s="254">
        <v>7.0000000000000007E-2</v>
      </c>
      <c r="K398" s="254">
        <f t="shared" si="28"/>
        <v>3397.9299999999994</v>
      </c>
      <c r="L398" s="253"/>
      <c r="M398" s="253"/>
    </row>
    <row r="399" spans="1:13" x14ac:dyDescent="0.25">
      <c r="A399" s="253"/>
      <c r="B399" s="551">
        <v>42675</v>
      </c>
      <c r="C399" s="253">
        <v>200</v>
      </c>
      <c r="D399" s="254">
        <v>16.89</v>
      </c>
      <c r="E399" s="254">
        <v>0</v>
      </c>
      <c r="F399" s="254">
        <f t="shared" si="29"/>
        <v>3378</v>
      </c>
      <c r="G399" s="258">
        <v>42678</v>
      </c>
      <c r="H399" s="253">
        <v>200</v>
      </c>
      <c r="I399" s="254">
        <v>17</v>
      </c>
      <c r="J399" s="254">
        <v>7.0000000000000007E-2</v>
      </c>
      <c r="K399" s="254">
        <f t="shared" si="28"/>
        <v>3399.93</v>
      </c>
      <c r="L399" s="253"/>
      <c r="M399" s="253"/>
    </row>
    <row r="400" spans="1:13" x14ac:dyDescent="0.25">
      <c r="A400" s="253"/>
      <c r="B400" s="551">
        <v>42678</v>
      </c>
      <c r="C400" s="253">
        <v>200</v>
      </c>
      <c r="D400" s="254">
        <v>16.8</v>
      </c>
      <c r="E400" s="254">
        <v>0</v>
      </c>
      <c r="F400" s="254">
        <f t="shared" si="29"/>
        <v>3360</v>
      </c>
      <c r="G400" s="258">
        <v>42685</v>
      </c>
      <c r="H400" s="253">
        <v>200</v>
      </c>
      <c r="I400" s="254">
        <v>17.579999999999998</v>
      </c>
      <c r="J400" s="254">
        <v>0.08</v>
      </c>
      <c r="K400" s="254">
        <f t="shared" si="28"/>
        <v>3515.9199999999996</v>
      </c>
      <c r="L400" s="253"/>
      <c r="M400" s="253"/>
    </row>
    <row r="401" spans="1:13" x14ac:dyDescent="0.25">
      <c r="A401" s="253"/>
      <c r="B401" s="551">
        <v>42705</v>
      </c>
      <c r="C401" s="253">
        <v>150</v>
      </c>
      <c r="D401" s="254">
        <v>19.079999999999998</v>
      </c>
      <c r="E401" s="254">
        <v>0</v>
      </c>
      <c r="F401" s="254">
        <f t="shared" si="29"/>
        <v>2861.9999999999995</v>
      </c>
      <c r="G401" s="258">
        <v>42702</v>
      </c>
      <c r="H401" s="253">
        <v>150</v>
      </c>
      <c r="I401" s="254">
        <v>20.11</v>
      </c>
      <c r="J401" s="254">
        <v>7.0000000000000007E-2</v>
      </c>
      <c r="K401" s="254">
        <f t="shared" si="28"/>
        <v>3016.43</v>
      </c>
      <c r="L401" s="253"/>
      <c r="M401" s="253"/>
    </row>
    <row r="402" spans="1:13" x14ac:dyDescent="0.25">
      <c r="A402" s="253"/>
      <c r="B402" s="551">
        <v>42705</v>
      </c>
      <c r="C402" s="253">
        <v>200</v>
      </c>
      <c r="D402" s="254">
        <v>18.2</v>
      </c>
      <c r="E402" s="254">
        <v>0</v>
      </c>
      <c r="F402" s="254">
        <f t="shared" si="29"/>
        <v>3640</v>
      </c>
      <c r="G402" s="258">
        <v>42706</v>
      </c>
      <c r="H402" s="253">
        <v>200</v>
      </c>
      <c r="I402" s="254">
        <v>18.79</v>
      </c>
      <c r="J402" s="254">
        <v>0.08</v>
      </c>
      <c r="K402" s="254">
        <f t="shared" si="28"/>
        <v>3757.92</v>
      </c>
      <c r="L402" s="253"/>
      <c r="M402" s="253"/>
    </row>
    <row r="403" spans="1:13" x14ac:dyDescent="0.25">
      <c r="A403" s="253"/>
      <c r="B403" s="551"/>
      <c r="C403" s="253"/>
      <c r="D403" s="254"/>
      <c r="E403" s="254"/>
      <c r="F403" s="254">
        <f t="shared" si="29"/>
        <v>0</v>
      </c>
      <c r="G403" s="258">
        <v>42710</v>
      </c>
      <c r="H403" s="253">
        <v>200</v>
      </c>
      <c r="I403" s="254">
        <v>18.98</v>
      </c>
      <c r="J403" s="254">
        <v>0.08</v>
      </c>
      <c r="K403" s="254">
        <f t="shared" si="28"/>
        <v>3795.92</v>
      </c>
      <c r="L403" s="253"/>
      <c r="M403" s="253"/>
    </row>
    <row r="404" spans="1:13" ht="45" x14ac:dyDescent="0.25">
      <c r="A404" s="253"/>
      <c r="B404" s="551"/>
      <c r="C404" s="253"/>
      <c r="D404" s="254"/>
      <c r="E404" s="254"/>
      <c r="F404" s="254">
        <f t="shared" si="29"/>
        <v>0</v>
      </c>
      <c r="G404" s="672" t="s">
        <v>312</v>
      </c>
      <c r="H404" s="253">
        <v>100</v>
      </c>
      <c r="I404" s="254">
        <v>19.68</v>
      </c>
      <c r="J404" s="254">
        <v>0.04</v>
      </c>
      <c r="K404" s="254">
        <f t="shared" si="28"/>
        <v>1967.96</v>
      </c>
      <c r="L404" s="253"/>
      <c r="M404" s="253"/>
    </row>
    <row r="405" spans="1:13" x14ac:dyDescent="0.25">
      <c r="A405" s="253"/>
      <c r="B405" s="551"/>
      <c r="C405" s="253"/>
      <c r="D405" s="254"/>
      <c r="E405" s="254"/>
      <c r="F405" s="254">
        <f t="shared" si="29"/>
        <v>0</v>
      </c>
      <c r="G405" s="672"/>
      <c r="H405" s="253">
        <v>200</v>
      </c>
      <c r="I405" s="254">
        <v>19.88</v>
      </c>
      <c r="J405" s="254">
        <v>0.09</v>
      </c>
      <c r="K405" s="254">
        <f t="shared" si="28"/>
        <v>3975.91</v>
      </c>
      <c r="L405" s="253"/>
      <c r="M405" s="253"/>
    </row>
    <row r="406" spans="1:13" x14ac:dyDescent="0.25">
      <c r="A406" s="253"/>
      <c r="B406" s="551"/>
      <c r="C406" s="253"/>
      <c r="D406" s="254"/>
      <c r="E406" s="254"/>
      <c r="F406" s="254">
        <f t="shared" si="29"/>
        <v>0</v>
      </c>
      <c r="G406" s="672"/>
      <c r="H406" s="253">
        <v>200</v>
      </c>
      <c r="I406" s="254">
        <v>20.32</v>
      </c>
      <c r="J406" s="254">
        <v>0.09</v>
      </c>
      <c r="K406" s="254">
        <f t="shared" si="28"/>
        <v>4063.91</v>
      </c>
      <c r="L406" s="253"/>
      <c r="M406" s="253"/>
    </row>
    <row r="407" spans="1:13" x14ac:dyDescent="0.25">
      <c r="A407" s="253"/>
      <c r="B407" s="551"/>
      <c r="C407" s="253"/>
      <c r="D407" s="254"/>
      <c r="E407" s="254"/>
      <c r="F407" s="254">
        <f t="shared" si="29"/>
        <v>0</v>
      </c>
      <c r="G407" s="672"/>
      <c r="H407" s="253">
        <v>300</v>
      </c>
      <c r="I407" s="254">
        <v>20.53</v>
      </c>
      <c r="J407" s="254">
        <v>0.13</v>
      </c>
      <c r="K407" s="254">
        <f t="shared" si="28"/>
        <v>6158.87</v>
      </c>
      <c r="L407" s="253"/>
      <c r="M407" s="253"/>
    </row>
    <row r="408" spans="1:13" x14ac:dyDescent="0.25">
      <c r="A408" s="253"/>
      <c r="B408" s="551"/>
      <c r="C408" s="253"/>
      <c r="D408" s="254"/>
      <c r="E408" s="254"/>
      <c r="F408" s="254"/>
      <c r="G408" s="258">
        <v>42716</v>
      </c>
      <c r="H408" s="253">
        <v>200</v>
      </c>
      <c r="I408" s="254">
        <v>19.899999999999999</v>
      </c>
      <c r="J408" s="254">
        <v>0.09</v>
      </c>
      <c r="K408" s="254">
        <f t="shared" si="28"/>
        <v>3979.9099999999994</v>
      </c>
      <c r="L408" s="253"/>
      <c r="M408" s="253"/>
    </row>
    <row r="409" spans="1:13" x14ac:dyDescent="0.25">
      <c r="A409" s="253"/>
      <c r="B409" s="551"/>
      <c r="C409" s="253"/>
      <c r="D409" s="253"/>
      <c r="E409" s="253"/>
      <c r="F409" s="253"/>
      <c r="G409" s="258">
        <v>42716</v>
      </c>
      <c r="H409" s="253">
        <v>150</v>
      </c>
      <c r="I409" s="254">
        <v>19.989999999999998</v>
      </c>
      <c r="J409" s="254">
        <v>7.0000000000000007E-2</v>
      </c>
      <c r="K409" s="254">
        <f t="shared" si="28"/>
        <v>2998.4299999999994</v>
      </c>
      <c r="L409" s="253"/>
      <c r="M409" s="253"/>
    </row>
    <row r="410" spans="1:13" x14ac:dyDescent="0.25">
      <c r="A410" s="253"/>
      <c r="B410" s="551"/>
      <c r="C410" s="253"/>
      <c r="D410" s="253"/>
      <c r="E410" s="253"/>
      <c r="F410" s="253"/>
      <c r="G410" s="258">
        <v>42717</v>
      </c>
      <c r="H410" s="253">
        <v>100</v>
      </c>
      <c r="I410" s="254">
        <v>20.350000000000001</v>
      </c>
      <c r="J410" s="254">
        <v>0.04</v>
      </c>
      <c r="K410" s="254">
        <f t="shared" si="28"/>
        <v>2034.9600000000003</v>
      </c>
      <c r="L410" s="253"/>
      <c r="M410" s="253"/>
    </row>
    <row r="411" spans="1:13" x14ac:dyDescent="0.25">
      <c r="A411" s="253"/>
      <c r="B411" s="551"/>
      <c r="C411" s="253"/>
      <c r="D411" s="253"/>
      <c r="E411" s="253"/>
      <c r="F411" s="253"/>
      <c r="G411" s="258">
        <v>42738</v>
      </c>
      <c r="H411" s="253">
        <v>350</v>
      </c>
      <c r="I411" s="254">
        <v>22.58</v>
      </c>
      <c r="J411" s="254">
        <v>0.55000000000000004</v>
      </c>
      <c r="K411" s="254">
        <f t="shared" si="28"/>
        <v>7902.4499999999989</v>
      </c>
      <c r="L411" s="253"/>
      <c r="M411" s="253"/>
    </row>
    <row r="412" spans="1:13" x14ac:dyDescent="0.25">
      <c r="A412" s="253"/>
      <c r="B412" s="551"/>
      <c r="C412" s="253"/>
      <c r="D412" s="253"/>
      <c r="E412" s="253"/>
      <c r="F412" s="253"/>
      <c r="G412" s="253"/>
      <c r="H412" s="253"/>
      <c r="I412" s="254"/>
      <c r="J412" s="254"/>
      <c r="K412" s="254"/>
      <c r="L412" s="253"/>
      <c r="M412" s="253"/>
    </row>
    <row r="413" spans="1:13" x14ac:dyDescent="0.25">
      <c r="A413" s="253"/>
      <c r="B413" s="551">
        <v>42710</v>
      </c>
      <c r="C413" s="253">
        <v>200</v>
      </c>
      <c r="D413" s="254">
        <v>18.75</v>
      </c>
      <c r="E413" s="254">
        <v>0</v>
      </c>
      <c r="F413" s="254">
        <f t="shared" ref="F413:F418" si="30">C413*D413+E413</f>
        <v>3750</v>
      </c>
      <c r="G413" s="551">
        <v>42759</v>
      </c>
      <c r="H413" s="253">
        <v>200</v>
      </c>
      <c r="I413" s="254">
        <v>22.97</v>
      </c>
      <c r="J413" s="254">
        <v>0.1</v>
      </c>
      <c r="K413" s="254">
        <f>H413*I413-J413</f>
        <v>4593.8999999999996</v>
      </c>
      <c r="L413" s="253"/>
      <c r="M413" s="253"/>
    </row>
    <row r="414" spans="1:13" x14ac:dyDescent="0.25">
      <c r="A414" s="253"/>
      <c r="B414" s="551">
        <v>42716</v>
      </c>
      <c r="C414" s="253">
        <v>200</v>
      </c>
      <c r="D414" s="254">
        <v>20.100000000000001</v>
      </c>
      <c r="E414" s="254">
        <v>-1</v>
      </c>
      <c r="F414" s="254">
        <f t="shared" si="30"/>
        <v>4019.0000000000005</v>
      </c>
      <c r="G414" s="551">
        <v>42760</v>
      </c>
      <c r="H414" s="259">
        <v>600</v>
      </c>
      <c r="I414" s="254">
        <v>23.78</v>
      </c>
      <c r="J414" s="254">
        <v>0.31</v>
      </c>
      <c r="K414" s="254">
        <f>H414*I414-J414</f>
        <v>14267.69</v>
      </c>
      <c r="L414" s="253"/>
      <c r="M414" s="253"/>
    </row>
    <row r="415" spans="1:13" x14ac:dyDescent="0.25">
      <c r="A415" s="253"/>
      <c r="B415" s="551">
        <v>42716</v>
      </c>
      <c r="C415" s="253">
        <v>200</v>
      </c>
      <c r="D415" s="254">
        <v>19.850000000000001</v>
      </c>
      <c r="E415" s="254">
        <v>0</v>
      </c>
      <c r="F415" s="254">
        <f t="shared" si="30"/>
        <v>3970.0000000000005</v>
      </c>
      <c r="G415" s="551">
        <v>42762</v>
      </c>
      <c r="H415" s="259">
        <v>400</v>
      </c>
      <c r="I415" s="254">
        <v>23.98</v>
      </c>
      <c r="J415" s="254">
        <v>0.21</v>
      </c>
      <c r="K415" s="254">
        <f>H415*I415-J415</f>
        <v>9591.7900000000009</v>
      </c>
      <c r="L415" s="253"/>
      <c r="M415" s="253"/>
    </row>
    <row r="416" spans="1:13" x14ac:dyDescent="0.25">
      <c r="A416" s="253"/>
      <c r="B416" s="551">
        <v>42716</v>
      </c>
      <c r="C416" s="253">
        <v>600</v>
      </c>
      <c r="D416" s="254">
        <v>19.600000000000001</v>
      </c>
      <c r="E416" s="254">
        <v>0</v>
      </c>
      <c r="F416" s="254">
        <f t="shared" si="30"/>
        <v>11760</v>
      </c>
      <c r="G416" s="258"/>
      <c r="H416" s="253"/>
      <c r="I416" s="254"/>
      <c r="J416" s="254"/>
      <c r="K416" s="254"/>
      <c r="L416" s="253"/>
      <c r="M416" s="253"/>
    </row>
    <row r="417" spans="1:13" x14ac:dyDescent="0.25">
      <c r="A417" s="253"/>
      <c r="B417" s="47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3"/>
      <c r="M417" s="253"/>
    </row>
    <row r="418" spans="1:13" x14ac:dyDescent="0.25">
      <c r="A418" s="253"/>
      <c r="B418" s="47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3"/>
      <c r="M418" s="253"/>
    </row>
    <row r="419" spans="1:13" x14ac:dyDescent="0.25">
      <c r="A419" s="253"/>
      <c r="B419" s="551"/>
      <c r="C419" s="253"/>
      <c r="D419" s="253"/>
      <c r="E419" s="253"/>
      <c r="F419" s="253"/>
      <c r="G419" s="253"/>
      <c r="H419" s="253"/>
      <c r="I419" s="254"/>
      <c r="J419" s="254"/>
      <c r="K419" s="254"/>
      <c r="L419" s="253"/>
      <c r="M419" s="253"/>
    </row>
    <row r="420" spans="1:13" x14ac:dyDescent="0.25">
      <c r="A420" s="253"/>
      <c r="B420" s="47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3"/>
    </row>
    <row r="421" spans="1:13" x14ac:dyDescent="0.25">
      <c r="A421" s="253"/>
      <c r="B421" s="47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3"/>
    </row>
    <row r="422" spans="1:13" x14ac:dyDescent="0.25">
      <c r="A422" s="253"/>
      <c r="B422" s="47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3"/>
    </row>
    <row r="423" spans="1:13" x14ac:dyDescent="0.25">
      <c r="A423" s="253"/>
      <c r="B423" s="47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7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3"/>
    </row>
    <row r="424" spans="1:13" x14ac:dyDescent="0.25">
      <c r="A424" s="253"/>
      <c r="B424" s="47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7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3"/>
    </row>
    <row r="425" spans="1:13" x14ac:dyDescent="0.25">
      <c r="A425" s="253"/>
      <c r="B425" s="47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3"/>
    </row>
    <row r="426" spans="1:13" x14ac:dyDescent="0.25">
      <c r="A426" s="253"/>
      <c r="B426" s="551"/>
      <c r="C426" s="253"/>
      <c r="D426" s="253"/>
      <c r="E426" s="253"/>
      <c r="F426" s="253"/>
      <c r="G426" s="253"/>
      <c r="H426" s="253"/>
      <c r="I426" s="254"/>
      <c r="J426" s="254"/>
      <c r="K426" s="254"/>
      <c r="L426" s="253"/>
      <c r="M426" s="253"/>
    </row>
    <row r="427" spans="1:13" x14ac:dyDescent="0.25">
      <c r="A427" s="253"/>
      <c r="B427" s="47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3"/>
      <c r="M427" s="253"/>
    </row>
    <row r="428" spans="1:13" x14ac:dyDescent="0.25">
      <c r="A428" s="253"/>
      <c r="B428" s="551"/>
      <c r="C428" s="253"/>
      <c r="D428" s="253"/>
      <c r="E428" s="253"/>
      <c r="F428" s="253"/>
      <c r="G428" s="253"/>
      <c r="H428" s="253"/>
      <c r="I428" s="254"/>
      <c r="J428" s="254"/>
      <c r="K428" s="254"/>
      <c r="L428" s="253"/>
      <c r="M428" s="253"/>
    </row>
    <row r="429" spans="1:13" x14ac:dyDescent="0.25">
      <c r="A429" s="253"/>
      <c r="B429" s="47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3"/>
      <c r="B430" s="47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3"/>
      <c r="B431" s="47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3"/>
      <c r="B432" s="47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7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3"/>
      <c r="B433" s="47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7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3"/>
      <c r="B434" s="47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7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3"/>
      <c r="B435" s="47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7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3"/>
      <c r="B436" s="47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7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7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3"/>
      <c r="B449" s="551"/>
      <c r="C449" s="253"/>
      <c r="D449" s="253"/>
      <c r="E449" s="253"/>
      <c r="F449" s="253"/>
      <c r="G449" s="253"/>
      <c r="H449" s="253"/>
      <c r="I449" s="254"/>
      <c r="J449" s="254"/>
      <c r="K449" s="254"/>
      <c r="L449" s="253"/>
      <c r="M449" s="253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2" t="s">
        <v>194</v>
      </c>
      <c r="B451" s="443"/>
      <c r="C451" s="444">
        <f>SumByColor($A$23,C261:C449)</f>
        <v>3800</v>
      </c>
      <c r="D451" s="444"/>
      <c r="E451" s="444"/>
      <c r="F451" s="445">
        <f>SumByColor($A$23,F261:F449)</f>
        <v>94879</v>
      </c>
      <c r="G451" s="444"/>
      <c r="H451" s="444">
        <f>SumByColor($A$23,H261:H449)</f>
        <v>3800</v>
      </c>
      <c r="I451" s="444"/>
      <c r="J451" s="444"/>
      <c r="K451" s="445">
        <f>SumByColor($A$23,K261:K449)</f>
        <v>103844</v>
      </c>
      <c r="L451" s="444"/>
      <c r="M451" s="445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43" priority="137">
      <formula>F30&gt;0</formula>
    </cfRule>
    <cfRule type="expression" dxfId="842" priority="138">
      <formula>F30&lt;0</formula>
    </cfRule>
  </conditionalFormatting>
  <conditionalFormatting sqref="H47:H58">
    <cfRule type="expression" dxfId="841" priority="129">
      <formula>H47&gt;0</formula>
    </cfRule>
    <cfRule type="expression" dxfId="840" priority="130">
      <formula>H47&lt;0</formula>
    </cfRule>
  </conditionalFormatting>
  <conditionalFormatting sqref="H59">
    <cfRule type="expression" dxfId="839" priority="119">
      <formula>H59&gt;0</formula>
    </cfRule>
    <cfRule type="expression" dxfId="838" priority="120">
      <formula>H59&lt;0</formula>
    </cfRule>
  </conditionalFormatting>
  <conditionalFormatting sqref="H60">
    <cfRule type="expression" dxfId="837" priority="115">
      <formula>H60&gt;0</formula>
    </cfRule>
    <cfRule type="expression" dxfId="836" priority="116">
      <formula>H60&lt;0</formula>
    </cfRule>
  </conditionalFormatting>
  <conditionalFormatting sqref="H61:H66">
    <cfRule type="expression" dxfId="835" priority="111">
      <formula>H61&gt;0</formula>
    </cfRule>
    <cfRule type="expression" dxfId="834" priority="112">
      <formula>H61&lt;0</formula>
    </cfRule>
  </conditionalFormatting>
  <conditionalFormatting sqref="Q8">
    <cfRule type="expression" dxfId="833" priority="95">
      <formula>Q8&gt;0</formula>
    </cfRule>
    <cfRule type="expression" dxfId="832" priority="96">
      <formula>Q8&lt;0</formula>
    </cfRule>
  </conditionalFormatting>
  <conditionalFormatting sqref="Q7">
    <cfRule type="expression" dxfId="831" priority="97">
      <formula>Q7&gt;0</formula>
    </cfRule>
    <cfRule type="expression" dxfId="830" priority="98">
      <formula>Q7&lt;0</formula>
    </cfRule>
  </conditionalFormatting>
  <conditionalFormatting sqref="F178 H178">
    <cfRule type="expression" dxfId="829" priority="93">
      <formula>F178&gt;0</formula>
    </cfRule>
    <cfRule type="expression" dxfId="828" priority="94">
      <formula>F178&lt;0</formula>
    </cfRule>
  </conditionalFormatting>
  <conditionalFormatting sqref="Q10">
    <cfRule type="expression" dxfId="827" priority="87">
      <formula>Q10&gt;0</formula>
    </cfRule>
    <cfRule type="expression" dxfId="826" priority="88">
      <formula>Q10&lt;0</formula>
    </cfRule>
  </conditionalFormatting>
  <conditionalFormatting sqref="Q9">
    <cfRule type="expression" dxfId="825" priority="81">
      <formula>Q9&gt;0</formula>
    </cfRule>
    <cfRule type="expression" dxfId="824" priority="82">
      <formula>Q9&lt;0</formula>
    </cfRule>
  </conditionalFormatting>
  <conditionalFormatting sqref="F201:F248">
    <cfRule type="expression" dxfId="823" priority="41">
      <formula>F201&gt;0</formula>
    </cfRule>
    <cfRule type="expression" dxfId="822" priority="42">
      <formula>F201&lt;0</formula>
    </cfRule>
  </conditionalFormatting>
  <conditionalFormatting sqref="H201:H248">
    <cfRule type="expression" dxfId="821" priority="39">
      <formula>H201&gt;0</formula>
    </cfRule>
    <cfRule type="expression" dxfId="820" priority="40">
      <formula>H201&lt;0</formula>
    </cfRule>
  </conditionalFormatting>
  <conditionalFormatting sqref="J208">
    <cfRule type="expression" dxfId="819" priority="37">
      <formula>J208&gt;0</formula>
    </cfRule>
    <cfRule type="expression" dxfId="818" priority="38">
      <formula>J208&lt;0</formula>
    </cfRule>
  </conditionalFormatting>
  <conditionalFormatting sqref="J214:J215">
    <cfRule type="expression" dxfId="817" priority="35">
      <formula>J214&gt;0</formula>
    </cfRule>
    <cfRule type="expression" dxfId="816" priority="36">
      <formula>J214&lt;0</formula>
    </cfRule>
  </conditionalFormatting>
  <conditionalFormatting sqref="J216">
    <cfRule type="expression" dxfId="815" priority="33">
      <formula>J216&gt;0</formula>
    </cfRule>
    <cfRule type="expression" dxfId="814" priority="34">
      <formula>J216&lt;0</formula>
    </cfRule>
  </conditionalFormatting>
  <conditionalFormatting sqref="J217:J219 J221:J224">
    <cfRule type="expression" dxfId="813" priority="31">
      <formula>J217&gt;0</formula>
    </cfRule>
    <cfRule type="expression" dxfId="812" priority="32">
      <formula>J217&lt;0</formula>
    </cfRule>
  </conditionalFormatting>
  <conditionalFormatting sqref="K208">
    <cfRule type="expression" dxfId="811" priority="29">
      <formula>K208&gt;0</formula>
    </cfRule>
    <cfRule type="expression" dxfId="810" priority="30">
      <formula>K208&lt;0</formula>
    </cfRule>
  </conditionalFormatting>
  <conditionalFormatting sqref="K214:K215">
    <cfRule type="expression" dxfId="809" priority="27">
      <formula>K214&gt;0</formula>
    </cfRule>
    <cfRule type="expression" dxfId="808" priority="28">
      <formula>K214&lt;0</formula>
    </cfRule>
  </conditionalFormatting>
  <conditionalFormatting sqref="K216">
    <cfRule type="expression" dxfId="807" priority="25">
      <formula>K216&gt;0</formula>
    </cfRule>
    <cfRule type="expression" dxfId="806" priority="26">
      <formula>K216&lt;0</formula>
    </cfRule>
  </conditionalFormatting>
  <conditionalFormatting sqref="K217:K224">
    <cfRule type="expression" dxfId="805" priority="23">
      <formula>K217&gt;0</formula>
    </cfRule>
    <cfRule type="expression" dxfId="804" priority="24">
      <formula>K217&lt;0</formula>
    </cfRule>
  </conditionalFormatting>
  <conditionalFormatting sqref="L208">
    <cfRule type="expression" dxfId="803" priority="21">
      <formula>L208&gt;0</formula>
    </cfRule>
    <cfRule type="expression" dxfId="802" priority="22">
      <formula>L208&lt;0</formula>
    </cfRule>
  </conditionalFormatting>
  <conditionalFormatting sqref="L214:L215">
    <cfRule type="expression" dxfId="801" priority="19">
      <formula>L214&gt;0</formula>
    </cfRule>
    <cfRule type="expression" dxfId="800" priority="20">
      <formula>L214&lt;0</formula>
    </cfRule>
  </conditionalFormatting>
  <conditionalFormatting sqref="L216">
    <cfRule type="expression" dxfId="799" priority="17">
      <formula>L216&gt;0</formula>
    </cfRule>
    <cfRule type="expression" dxfId="798" priority="18">
      <formula>L216&lt;0</formula>
    </cfRule>
  </conditionalFormatting>
  <conditionalFormatting sqref="L217:L224">
    <cfRule type="expression" dxfId="797" priority="15">
      <formula>L217&gt;0</formula>
    </cfRule>
    <cfRule type="expression" dxfId="796" priority="16">
      <formula>L217&lt;0</formula>
    </cfRule>
  </conditionalFormatting>
  <conditionalFormatting sqref="K225">
    <cfRule type="expression" dxfId="795" priority="13">
      <formula>K225&gt;0</formula>
    </cfRule>
    <cfRule type="expression" dxfId="794" priority="14">
      <formula>K225&lt;0</formula>
    </cfRule>
  </conditionalFormatting>
  <conditionalFormatting sqref="L225:L232">
    <cfRule type="expression" dxfId="793" priority="11">
      <formula>L225&gt;0</formula>
    </cfRule>
    <cfRule type="expression" dxfId="792" priority="12">
      <formula>L225&lt;0</formula>
    </cfRule>
  </conditionalFormatting>
  <conditionalFormatting sqref="K226">
    <cfRule type="expression" dxfId="791" priority="9">
      <formula>K226&gt;0</formula>
    </cfRule>
    <cfRule type="expression" dxfId="790" priority="10">
      <formula>K226&lt;0</formula>
    </cfRule>
  </conditionalFormatting>
  <conditionalFormatting sqref="K227">
    <cfRule type="expression" dxfId="789" priority="7">
      <formula>K227&gt;0</formula>
    </cfRule>
    <cfRule type="expression" dxfId="788" priority="8">
      <formula>K227&lt;0</formula>
    </cfRule>
  </conditionalFormatting>
  <conditionalFormatting sqref="K228:K248">
    <cfRule type="expression" dxfId="787" priority="5">
      <formula>K228&gt;0</formula>
    </cfRule>
    <cfRule type="expression" dxfId="786" priority="6">
      <formula>K228&lt;0</formula>
    </cfRule>
  </conditionalFormatting>
  <conditionalFormatting sqref="L233:L237">
    <cfRule type="expression" dxfId="785" priority="3">
      <formula>L233&gt;0</formula>
    </cfRule>
    <cfRule type="expression" dxfId="784" priority="4">
      <formula>L233&lt;0</formula>
    </cfRule>
  </conditionalFormatting>
  <conditionalFormatting sqref="L238:L243">
    <cfRule type="expression" dxfId="783" priority="1">
      <formula>L238&gt;0</formula>
    </cfRule>
    <cfRule type="expression" dxfId="78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4"/>
      <c r="O3" s="11" t="s">
        <v>58</v>
      </c>
      <c r="Q3" s="2">
        <f>IF(Q2=0, Q4, (F18-K18-M18)/Q2)</f>
        <v>53.17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53.17</v>
      </c>
      <c r="R4" s="493">
        <v>1.26E-2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7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5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7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5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7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5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7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5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7">
        <v>42432</v>
      </c>
      <c r="C27" s="10">
        <v>0</v>
      </c>
      <c r="D27" s="39"/>
      <c r="E27" s="39"/>
      <c r="F27" s="39">
        <v>75.92</v>
      </c>
      <c r="G27" s="39"/>
      <c r="H27" s="225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7">
        <v>42445</v>
      </c>
      <c r="C28" s="10">
        <v>0</v>
      </c>
      <c r="D28" s="39"/>
      <c r="E28" s="39"/>
      <c r="F28" s="39">
        <v>119.92</v>
      </c>
      <c r="G28" s="39"/>
      <c r="H28" s="225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1" t="s">
        <v>5</v>
      </c>
      <c r="E31" s="371" t="s">
        <v>90</v>
      </c>
      <c r="F31" s="371" t="s">
        <v>60</v>
      </c>
      <c r="G31" s="371" t="s">
        <v>3</v>
      </c>
      <c r="H31" s="400" t="s">
        <v>6</v>
      </c>
      <c r="I31" s="371" t="s">
        <v>7</v>
      </c>
      <c r="J31" s="371" t="s">
        <v>89</v>
      </c>
      <c r="K31" s="371" t="s">
        <v>61</v>
      </c>
      <c r="L31" s="371" t="s">
        <v>77</v>
      </c>
      <c r="M31" s="37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4" t="s">
        <v>172</v>
      </c>
      <c r="B32" s="364">
        <v>42376</v>
      </c>
      <c r="C32" s="365">
        <v>100</v>
      </c>
      <c r="D32" s="366">
        <v>36.659999999999997</v>
      </c>
      <c r="E32" s="366">
        <v>0</v>
      </c>
      <c r="F32" s="366">
        <f>C32*D32+E32</f>
        <v>3665.9999999999995</v>
      </c>
      <c r="G32" s="401">
        <v>42432</v>
      </c>
      <c r="H32" s="384">
        <v>100</v>
      </c>
      <c r="I32" s="385">
        <v>37.42</v>
      </c>
      <c r="J32" s="385">
        <v>0.08</v>
      </c>
      <c r="K32" s="386">
        <f>I32*H32-J32</f>
        <v>3741.92</v>
      </c>
      <c r="L32" s="364">
        <v>42444</v>
      </c>
      <c r="M32" s="38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5" t="s">
        <v>71</v>
      </c>
      <c r="B33" s="364"/>
      <c r="C33" s="365"/>
      <c r="D33" s="366"/>
      <c r="E33" s="366"/>
      <c r="F33" s="366"/>
      <c r="G33" s="364"/>
      <c r="H33" s="369"/>
      <c r="I33" s="365"/>
      <c r="J33" s="365"/>
      <c r="K33" s="386"/>
      <c r="L33" s="364"/>
      <c r="M33" s="36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5"/>
      <c r="B34" s="364"/>
      <c r="C34" s="365"/>
      <c r="D34" s="366"/>
      <c r="E34" s="366"/>
      <c r="F34" s="366"/>
      <c r="G34" s="364"/>
      <c r="H34" s="369"/>
      <c r="I34" s="365"/>
      <c r="J34" s="366"/>
      <c r="K34" s="385"/>
      <c r="L34" s="365"/>
      <c r="M34" s="36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5"/>
      <c r="B35" s="364"/>
      <c r="C35" s="365"/>
      <c r="D35" s="366"/>
      <c r="E35" s="366"/>
      <c r="F35" s="366"/>
      <c r="G35" s="364"/>
      <c r="H35" s="369"/>
      <c r="I35" s="365"/>
      <c r="J35" s="366"/>
      <c r="K35" s="385"/>
      <c r="L35" s="365"/>
      <c r="M35" s="36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5"/>
      <c r="B36" s="365"/>
      <c r="C36" s="365"/>
      <c r="D36" s="365"/>
      <c r="E36" s="365"/>
      <c r="F36" s="365"/>
      <c r="G36" s="365"/>
      <c r="H36" s="369"/>
      <c r="I36" s="365"/>
      <c r="J36" s="365"/>
      <c r="K36" s="365"/>
      <c r="L36" s="365"/>
      <c r="M36" s="36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5"/>
      <c r="B38" s="365"/>
      <c r="C38" s="365"/>
      <c r="D38" s="365"/>
      <c r="E38" s="365"/>
      <c r="F38" s="365"/>
      <c r="G38" s="365"/>
      <c r="H38" s="369"/>
      <c r="I38" s="365"/>
      <c r="J38" s="365"/>
      <c r="K38" s="365"/>
      <c r="L38" s="365"/>
      <c r="M38" s="36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7" t="s">
        <v>78</v>
      </c>
      <c r="P40" s="84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58.487000000000009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57.955300000000008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57.423600000000008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56.891900000000007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56.360200000000006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55.828500000000005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55.296800000000005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54.765100000000004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54.233400000000003</v>
      </c>
      <c r="Q49" s="2"/>
      <c r="T49" s="85" t="s">
        <v>103</v>
      </c>
      <c r="U49" s="87" t="s">
        <v>397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53.701700000000002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53.17</v>
      </c>
      <c r="Q51" s="2"/>
      <c r="T51" s="85" t="s">
        <v>104</v>
      </c>
      <c r="U51" s="86" t="s">
        <v>611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52.638300000000001</v>
      </c>
      <c r="Q52" s="2"/>
      <c r="T52" s="85" t="s">
        <v>105</v>
      </c>
      <c r="U52" s="86" t="s">
        <v>506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52.1066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51.5749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51.043199999999999</v>
      </c>
      <c r="T55" s="85" t="s">
        <v>107</v>
      </c>
      <c r="U55" s="86" t="s">
        <v>612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50.511499999999998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49.979799999999997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49.448100000000004</v>
      </c>
      <c r="T58" s="85" t="s">
        <v>108</v>
      </c>
      <c r="U58" s="86" t="s">
        <v>548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48.916400000000003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48.384700000000002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47.853000000000002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81" priority="11">
      <formula>F27&gt;0</formula>
    </cfRule>
    <cfRule type="expression" dxfId="780" priority="12">
      <formula>F27&lt;0</formula>
    </cfRule>
  </conditionalFormatting>
  <conditionalFormatting sqref="H27:H29">
    <cfRule type="expression" dxfId="779" priority="9">
      <formula>H27&gt;0</formula>
    </cfRule>
    <cfRule type="expression" dxfId="778" priority="10">
      <formula>H27&lt;0</formula>
    </cfRule>
  </conditionalFormatting>
  <conditionalFormatting sqref="F23:F26">
    <cfRule type="expression" dxfId="777" priority="7">
      <formula>F23&gt;0</formula>
    </cfRule>
    <cfRule type="expression" dxfId="776" priority="8">
      <formula>F23&lt;0</formula>
    </cfRule>
  </conditionalFormatting>
  <conditionalFormatting sqref="H23:H26">
    <cfRule type="expression" dxfId="775" priority="5">
      <formula>H23&gt;0</formula>
    </cfRule>
    <cfRule type="expression" dxfId="774" priority="6">
      <formula>H23&lt;0</formula>
    </cfRule>
  </conditionalFormatting>
  <conditionalFormatting sqref="Q8">
    <cfRule type="expression" dxfId="773" priority="1">
      <formula>Q8&gt;0</formula>
    </cfRule>
    <cfRule type="expression" dxfId="772" priority="2">
      <formula>Q8&lt;0</formula>
    </cfRule>
  </conditionalFormatting>
  <conditionalFormatting sqref="Q7">
    <cfRule type="expression" dxfId="771" priority="3">
      <formula>Q7&gt;0</formula>
    </cfRule>
    <cfRule type="expression" dxfId="77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3"/>
      <c r="O3" s="11" t="s">
        <v>58</v>
      </c>
      <c r="Q3" s="2">
        <f>IF(Q2=0, Q4, (F18-K18-M18)/Q2)</f>
        <v>49.99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49.99</v>
      </c>
      <c r="R4" s="493">
        <v>4.7999999999999996E-3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9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9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9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9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9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9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9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9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9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9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9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7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7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5" t="s">
        <v>5</v>
      </c>
      <c r="E34" s="255" t="s">
        <v>90</v>
      </c>
      <c r="F34" s="255" t="s">
        <v>60</v>
      </c>
      <c r="G34" s="255" t="s">
        <v>3</v>
      </c>
      <c r="H34" s="393" t="s">
        <v>6</v>
      </c>
      <c r="I34" s="255" t="s">
        <v>7</v>
      </c>
      <c r="J34" s="255" t="s">
        <v>89</v>
      </c>
      <c r="K34" s="255" t="s">
        <v>61</v>
      </c>
      <c r="L34" s="255" t="s">
        <v>77</v>
      </c>
      <c r="M34" s="255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7" t="s">
        <v>27</v>
      </c>
      <c r="B35" s="258">
        <v>42164</v>
      </c>
      <c r="C35" s="253">
        <v>30</v>
      </c>
      <c r="D35" s="254">
        <v>32.200000000000003</v>
      </c>
      <c r="E35" s="254">
        <v>0</v>
      </c>
      <c r="F35" s="254">
        <f>C35*D35</f>
        <v>966.00000000000011</v>
      </c>
      <c r="G35" s="394">
        <v>42247</v>
      </c>
      <c r="H35" s="395">
        <v>100</v>
      </c>
      <c r="I35" s="357">
        <v>27.15</v>
      </c>
      <c r="J35" s="357">
        <v>0.05</v>
      </c>
      <c r="K35" s="267">
        <f t="shared" ref="K35:K43" si="2">H35*I35-J35</f>
        <v>2714.95</v>
      </c>
      <c r="L35" s="258">
        <v>42248</v>
      </c>
      <c r="M35" s="357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0" t="s">
        <v>71</v>
      </c>
      <c r="B36" s="258">
        <v>42166</v>
      </c>
      <c r="C36" s="253">
        <v>30</v>
      </c>
      <c r="D36" s="254">
        <v>31.3</v>
      </c>
      <c r="E36" s="254">
        <v>0</v>
      </c>
      <c r="F36" s="254">
        <f t="shared" ref="F36:F43" si="3">C36*D36</f>
        <v>939</v>
      </c>
      <c r="G36" s="258">
        <v>42263</v>
      </c>
      <c r="H36" s="259">
        <v>230</v>
      </c>
      <c r="I36" s="253">
        <v>29.47</v>
      </c>
      <c r="J36" s="253">
        <v>0.12</v>
      </c>
      <c r="K36" s="267">
        <f t="shared" si="2"/>
        <v>6777.98</v>
      </c>
      <c r="L36" s="258">
        <v>42339</v>
      </c>
      <c r="M36" s="254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3"/>
      <c r="B37" s="258">
        <v>42186</v>
      </c>
      <c r="C37" s="253">
        <v>140</v>
      </c>
      <c r="D37" s="254">
        <v>31.1</v>
      </c>
      <c r="E37" s="254">
        <v>0</v>
      </c>
      <c r="F37" s="254">
        <f t="shared" si="3"/>
        <v>4354</v>
      </c>
      <c r="G37" s="258">
        <v>42263</v>
      </c>
      <c r="H37" s="259">
        <v>180</v>
      </c>
      <c r="I37" s="253">
        <v>29.49</v>
      </c>
      <c r="J37" s="254">
        <v>0.09</v>
      </c>
      <c r="K37" s="357">
        <f t="shared" si="2"/>
        <v>5308.11</v>
      </c>
      <c r="L37" s="253"/>
      <c r="M37" s="253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3"/>
      <c r="B38" s="258">
        <v>42186</v>
      </c>
      <c r="C38" s="253">
        <v>200</v>
      </c>
      <c r="D38" s="254">
        <v>30.9</v>
      </c>
      <c r="E38" s="254">
        <v>0</v>
      </c>
      <c r="F38" s="254">
        <f t="shared" si="3"/>
        <v>6180</v>
      </c>
      <c r="G38" s="258">
        <v>42282</v>
      </c>
      <c r="H38" s="259">
        <v>710</v>
      </c>
      <c r="I38" s="253">
        <v>30.05</v>
      </c>
      <c r="J38" s="254">
        <v>0.39</v>
      </c>
      <c r="K38" s="357">
        <f t="shared" si="2"/>
        <v>21335.11</v>
      </c>
      <c r="L38" s="253"/>
      <c r="M38" s="253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3"/>
      <c r="B39" s="258">
        <v>42194</v>
      </c>
      <c r="C39" s="253">
        <v>100</v>
      </c>
      <c r="D39" s="254">
        <v>29.8</v>
      </c>
      <c r="E39" s="254">
        <v>0</v>
      </c>
      <c r="F39" s="254">
        <f t="shared" si="3"/>
        <v>2980</v>
      </c>
      <c r="G39" s="258">
        <v>42291</v>
      </c>
      <c r="H39" s="259">
        <v>60</v>
      </c>
      <c r="I39" s="253">
        <v>32.450000000000003</v>
      </c>
      <c r="J39" s="253">
        <v>0.04</v>
      </c>
      <c r="K39" s="357">
        <f t="shared" si="2"/>
        <v>1946.9600000000003</v>
      </c>
      <c r="L39" s="253"/>
      <c r="M39" s="253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3"/>
      <c r="B40" s="258">
        <v>42207</v>
      </c>
      <c r="C40" s="253">
        <v>50</v>
      </c>
      <c r="D40" s="254">
        <v>29.32</v>
      </c>
      <c r="E40" s="254">
        <v>0</v>
      </c>
      <c r="F40" s="254">
        <f t="shared" si="3"/>
        <v>1466</v>
      </c>
      <c r="G40" s="258">
        <v>42296</v>
      </c>
      <c r="H40" s="259">
        <v>200</v>
      </c>
      <c r="I40" s="253">
        <v>32.82</v>
      </c>
      <c r="J40" s="253">
        <v>0.12</v>
      </c>
      <c r="K40" s="357">
        <f t="shared" si="2"/>
        <v>6563.88</v>
      </c>
      <c r="L40" s="253"/>
      <c r="M40" s="253"/>
      <c r="O40" s="847" t="s">
        <v>78</v>
      </c>
      <c r="P40" s="84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3"/>
      <c r="B41" s="258">
        <v>42209</v>
      </c>
      <c r="C41" s="253">
        <v>50</v>
      </c>
      <c r="D41" s="254">
        <v>28.6</v>
      </c>
      <c r="E41" s="254">
        <v>0</v>
      </c>
      <c r="F41" s="254">
        <f t="shared" si="3"/>
        <v>1430</v>
      </c>
      <c r="G41" s="258">
        <v>42299</v>
      </c>
      <c r="H41" s="259">
        <v>80</v>
      </c>
      <c r="I41" s="253">
        <v>33.549999999999997</v>
      </c>
      <c r="J41" s="253">
        <v>0.05</v>
      </c>
      <c r="K41" s="357">
        <f t="shared" si="2"/>
        <v>2683.95</v>
      </c>
      <c r="L41" s="253"/>
      <c r="M41" s="253"/>
      <c r="O41" s="81">
        <v>1.1000000000000001</v>
      </c>
      <c r="P41" s="81">
        <f>O41*$Q$4</f>
        <v>54.989000000000004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3"/>
      <c r="B42" s="258">
        <v>42214</v>
      </c>
      <c r="C42" s="253">
        <v>50</v>
      </c>
      <c r="D42" s="254">
        <v>28.19</v>
      </c>
      <c r="E42" s="254">
        <v>0</v>
      </c>
      <c r="F42" s="254">
        <f t="shared" si="3"/>
        <v>1409.5</v>
      </c>
      <c r="G42" s="258">
        <v>42304</v>
      </c>
      <c r="H42" s="259">
        <v>40</v>
      </c>
      <c r="I42" s="253">
        <v>34.049999999999997</v>
      </c>
      <c r="J42" s="253">
        <v>0.03</v>
      </c>
      <c r="K42" s="357">
        <f t="shared" si="2"/>
        <v>1361.97</v>
      </c>
      <c r="L42" s="253"/>
      <c r="M42" s="253"/>
      <c r="O42" s="81">
        <v>1.0900000000000001</v>
      </c>
      <c r="P42" s="81">
        <f t="shared" ref="P42:P61" si="4">O42*$Q$4</f>
        <v>54.489100000000008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3"/>
      <c r="B43" s="258">
        <v>42240</v>
      </c>
      <c r="C43" s="253">
        <v>100</v>
      </c>
      <c r="D43" s="254">
        <v>28.4</v>
      </c>
      <c r="E43" s="254">
        <v>0</v>
      </c>
      <c r="F43" s="254">
        <f t="shared" si="3"/>
        <v>2840</v>
      </c>
      <c r="G43" s="258">
        <v>42332</v>
      </c>
      <c r="H43" s="259">
        <v>110</v>
      </c>
      <c r="I43" s="253">
        <v>34.450000000000003</v>
      </c>
      <c r="J43" s="253">
        <v>7.0000000000000007E-2</v>
      </c>
      <c r="K43" s="357">
        <f t="shared" si="2"/>
        <v>3789.4300000000003</v>
      </c>
      <c r="L43" s="253"/>
      <c r="M43" s="253"/>
      <c r="O43" s="81">
        <v>1.08</v>
      </c>
      <c r="P43" s="81">
        <f t="shared" si="4"/>
        <v>53.989200000000004</v>
      </c>
      <c r="Q43" s="2"/>
      <c r="T43" s="95" t="s">
        <v>97</v>
      </c>
      <c r="U43" s="96">
        <v>36.28</v>
      </c>
      <c r="V43" s="39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3"/>
      <c r="B44" s="258">
        <v>42240</v>
      </c>
      <c r="C44" s="253">
        <v>50</v>
      </c>
      <c r="D44" s="254">
        <v>28.3</v>
      </c>
      <c r="E44" s="254">
        <v>0</v>
      </c>
      <c r="F44" s="254">
        <f>C44*D44</f>
        <v>1415</v>
      </c>
      <c r="G44" s="253"/>
      <c r="H44" s="259"/>
      <c r="I44" s="253"/>
      <c r="J44" s="253"/>
      <c r="K44" s="253"/>
      <c r="L44" s="253"/>
      <c r="M44" s="253"/>
      <c r="O44" s="81">
        <v>1.07</v>
      </c>
      <c r="P44" s="81">
        <f t="shared" si="4"/>
        <v>53.489300000000007</v>
      </c>
      <c r="Q44" s="2"/>
      <c r="T44" s="85" t="s">
        <v>98</v>
      </c>
      <c r="U44" s="86">
        <v>36.43</v>
      </c>
      <c r="V44" s="39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3"/>
      <c r="B45" s="258">
        <v>42244</v>
      </c>
      <c r="C45" s="253">
        <v>100</v>
      </c>
      <c r="D45" s="254">
        <v>26.7</v>
      </c>
      <c r="E45" s="254">
        <v>0</v>
      </c>
      <c r="F45" s="254">
        <f t="shared" ref="F45:F51" si="5">C45*D45</f>
        <v>2670</v>
      </c>
      <c r="G45" s="253"/>
      <c r="H45" s="259"/>
      <c r="I45" s="253"/>
      <c r="J45" s="253"/>
      <c r="K45" s="253"/>
      <c r="L45" s="253"/>
      <c r="M45" s="253"/>
      <c r="O45" s="81">
        <v>1.06</v>
      </c>
      <c r="P45" s="81">
        <f t="shared" si="4"/>
        <v>52.989400000000003</v>
      </c>
      <c r="Q45" s="2"/>
      <c r="T45" s="85" t="s">
        <v>99</v>
      </c>
      <c r="U45" s="86" t="s">
        <v>613</v>
      </c>
      <c r="V45" s="39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3"/>
      <c r="B46" s="258">
        <v>42270</v>
      </c>
      <c r="C46" s="253">
        <v>330</v>
      </c>
      <c r="D46" s="254">
        <v>29.15</v>
      </c>
      <c r="E46" s="254">
        <v>0</v>
      </c>
      <c r="F46" s="254">
        <f t="shared" si="5"/>
        <v>9619.5</v>
      </c>
      <c r="G46" s="253"/>
      <c r="H46" s="259"/>
      <c r="I46" s="253"/>
      <c r="J46" s="253"/>
      <c r="K46" s="253"/>
      <c r="L46" s="253"/>
      <c r="M46" s="253"/>
      <c r="O46" s="81">
        <v>1.05</v>
      </c>
      <c r="P46" s="81">
        <f t="shared" si="4"/>
        <v>52.489500000000007</v>
      </c>
      <c r="Q46" s="2"/>
      <c r="T46" s="85" t="s">
        <v>100</v>
      </c>
      <c r="U46" s="86" t="s">
        <v>614</v>
      </c>
      <c r="V46" s="39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3"/>
      <c r="B47" s="258">
        <v>42276</v>
      </c>
      <c r="C47" s="253">
        <v>50</v>
      </c>
      <c r="D47" s="253">
        <v>27.95</v>
      </c>
      <c r="E47" s="254">
        <v>0</v>
      </c>
      <c r="F47" s="254">
        <f t="shared" si="5"/>
        <v>1397.5</v>
      </c>
      <c r="G47" s="253"/>
      <c r="H47" s="259"/>
      <c r="I47" s="253"/>
      <c r="J47" s="253"/>
      <c r="K47" s="253"/>
      <c r="L47" s="253"/>
      <c r="M47" s="253"/>
      <c r="O47" s="81">
        <v>1.04</v>
      </c>
      <c r="P47" s="81">
        <f t="shared" si="4"/>
        <v>51.989600000000003</v>
      </c>
      <c r="Q47" s="2"/>
      <c r="T47" s="85" t="s">
        <v>101</v>
      </c>
      <c r="U47" s="86">
        <v>40.03</v>
      </c>
      <c r="V47" s="39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3"/>
      <c r="B48" s="258">
        <v>42293</v>
      </c>
      <c r="C48" s="253">
        <v>80</v>
      </c>
      <c r="D48" s="254">
        <v>32.090000000000003</v>
      </c>
      <c r="E48" s="254">
        <v>0</v>
      </c>
      <c r="F48" s="254">
        <f t="shared" si="5"/>
        <v>2567.2000000000003</v>
      </c>
      <c r="G48" s="253"/>
      <c r="H48" s="259"/>
      <c r="I48" s="253"/>
      <c r="J48" s="253"/>
      <c r="K48" s="253"/>
      <c r="L48" s="253"/>
      <c r="M48" s="253"/>
      <c r="O48" s="81">
        <v>1.03</v>
      </c>
      <c r="P48" s="81">
        <f t="shared" si="4"/>
        <v>51.489700000000006</v>
      </c>
      <c r="Q48" s="2"/>
      <c r="T48" s="85" t="s">
        <v>102</v>
      </c>
      <c r="U48" s="86">
        <v>1.1121399999999999</v>
      </c>
      <c r="V48" s="39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3"/>
      <c r="B49" s="258">
        <v>42293</v>
      </c>
      <c r="C49" s="253">
        <v>80</v>
      </c>
      <c r="D49" s="254">
        <v>31.95</v>
      </c>
      <c r="E49" s="254">
        <v>0</v>
      </c>
      <c r="F49" s="254">
        <f t="shared" si="5"/>
        <v>2556</v>
      </c>
      <c r="G49" s="253"/>
      <c r="H49" s="259"/>
      <c r="I49" s="253"/>
      <c r="J49" s="253"/>
      <c r="K49" s="253"/>
      <c r="L49" s="253"/>
      <c r="M49" s="253"/>
      <c r="O49" s="81">
        <v>1.02</v>
      </c>
      <c r="P49" s="81">
        <f t="shared" si="4"/>
        <v>50.989800000000002</v>
      </c>
      <c r="Q49" s="2"/>
      <c r="T49" s="85" t="s">
        <v>103</v>
      </c>
      <c r="U49" s="87" t="s">
        <v>429</v>
      </c>
      <c r="V49" s="39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3"/>
      <c r="B50" s="258">
        <v>42293</v>
      </c>
      <c r="C50" s="253">
        <v>120</v>
      </c>
      <c r="D50" s="254">
        <v>31.75</v>
      </c>
      <c r="E50" s="254">
        <v>0</v>
      </c>
      <c r="F50" s="254">
        <f t="shared" si="5"/>
        <v>3810</v>
      </c>
      <c r="G50" s="253"/>
      <c r="H50" s="259"/>
      <c r="I50" s="253"/>
      <c r="J50" s="253"/>
      <c r="K50" s="253"/>
      <c r="L50" s="253"/>
      <c r="M50" s="253"/>
      <c r="O50" s="81">
        <v>1.01</v>
      </c>
      <c r="P50" s="81">
        <f t="shared" si="4"/>
        <v>50.489900000000006</v>
      </c>
      <c r="Q50" s="2"/>
      <c r="T50" s="85"/>
      <c r="U50" s="86"/>
      <c r="V50" s="39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3"/>
      <c r="B51" s="258">
        <v>42293</v>
      </c>
      <c r="C51" s="253">
        <v>150</v>
      </c>
      <c r="D51" s="254">
        <v>31.05</v>
      </c>
      <c r="E51" s="254">
        <v>0</v>
      </c>
      <c r="F51" s="254">
        <f t="shared" si="5"/>
        <v>4657.5</v>
      </c>
      <c r="G51" s="254"/>
      <c r="H51" s="259"/>
      <c r="I51" s="253"/>
      <c r="J51" s="253"/>
      <c r="K51" s="254"/>
      <c r="L51" s="253"/>
      <c r="M51" s="253"/>
      <c r="O51" s="81">
        <v>1</v>
      </c>
      <c r="P51" s="81">
        <f t="shared" si="4"/>
        <v>49.99</v>
      </c>
      <c r="Q51" s="2"/>
      <c r="T51" s="85" t="s">
        <v>104</v>
      </c>
      <c r="U51" s="86" t="s">
        <v>615</v>
      </c>
      <c r="V51" s="39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3"/>
      <c r="B52" s="253"/>
      <c r="C52" s="253"/>
      <c r="D52" s="253"/>
      <c r="E52" s="254"/>
      <c r="F52" s="253"/>
      <c r="G52" s="254"/>
      <c r="H52" s="259"/>
      <c r="I52" s="254"/>
      <c r="J52" s="253"/>
      <c r="K52" s="254"/>
      <c r="L52" s="253"/>
      <c r="M52" s="253"/>
      <c r="O52" s="81">
        <v>0.99</v>
      </c>
      <c r="P52" s="81">
        <f t="shared" si="4"/>
        <v>49.490099999999998</v>
      </c>
      <c r="Q52" s="2"/>
      <c r="T52" s="85" t="s">
        <v>105</v>
      </c>
      <c r="U52" s="86" t="s">
        <v>514</v>
      </c>
      <c r="V52" s="39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3"/>
      <c r="B53" s="253"/>
      <c r="C53" s="253"/>
      <c r="D53" s="253"/>
      <c r="E53" s="253"/>
      <c r="F53" s="253"/>
      <c r="G53" s="253"/>
      <c r="H53" s="259"/>
      <c r="I53" s="253"/>
      <c r="J53" s="253"/>
      <c r="K53" s="253"/>
      <c r="L53" s="253"/>
      <c r="M53" s="253"/>
      <c r="O53" s="81">
        <v>0.98</v>
      </c>
      <c r="P53" s="81">
        <f t="shared" si="4"/>
        <v>48.990200000000002</v>
      </c>
      <c r="Q53" s="2"/>
      <c r="T53" s="85" t="s">
        <v>106</v>
      </c>
      <c r="U53" s="88">
        <v>22455525</v>
      </c>
      <c r="V53" s="39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3"/>
      <c r="B54" s="253"/>
      <c r="C54" s="253"/>
      <c r="D54" s="253"/>
      <c r="E54" s="253"/>
      <c r="F54" s="253"/>
      <c r="G54" s="253"/>
      <c r="H54" s="259"/>
      <c r="I54" s="253"/>
      <c r="J54" s="253"/>
      <c r="K54" s="253"/>
      <c r="L54" s="253"/>
      <c r="M54" s="253"/>
      <c r="O54" s="81">
        <v>0.97</v>
      </c>
      <c r="P54" s="81">
        <f t="shared" si="4"/>
        <v>48.490299999999998</v>
      </c>
      <c r="T54" s="85" t="s">
        <v>109</v>
      </c>
      <c r="U54" s="88">
        <v>24240000</v>
      </c>
      <c r="V54" s="39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3"/>
      <c r="B55" s="253"/>
      <c r="C55" s="253"/>
      <c r="D55" s="253"/>
      <c r="E55" s="253"/>
      <c r="F55" s="253"/>
      <c r="G55" s="253"/>
      <c r="H55" s="259"/>
      <c r="I55" s="253"/>
      <c r="J55" s="253"/>
      <c r="K55" s="253"/>
      <c r="L55" s="253"/>
      <c r="M55" s="253"/>
      <c r="O55" s="81">
        <v>0.96</v>
      </c>
      <c r="P55" s="81">
        <f t="shared" si="4"/>
        <v>47.990400000000001</v>
      </c>
      <c r="T55" s="85" t="s">
        <v>107</v>
      </c>
      <c r="U55" s="86" t="s">
        <v>616</v>
      </c>
      <c r="V55" s="39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47.490499999999997</v>
      </c>
      <c r="T56" s="85" t="s">
        <v>110</v>
      </c>
      <c r="U56" s="86">
        <v>17.079999999999998</v>
      </c>
      <c r="V56" s="39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46.990600000000001</v>
      </c>
      <c r="T57" s="85" t="s">
        <v>111</v>
      </c>
      <c r="U57" s="86">
        <v>2.12</v>
      </c>
      <c r="V57" s="39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46.490700000000004</v>
      </c>
      <c r="T58" s="85" t="s">
        <v>108</v>
      </c>
      <c r="U58" s="86" t="s">
        <v>549</v>
      </c>
      <c r="V58" s="39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45.990800000000007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45.490900000000003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44.991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69" priority="7">
      <formula>F21&gt;0</formula>
    </cfRule>
    <cfRule type="expression" dxfId="768" priority="8">
      <formula>F21&lt;0</formula>
    </cfRule>
  </conditionalFormatting>
  <conditionalFormatting sqref="F22">
    <cfRule type="expression" dxfId="767" priority="5">
      <formula>F22&gt;0</formula>
    </cfRule>
    <cfRule type="expression" dxfId="766" priority="6">
      <formula>F22&lt;0</formula>
    </cfRule>
  </conditionalFormatting>
  <conditionalFormatting sqref="Q8">
    <cfRule type="expression" dxfId="765" priority="1">
      <formula>Q8&gt;0</formula>
    </cfRule>
    <cfRule type="expression" dxfId="764" priority="2">
      <formula>Q8&lt;0</formula>
    </cfRule>
  </conditionalFormatting>
  <conditionalFormatting sqref="Q7">
    <cfRule type="expression" dxfId="763" priority="3">
      <formula>Q7&gt;0</formula>
    </cfRule>
    <cfRule type="expression" dxfId="7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2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4"/>
      <c r="E2" s="3"/>
      <c r="F2" s="3"/>
      <c r="G2" s="72"/>
      <c r="H2" s="37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4"/>
      <c r="E3" s="3"/>
      <c r="F3" s="3"/>
      <c r="G3" s="72"/>
      <c r="H3" s="377"/>
      <c r="I3" s="73"/>
      <c r="J3" s="73"/>
      <c r="K3" s="73"/>
      <c r="L3" s="72"/>
      <c r="M3" s="3"/>
      <c r="O3" s="11" t="s">
        <v>58</v>
      </c>
      <c r="Q3" s="78">
        <f>IF(Q2=0, Q4, (F18-K18-M18)/Q2)</f>
        <v>51.01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8"/>
      <c r="AN3" s="228"/>
    </row>
    <row r="4" spans="1:40" x14ac:dyDescent="0.25">
      <c r="B4" s="115"/>
      <c r="C4" s="4"/>
      <c r="D4" s="234"/>
      <c r="E4" s="3"/>
      <c r="F4" s="3"/>
      <c r="G4" s="72"/>
      <c r="H4" s="179"/>
      <c r="I4" s="3"/>
      <c r="J4" s="3"/>
      <c r="K4" s="73"/>
      <c r="L4" s="72"/>
      <c r="M4" s="3"/>
      <c r="O4" s="11" t="s">
        <v>66</v>
      </c>
      <c r="Q4" s="195">
        <v>51.01</v>
      </c>
      <c r="R4" s="478">
        <v>1.11E-2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8"/>
      <c r="AN4" s="228"/>
    </row>
    <row r="5" spans="1:40" x14ac:dyDescent="0.25">
      <c r="B5" s="107"/>
      <c r="C5" s="4"/>
      <c r="D5" s="234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8"/>
      <c r="AN5" s="228"/>
    </row>
    <row r="6" spans="1:40" x14ac:dyDescent="0.25">
      <c r="B6" s="107"/>
      <c r="C6" s="4"/>
      <c r="D6" s="234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8"/>
      <c r="AN6" s="228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4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5" t="s">
        <v>113</v>
      </c>
      <c r="C20" s="185" t="s">
        <v>146</v>
      </c>
      <c r="D20" s="193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7">
        <v>42304</v>
      </c>
      <c r="C21" s="10">
        <v>5</v>
      </c>
      <c r="D21" s="194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5"/>
      <c r="I21" s="189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7">
        <v>42305</v>
      </c>
      <c r="C22" s="10">
        <v>125</v>
      </c>
      <c r="D22" s="194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5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7">
        <v>42311</v>
      </c>
      <c r="C23" s="10">
        <v>115</v>
      </c>
      <c r="D23" s="194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5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7">
        <v>42332</v>
      </c>
      <c r="C24" s="10">
        <v>40</v>
      </c>
      <c r="D24" s="194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5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7">
        <v>42335</v>
      </c>
      <c r="C25" s="10">
        <v>80</v>
      </c>
      <c r="D25" s="194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5">
        <f>(E25-D25)/D25</f>
        <v>0.37083864980860709</v>
      </c>
      <c r="I25" s="189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7">
        <v>42344</v>
      </c>
      <c r="C26" s="10">
        <v>80</v>
      </c>
      <c r="D26" s="194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5">
        <f t="shared" ref="H26:H58" si="4">(E26-D26)/D26</f>
        <v>0.27363414917062989</v>
      </c>
      <c r="I26" s="189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7">
        <v>42349</v>
      </c>
      <c r="C27" s="10">
        <v>125</v>
      </c>
      <c r="D27" s="194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5">
        <f t="shared" si="4"/>
        <v>0.10229508196721311</v>
      </c>
      <c r="I27" s="189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7">
        <v>42349</v>
      </c>
      <c r="C28" s="10">
        <v>200</v>
      </c>
      <c r="D28" s="194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5">
        <f t="shared" si="4"/>
        <v>6.1684210526315786E-2</v>
      </c>
      <c r="I28" s="189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7">
        <v>42349</v>
      </c>
      <c r="C29" s="10">
        <v>700</v>
      </c>
      <c r="D29" s="194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5">
        <f t="shared" si="4"/>
        <v>2.3543738583316348E-2</v>
      </c>
      <c r="I29" s="189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7">
        <v>42349</v>
      </c>
      <c r="C30" s="10">
        <v>500</v>
      </c>
      <c r="D30" s="194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5">
        <f t="shared" si="4"/>
        <v>3.0866721177432502E-2</v>
      </c>
      <c r="I30" s="189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7">
        <v>42349</v>
      </c>
      <c r="C31" s="274">
        <v>400</v>
      </c>
      <c r="D31" s="275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5">
        <f t="shared" si="4"/>
        <v>3.7440855790989512E-2</v>
      </c>
      <c r="I31" s="189"/>
      <c r="W31" s="108">
        <v>42790</v>
      </c>
      <c r="X31" s="191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7">
        <v>42356</v>
      </c>
      <c r="C32" s="10">
        <v>400</v>
      </c>
      <c r="D32" s="194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5">
        <f t="shared" si="4"/>
        <v>1.2137420283892274E-2</v>
      </c>
      <c r="I32" s="189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7">
        <v>42359</v>
      </c>
      <c r="C33" s="10">
        <v>1000</v>
      </c>
      <c r="D33" s="194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5">
        <f t="shared" si="4"/>
        <v>-4.1476565740355817E-3</v>
      </c>
      <c r="I33" s="189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7">
        <v>42361</v>
      </c>
      <c r="C34" s="10">
        <v>600</v>
      </c>
      <c r="D34" s="194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5">
        <f t="shared" si="4"/>
        <v>8.7957559681697675E-2</v>
      </c>
      <c r="I34" s="189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7">
        <v>46026</v>
      </c>
      <c r="C35" s="10">
        <v>600</v>
      </c>
      <c r="D35" s="194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5">
        <f t="shared" si="4"/>
        <v>2.5979557069846653E-2</v>
      </c>
      <c r="I35" s="189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7">
        <v>42374</v>
      </c>
      <c r="C36" s="274">
        <v>600</v>
      </c>
      <c r="D36" s="275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5">
        <f t="shared" si="4"/>
        <v>2.5230874229530569E-2</v>
      </c>
      <c r="I36" s="189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7">
        <v>42375</v>
      </c>
      <c r="C37" s="274">
        <v>750</v>
      </c>
      <c r="D37" s="275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5">
        <f t="shared" si="4"/>
        <v>-3.3869239013933509E-2</v>
      </c>
      <c r="I37" s="189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7">
        <v>42398</v>
      </c>
      <c r="C38" s="274">
        <v>600</v>
      </c>
      <c r="D38" s="275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6">
        <f t="shared" si="4"/>
        <v>-0.14160948222083597</v>
      </c>
      <c r="I38" s="189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7">
        <v>42402</v>
      </c>
      <c r="C39" s="274">
        <v>750</v>
      </c>
      <c r="D39" s="275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6">
        <f t="shared" si="4"/>
        <v>-0.15110210067722038</v>
      </c>
      <c r="I39" s="189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7">
        <v>42405</v>
      </c>
      <c r="C40" s="274">
        <v>750</v>
      </c>
      <c r="D40" s="275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6">
        <f t="shared" si="4"/>
        <v>-0.17112472496656456</v>
      </c>
      <c r="I40" s="189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7">
        <v>42421</v>
      </c>
      <c r="C41" s="274">
        <v>750</v>
      </c>
      <c r="D41" s="275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6">
        <f t="shared" si="4"/>
        <v>-8.7320419345096753E-2</v>
      </c>
      <c r="I41" s="189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7">
        <v>42422</v>
      </c>
      <c r="C42" s="274">
        <v>750</v>
      </c>
      <c r="D42" s="275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6">
        <f t="shared" si="4"/>
        <v>-3.8353682212347355E-2</v>
      </c>
      <c r="I42" s="189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7">
        <v>42424</v>
      </c>
      <c r="C43" s="274">
        <v>750</v>
      </c>
      <c r="D43" s="275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6">
        <f t="shared" si="4"/>
        <v>-0.10047888174640826</v>
      </c>
      <c r="I43" s="189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7">
        <v>42426</v>
      </c>
      <c r="C44" s="274">
        <v>750</v>
      </c>
      <c r="D44" s="275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6">
        <f t="shared" si="4"/>
        <v>-6.9852782454776954E-2</v>
      </c>
      <c r="I44" s="189"/>
      <c r="O44" s="847" t="s">
        <v>78</v>
      </c>
      <c r="P44" s="84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7">
        <v>42426</v>
      </c>
      <c r="C45" s="274">
        <v>600</v>
      </c>
      <c r="D45" s="275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6">
        <f t="shared" si="4"/>
        <v>-7.9858897530706838E-2</v>
      </c>
      <c r="I45" s="189"/>
      <c r="O45" s="81">
        <v>1.1000000000000001</v>
      </c>
      <c r="P45" s="81">
        <f>O45*$Q$4</f>
        <v>56.111000000000004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7">
        <v>42426</v>
      </c>
      <c r="C46" s="274">
        <v>750</v>
      </c>
      <c r="D46" s="275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6">
        <f t="shared" si="4"/>
        <v>-7.2147106544077896E-2</v>
      </c>
      <c r="I46" s="189"/>
      <c r="O46" s="81">
        <v>1.0900000000000001</v>
      </c>
      <c r="P46" s="81">
        <f t="shared" ref="P46:P65" si="5">O46*$Q$4</f>
        <v>55.600900000000003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7">
        <v>42430</v>
      </c>
      <c r="C47" s="274">
        <v>750</v>
      </c>
      <c r="D47" s="275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6">
        <f t="shared" si="4"/>
        <v>-4.1427798810167636E-2</v>
      </c>
      <c r="I47" s="189"/>
      <c r="O47" s="81">
        <v>1.08</v>
      </c>
      <c r="P47" s="81">
        <f t="shared" si="5"/>
        <v>55.090800000000002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7">
        <v>42431</v>
      </c>
      <c r="C48" s="274">
        <v>450</v>
      </c>
      <c r="D48" s="275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6">
        <f t="shared" si="4"/>
        <v>2.6561064192884929E-2</v>
      </c>
      <c r="I48" s="189"/>
      <c r="O48" s="81">
        <v>1.07</v>
      </c>
      <c r="P48" s="81">
        <f t="shared" si="5"/>
        <v>54.5807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7">
        <v>42433</v>
      </c>
      <c r="C49" s="274">
        <v>400</v>
      </c>
      <c r="D49" s="275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6">
        <f t="shared" si="4"/>
        <v>0.11711911357340712</v>
      </c>
      <c r="I49" s="189"/>
      <c r="O49" s="81">
        <v>1.06</v>
      </c>
      <c r="P49" s="81">
        <f t="shared" si="5"/>
        <v>54.070599999999999</v>
      </c>
      <c r="Q49" s="2"/>
      <c r="R49" s="33"/>
      <c r="T49" s="106" t="s">
        <v>121</v>
      </c>
      <c r="U49" s="104" t="s">
        <v>376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7">
        <v>42433</v>
      </c>
      <c r="C50" s="274">
        <v>450</v>
      </c>
      <c r="D50" s="275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6">
        <f t="shared" si="4"/>
        <v>8.4287155198877362E-2</v>
      </c>
      <c r="I50" s="189"/>
      <c r="O50" s="81">
        <v>1.05</v>
      </c>
      <c r="P50" s="81">
        <f t="shared" si="5"/>
        <v>53.560499999999998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7">
        <v>42440</v>
      </c>
      <c r="C51" s="10">
        <v>150</v>
      </c>
      <c r="D51" s="194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6">
        <f t="shared" si="4"/>
        <v>0.40254354437379031</v>
      </c>
      <c r="I51" s="189"/>
      <c r="O51" s="81">
        <v>1.04</v>
      </c>
      <c r="P51" s="81">
        <f t="shared" si="5"/>
        <v>53.050399999999996</v>
      </c>
      <c r="Q51" s="2"/>
      <c r="R51" s="33"/>
      <c r="T51" s="106" t="s">
        <v>104</v>
      </c>
      <c r="U51" s="104" t="s">
        <v>617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7">
        <v>42440</v>
      </c>
      <c r="C52" s="10">
        <v>100</v>
      </c>
      <c r="D52" s="194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6">
        <f t="shared" si="4"/>
        <v>0.77830385740147601</v>
      </c>
      <c r="I52" s="189"/>
      <c r="O52" s="81">
        <v>1.03</v>
      </c>
      <c r="P52" s="81">
        <f t="shared" si="5"/>
        <v>52.540300000000002</v>
      </c>
      <c r="Q52" s="2"/>
      <c r="R52" s="33"/>
      <c r="T52" s="106" t="s">
        <v>105</v>
      </c>
      <c r="U52" s="104" t="s">
        <v>530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7">
        <v>42444</v>
      </c>
      <c r="C53" s="10">
        <v>150</v>
      </c>
      <c r="D53" s="194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6">
        <f t="shared" si="4"/>
        <v>0.4246365288505225</v>
      </c>
      <c r="I53" s="189"/>
      <c r="O53" s="81">
        <v>1.02</v>
      </c>
      <c r="P53" s="81">
        <f t="shared" si="5"/>
        <v>52.030200000000001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7">
        <v>42445</v>
      </c>
      <c r="C54" s="10">
        <v>130</v>
      </c>
      <c r="D54" s="194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6">
        <f t="shared" si="4"/>
        <v>0.58496682058652638</v>
      </c>
      <c r="I54" s="189"/>
      <c r="O54" s="81">
        <v>1.01</v>
      </c>
      <c r="P54" s="81">
        <f t="shared" si="5"/>
        <v>51.520099999999999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7">
        <v>42446</v>
      </c>
      <c r="C55" s="10">
        <v>50</v>
      </c>
      <c r="D55" s="194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6"/>
      <c r="I55" s="189"/>
      <c r="O55" s="81">
        <v>1</v>
      </c>
      <c r="P55" s="81">
        <f t="shared" si="5"/>
        <v>51.01</v>
      </c>
      <c r="Q55" s="2"/>
      <c r="R55" s="33"/>
      <c r="T55" s="106" t="s">
        <v>107</v>
      </c>
      <c r="U55" s="104" t="s">
        <v>618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7">
        <v>42452</v>
      </c>
      <c r="C56" s="10">
        <v>100</v>
      </c>
      <c r="D56" s="194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6">
        <f t="shared" si="4"/>
        <v>1.0194113963681903</v>
      </c>
      <c r="I56" s="189"/>
      <c r="O56" s="81">
        <v>0.99</v>
      </c>
      <c r="P56" s="81">
        <f t="shared" si="5"/>
        <v>50.499899999999997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7">
        <v>42460</v>
      </c>
      <c r="C57" s="10">
        <v>50</v>
      </c>
      <c r="D57" s="194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6"/>
      <c r="I57" s="189"/>
      <c r="O57" s="81">
        <v>0.98</v>
      </c>
      <c r="P57" s="81">
        <f t="shared" si="5"/>
        <v>49.989799999999995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7">
        <v>42464</v>
      </c>
      <c r="C58" s="10">
        <v>100</v>
      </c>
      <c r="D58" s="194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6">
        <f t="shared" si="4"/>
        <v>1.0851379779730232</v>
      </c>
      <c r="I58" s="189"/>
      <c r="O58" s="81">
        <v>0.97</v>
      </c>
      <c r="P58" s="81">
        <f t="shared" si="5"/>
        <v>49.479699999999994</v>
      </c>
      <c r="Q58" s="2"/>
      <c r="R58" s="33"/>
      <c r="T58" s="106" t="s">
        <v>108</v>
      </c>
      <c r="U58" s="104" t="s">
        <v>550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7">
        <v>42466</v>
      </c>
      <c r="C59" s="10">
        <v>50</v>
      </c>
      <c r="D59" s="194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6"/>
      <c r="I59" s="189"/>
      <c r="O59" s="81">
        <v>0.96</v>
      </c>
      <c r="P59" s="81">
        <f t="shared" si="5"/>
        <v>48.9696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7">
        <v>42471</v>
      </c>
      <c r="C60" s="10">
        <v>30</v>
      </c>
      <c r="D60" s="194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6"/>
      <c r="I60" s="189"/>
      <c r="O60" s="81">
        <v>0.95</v>
      </c>
      <c r="P60" s="81">
        <f t="shared" si="5"/>
        <v>48.459499999999998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7">
        <v>42478</v>
      </c>
      <c r="C61" s="10">
        <v>10</v>
      </c>
      <c r="D61" s="194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6"/>
      <c r="I61" s="189"/>
      <c r="O61" s="81">
        <v>0.94</v>
      </c>
      <c r="P61" s="81">
        <f t="shared" si="5"/>
        <v>47.949399999999997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7">
        <v>42493</v>
      </c>
      <c r="C62" s="10">
        <v>30</v>
      </c>
      <c r="D62" s="194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6"/>
      <c r="I62" s="189"/>
      <c r="O62" s="81">
        <v>0.93</v>
      </c>
      <c r="P62" s="81">
        <f t="shared" si="5"/>
        <v>47.439300000000003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7">
        <v>42501</v>
      </c>
      <c r="C63" s="10">
        <v>0</v>
      </c>
      <c r="D63" s="194"/>
      <c r="E63" s="39"/>
      <c r="F63" s="39">
        <v>3178</v>
      </c>
      <c r="G63" s="39"/>
      <c r="H63" s="226"/>
      <c r="I63" s="189"/>
      <c r="O63" s="81">
        <v>0.92</v>
      </c>
      <c r="P63" s="81">
        <f t="shared" si="5"/>
        <v>46.929200000000002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7"/>
      <c r="C64" s="10"/>
      <c r="D64" s="194"/>
      <c r="E64" s="39"/>
      <c r="F64" s="39"/>
      <c r="G64" s="39"/>
      <c r="H64" s="226"/>
      <c r="I64" s="189"/>
      <c r="O64" s="81">
        <v>0.91</v>
      </c>
      <c r="P64" s="81">
        <f t="shared" si="5"/>
        <v>46.4191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7"/>
      <c r="C65" s="10"/>
      <c r="D65" s="194"/>
      <c r="E65" s="39"/>
      <c r="F65" s="39"/>
      <c r="G65" s="39"/>
      <c r="H65" s="226"/>
      <c r="I65" s="189"/>
      <c r="O65" s="81">
        <v>0.9</v>
      </c>
      <c r="P65" s="81">
        <f t="shared" si="5"/>
        <v>45.908999999999999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7"/>
      <c r="C66" s="10"/>
      <c r="D66" s="194"/>
      <c r="E66" s="39"/>
      <c r="F66" s="39"/>
      <c r="G66" s="39"/>
      <c r="H66" s="226"/>
      <c r="I66" s="189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7"/>
      <c r="C67" s="10"/>
      <c r="D67" s="194"/>
      <c r="E67" s="39"/>
      <c r="F67" s="39"/>
      <c r="G67" s="39"/>
      <c r="H67" s="226"/>
      <c r="I67" s="189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7"/>
      <c r="C68" s="10"/>
      <c r="D68" s="194"/>
      <c r="E68" s="39"/>
      <c r="F68" s="39"/>
      <c r="G68" s="39"/>
      <c r="H68" s="226"/>
      <c r="I68" s="189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7"/>
      <c r="C69" s="10"/>
      <c r="D69" s="194"/>
      <c r="E69" s="39"/>
      <c r="F69" s="39"/>
      <c r="G69" s="39"/>
      <c r="H69" s="226"/>
      <c r="I69" s="189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7"/>
      <c r="C70" s="10"/>
      <c r="D70" s="194"/>
      <c r="E70" s="39"/>
      <c r="F70" s="39"/>
      <c r="G70" s="39"/>
      <c r="H70" s="226"/>
      <c r="I70" s="189"/>
    </row>
    <row r="71" spans="1:31" x14ac:dyDescent="0.25">
      <c r="B71" s="187"/>
      <c r="C71" s="10"/>
      <c r="D71" s="194"/>
      <c r="E71" s="39"/>
      <c r="F71" s="39"/>
      <c r="G71" s="39"/>
      <c r="H71" s="226"/>
      <c r="I71" s="189"/>
    </row>
    <row r="72" spans="1:31" x14ac:dyDescent="0.25">
      <c r="B72" s="187"/>
      <c r="C72" s="10"/>
      <c r="D72" s="194"/>
      <c r="E72" s="39"/>
      <c r="F72" s="39"/>
      <c r="G72" s="39"/>
      <c r="H72" s="226"/>
      <c r="I72" s="189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78" t="s">
        <v>1</v>
      </c>
      <c r="B76" s="379" t="s">
        <v>2</v>
      </c>
      <c r="C76" s="378" t="s">
        <v>4</v>
      </c>
      <c r="D76" s="380" t="s">
        <v>5</v>
      </c>
      <c r="E76" s="381" t="s">
        <v>90</v>
      </c>
      <c r="F76" s="381" t="s">
        <v>60</v>
      </c>
      <c r="G76" s="378" t="s">
        <v>3</v>
      </c>
      <c r="H76" s="382" t="s">
        <v>6</v>
      </c>
      <c r="I76" s="381" t="s">
        <v>7</v>
      </c>
      <c r="J76" s="381" t="s">
        <v>89</v>
      </c>
      <c r="K76" s="381" t="s">
        <v>61</v>
      </c>
      <c r="L76" s="378" t="s">
        <v>43</v>
      </c>
      <c r="M76" s="378" t="s">
        <v>38</v>
      </c>
    </row>
    <row r="77" spans="1:31" x14ac:dyDescent="0.25">
      <c r="A77" s="374" t="s">
        <v>22</v>
      </c>
      <c r="B77" s="383">
        <v>42153</v>
      </c>
      <c r="C77" s="365">
        <v>20</v>
      </c>
      <c r="D77" s="370">
        <v>67.3</v>
      </c>
      <c r="E77" s="366">
        <v>0</v>
      </c>
      <c r="F77" s="366">
        <f t="shared" ref="F77:F126" si="6">D77*C77+E77</f>
        <v>1346</v>
      </c>
      <c r="G77" s="364">
        <v>42219</v>
      </c>
      <c r="H77" s="384">
        <v>25</v>
      </c>
      <c r="I77" s="385">
        <v>60.05</v>
      </c>
      <c r="J77" s="385">
        <v>0.03</v>
      </c>
      <c r="K77" s="385">
        <f t="shared" ref="K77:K112" si="7">H77*I77-J77</f>
        <v>1501.22</v>
      </c>
      <c r="L77" s="364">
        <v>42185</v>
      </c>
      <c r="M77" s="366">
        <v>5</v>
      </c>
    </row>
    <row r="78" spans="1:31" x14ac:dyDescent="0.25">
      <c r="A78" s="375" t="s">
        <v>71</v>
      </c>
      <c r="B78" s="383">
        <v>42205</v>
      </c>
      <c r="C78" s="365">
        <v>20</v>
      </c>
      <c r="D78" s="370">
        <v>63.4</v>
      </c>
      <c r="E78" s="366">
        <v>0</v>
      </c>
      <c r="F78" s="366">
        <f t="shared" si="6"/>
        <v>1268</v>
      </c>
      <c r="G78" s="364">
        <v>42219</v>
      </c>
      <c r="H78" s="384">
        <v>55</v>
      </c>
      <c r="I78" s="385">
        <v>59.75</v>
      </c>
      <c r="J78" s="385">
        <v>0.06</v>
      </c>
      <c r="K78" s="385">
        <f t="shared" si="7"/>
        <v>3286.19</v>
      </c>
      <c r="L78" s="364">
        <v>42277</v>
      </c>
      <c r="M78" s="366">
        <v>37.5</v>
      </c>
    </row>
    <row r="79" spans="1:31" x14ac:dyDescent="0.25">
      <c r="A79" s="365"/>
      <c r="B79" s="383">
        <v>42205</v>
      </c>
      <c r="C79" s="365">
        <v>20</v>
      </c>
      <c r="D79" s="370">
        <v>63.15</v>
      </c>
      <c r="E79" s="366">
        <v>0</v>
      </c>
      <c r="F79" s="366">
        <f t="shared" si="6"/>
        <v>1263</v>
      </c>
      <c r="G79" s="364">
        <v>42250</v>
      </c>
      <c r="H79" s="369">
        <v>100</v>
      </c>
      <c r="I79" s="366">
        <v>59.4</v>
      </c>
      <c r="J79" s="366">
        <v>0.11</v>
      </c>
      <c r="K79" s="385">
        <f t="shared" si="7"/>
        <v>5939.89</v>
      </c>
      <c r="L79" s="364">
        <v>42734</v>
      </c>
      <c r="M79" s="366">
        <v>100</v>
      </c>
    </row>
    <row r="80" spans="1:31" x14ac:dyDescent="0.25">
      <c r="A80" s="365"/>
      <c r="B80" s="383">
        <v>42207</v>
      </c>
      <c r="C80" s="365">
        <v>10</v>
      </c>
      <c r="D80" s="370">
        <v>62</v>
      </c>
      <c r="E80" s="366">
        <v>0</v>
      </c>
      <c r="F80" s="366">
        <f t="shared" si="6"/>
        <v>620</v>
      </c>
      <c r="G80" s="364">
        <v>42258</v>
      </c>
      <c r="H80" s="369">
        <v>80</v>
      </c>
      <c r="I80" s="366">
        <v>56.47</v>
      </c>
      <c r="J80" s="366">
        <v>0.08</v>
      </c>
      <c r="K80" s="385">
        <f t="shared" si="7"/>
        <v>4517.5200000000004</v>
      </c>
      <c r="L80" s="364">
        <v>42459</v>
      </c>
      <c r="M80" s="366">
        <v>25</v>
      </c>
    </row>
    <row r="81" spans="1:13" x14ac:dyDescent="0.25">
      <c r="A81" s="365"/>
      <c r="B81" s="383">
        <v>42207</v>
      </c>
      <c r="C81" s="365">
        <v>5</v>
      </c>
      <c r="D81" s="370">
        <v>61.6</v>
      </c>
      <c r="E81" s="366">
        <v>0</v>
      </c>
      <c r="F81" s="366">
        <f t="shared" si="6"/>
        <v>308</v>
      </c>
      <c r="G81" s="364">
        <v>42263</v>
      </c>
      <c r="H81" s="369">
        <v>80</v>
      </c>
      <c r="I81" s="366">
        <v>52.55</v>
      </c>
      <c r="J81" s="366">
        <v>0.08</v>
      </c>
      <c r="K81" s="385">
        <f t="shared" si="7"/>
        <v>4203.92</v>
      </c>
      <c r="L81" s="365"/>
      <c r="M81" s="366"/>
    </row>
    <row r="82" spans="1:13" x14ac:dyDescent="0.25">
      <c r="A82" s="365"/>
      <c r="B82" s="383">
        <v>42207</v>
      </c>
      <c r="C82" s="365">
        <v>20</v>
      </c>
      <c r="D82" s="370">
        <v>59.85</v>
      </c>
      <c r="E82" s="366">
        <v>0</v>
      </c>
      <c r="F82" s="366">
        <f t="shared" si="6"/>
        <v>1197</v>
      </c>
      <c r="G82" s="364">
        <v>42284</v>
      </c>
      <c r="H82" s="369">
        <v>50</v>
      </c>
      <c r="I82" s="366">
        <v>52.85</v>
      </c>
      <c r="J82" s="366">
        <v>0.05</v>
      </c>
      <c r="K82" s="385">
        <f t="shared" si="7"/>
        <v>2642.45</v>
      </c>
      <c r="L82" s="365"/>
      <c r="M82" s="366"/>
    </row>
    <row r="83" spans="1:13" x14ac:dyDescent="0.25">
      <c r="A83" s="365"/>
      <c r="B83" s="383">
        <v>42208</v>
      </c>
      <c r="C83" s="365">
        <v>5</v>
      </c>
      <c r="D83" s="370">
        <v>61.3</v>
      </c>
      <c r="E83" s="366">
        <v>0</v>
      </c>
      <c r="F83" s="366">
        <f t="shared" si="6"/>
        <v>306.5</v>
      </c>
      <c r="G83" s="364">
        <v>42284</v>
      </c>
      <c r="H83" s="369">
        <v>30</v>
      </c>
      <c r="I83" s="366">
        <v>53.05</v>
      </c>
      <c r="J83" s="366">
        <v>0.03</v>
      </c>
      <c r="K83" s="385">
        <f t="shared" si="7"/>
        <v>1591.47</v>
      </c>
      <c r="L83" s="365"/>
      <c r="M83" s="366"/>
    </row>
    <row r="84" spans="1:13" x14ac:dyDescent="0.25">
      <c r="A84" s="365"/>
      <c r="B84" s="383">
        <v>42219</v>
      </c>
      <c r="C84" s="386">
        <v>25</v>
      </c>
      <c r="D84" s="370">
        <v>59.4</v>
      </c>
      <c r="E84" s="366">
        <v>0</v>
      </c>
      <c r="F84" s="366">
        <f t="shared" si="6"/>
        <v>1485</v>
      </c>
      <c r="G84" s="364">
        <v>42291</v>
      </c>
      <c r="H84" s="369">
        <v>80</v>
      </c>
      <c r="I84" s="366">
        <v>61.6</v>
      </c>
      <c r="J84" s="366">
        <v>0.09</v>
      </c>
      <c r="K84" s="385">
        <f t="shared" si="7"/>
        <v>4927.91</v>
      </c>
      <c r="L84" s="365"/>
      <c r="M84" s="366"/>
    </row>
    <row r="85" spans="1:13" x14ac:dyDescent="0.25">
      <c r="A85" s="365"/>
      <c r="B85" s="383">
        <v>42219</v>
      </c>
      <c r="C85" s="386">
        <v>50</v>
      </c>
      <c r="D85" s="370">
        <v>59.2</v>
      </c>
      <c r="E85" s="366">
        <v>0</v>
      </c>
      <c r="F85" s="366">
        <f t="shared" si="6"/>
        <v>2960</v>
      </c>
      <c r="G85" s="364">
        <v>42297</v>
      </c>
      <c r="H85" s="369">
        <v>115</v>
      </c>
      <c r="I85" s="366">
        <v>61.23</v>
      </c>
      <c r="J85" s="366">
        <v>0.13</v>
      </c>
      <c r="K85" s="385">
        <f t="shared" si="7"/>
        <v>7041.32</v>
      </c>
      <c r="L85" s="365"/>
      <c r="M85" s="366"/>
    </row>
    <row r="86" spans="1:13" x14ac:dyDescent="0.25">
      <c r="A86" s="365"/>
      <c r="B86" s="383">
        <v>42226</v>
      </c>
      <c r="C86" s="386">
        <v>5</v>
      </c>
      <c r="D86" s="370">
        <v>56.2</v>
      </c>
      <c r="E86" s="366">
        <v>0</v>
      </c>
      <c r="F86" s="366">
        <f t="shared" si="6"/>
        <v>281</v>
      </c>
      <c r="G86" s="364">
        <v>42304</v>
      </c>
      <c r="H86" s="369">
        <v>80</v>
      </c>
      <c r="I86" s="366">
        <v>59.76</v>
      </c>
      <c r="J86" s="366">
        <v>0.09</v>
      </c>
      <c r="K86" s="385">
        <f t="shared" si="7"/>
        <v>4780.71</v>
      </c>
      <c r="L86" s="365"/>
      <c r="M86" s="366"/>
    </row>
    <row r="87" spans="1:13" x14ac:dyDescent="0.25">
      <c r="A87" s="365"/>
      <c r="B87" s="383">
        <v>42226</v>
      </c>
      <c r="C87" s="365">
        <v>15</v>
      </c>
      <c r="D87" s="370">
        <v>56.5</v>
      </c>
      <c r="E87" s="366">
        <v>0</v>
      </c>
      <c r="F87" s="366">
        <f t="shared" si="6"/>
        <v>847.5</v>
      </c>
      <c r="G87" s="364">
        <v>42314</v>
      </c>
      <c r="H87" s="369">
        <v>10</v>
      </c>
      <c r="I87" s="366">
        <v>59.65</v>
      </c>
      <c r="J87" s="366">
        <v>0.01</v>
      </c>
      <c r="K87" s="385">
        <f t="shared" si="7"/>
        <v>596.49</v>
      </c>
      <c r="L87" s="365"/>
      <c r="M87" s="366"/>
    </row>
    <row r="88" spans="1:13" x14ac:dyDescent="0.25">
      <c r="A88" s="365"/>
      <c r="B88" s="383">
        <v>42240</v>
      </c>
      <c r="C88" s="386">
        <v>15</v>
      </c>
      <c r="D88" s="370">
        <v>57.19</v>
      </c>
      <c r="E88" s="366">
        <v>0</v>
      </c>
      <c r="F88" s="366">
        <f t="shared" si="6"/>
        <v>857.84999999999991</v>
      </c>
      <c r="G88" s="364">
        <v>42338</v>
      </c>
      <c r="H88" s="369">
        <v>75</v>
      </c>
      <c r="I88" s="366">
        <v>61.49</v>
      </c>
      <c r="J88" s="366">
        <v>0.08</v>
      </c>
      <c r="K88" s="366">
        <f t="shared" si="7"/>
        <v>4611.67</v>
      </c>
      <c r="L88" s="365"/>
      <c r="M88" s="366"/>
    </row>
    <row r="89" spans="1:13" x14ac:dyDescent="0.25">
      <c r="A89" s="365"/>
      <c r="B89" s="383">
        <v>42240</v>
      </c>
      <c r="C89" s="365">
        <v>20</v>
      </c>
      <c r="D89" s="370">
        <v>56.6</v>
      </c>
      <c r="E89" s="366">
        <v>0</v>
      </c>
      <c r="F89" s="366">
        <f t="shared" si="6"/>
        <v>1132</v>
      </c>
      <c r="G89" s="364">
        <v>42354</v>
      </c>
      <c r="H89" s="369">
        <v>100</v>
      </c>
      <c r="I89" s="366">
        <v>50.1</v>
      </c>
      <c r="J89" s="366">
        <v>0.09</v>
      </c>
      <c r="K89" s="366">
        <f t="shared" si="7"/>
        <v>5009.91</v>
      </c>
      <c r="L89" s="365"/>
      <c r="M89" s="366"/>
    </row>
    <row r="90" spans="1:13" x14ac:dyDescent="0.25">
      <c r="A90" s="365"/>
      <c r="B90" s="383">
        <v>42240</v>
      </c>
      <c r="C90" s="365">
        <v>30</v>
      </c>
      <c r="D90" s="370">
        <v>56.5</v>
      </c>
      <c r="E90" s="366">
        <v>0</v>
      </c>
      <c r="F90" s="366">
        <f t="shared" si="6"/>
        <v>1695</v>
      </c>
      <c r="G90" s="364">
        <v>42354</v>
      </c>
      <c r="H90" s="369">
        <v>200</v>
      </c>
      <c r="I90" s="366">
        <v>50.15</v>
      </c>
      <c r="J90" s="366">
        <v>0.18</v>
      </c>
      <c r="K90" s="366">
        <f t="shared" si="7"/>
        <v>10029.82</v>
      </c>
      <c r="L90" s="365"/>
      <c r="M90" s="366"/>
    </row>
    <row r="91" spans="1:13" ht="15" customHeight="1" x14ac:dyDescent="0.25">
      <c r="A91" s="365"/>
      <c r="B91" s="390">
        <v>42258</v>
      </c>
      <c r="C91" s="365">
        <v>80</v>
      </c>
      <c r="D91" s="370">
        <v>55.45</v>
      </c>
      <c r="E91" s="366">
        <v>0</v>
      </c>
      <c r="F91" s="366">
        <f t="shared" si="6"/>
        <v>4436</v>
      </c>
      <c r="G91" s="364">
        <v>42354</v>
      </c>
      <c r="H91" s="369">
        <v>100</v>
      </c>
      <c r="I91" s="366">
        <v>50.15</v>
      </c>
      <c r="J91" s="366">
        <v>0.09</v>
      </c>
      <c r="K91" s="366">
        <f t="shared" si="7"/>
        <v>5014.91</v>
      </c>
      <c r="L91" s="365"/>
      <c r="M91" s="366"/>
    </row>
    <row r="92" spans="1:13" x14ac:dyDescent="0.25">
      <c r="A92" s="365"/>
      <c r="B92" s="390"/>
      <c r="C92" s="365">
        <v>20</v>
      </c>
      <c r="D92" s="370">
        <v>55.45</v>
      </c>
      <c r="E92" s="366">
        <v>0</v>
      </c>
      <c r="F92" s="366">
        <f t="shared" si="6"/>
        <v>1109</v>
      </c>
      <c r="G92" s="364">
        <v>42367</v>
      </c>
      <c r="H92" s="369">
        <v>400</v>
      </c>
      <c r="I92" s="366">
        <v>49.86</v>
      </c>
      <c r="J92" s="366">
        <v>0.37</v>
      </c>
      <c r="K92" s="366">
        <f t="shared" si="7"/>
        <v>19943.63</v>
      </c>
      <c r="L92" s="365"/>
      <c r="M92" s="366"/>
    </row>
    <row r="93" spans="1:13" x14ac:dyDescent="0.25">
      <c r="A93" s="365"/>
      <c r="B93" s="391">
        <v>42263</v>
      </c>
      <c r="C93" s="365">
        <v>50</v>
      </c>
      <c r="D93" s="370">
        <v>52.7</v>
      </c>
      <c r="E93" s="366">
        <v>0</v>
      </c>
      <c r="F93" s="366">
        <f t="shared" si="6"/>
        <v>2635</v>
      </c>
      <c r="G93" s="364">
        <v>42375</v>
      </c>
      <c r="H93" s="369">
        <v>100</v>
      </c>
      <c r="I93" s="366">
        <v>47.56</v>
      </c>
      <c r="J93" s="366">
        <v>0.09</v>
      </c>
      <c r="K93" s="366">
        <f t="shared" si="7"/>
        <v>4755.91</v>
      </c>
      <c r="L93" s="365"/>
      <c r="M93" s="365"/>
    </row>
    <row r="94" spans="1:13" x14ac:dyDescent="0.25">
      <c r="A94" s="365"/>
      <c r="B94" s="391"/>
      <c r="C94" s="365">
        <v>30</v>
      </c>
      <c r="D94" s="370">
        <v>52.7</v>
      </c>
      <c r="E94" s="366">
        <v>0</v>
      </c>
      <c r="F94" s="366">
        <f t="shared" si="6"/>
        <v>1581</v>
      </c>
      <c r="G94" s="364">
        <v>42398</v>
      </c>
      <c r="H94" s="369">
        <v>150</v>
      </c>
      <c r="I94" s="366">
        <v>40.880000000000003</v>
      </c>
      <c r="J94" s="366">
        <v>0.11</v>
      </c>
      <c r="K94" s="366">
        <f t="shared" si="7"/>
        <v>6131.89</v>
      </c>
      <c r="L94" s="365"/>
      <c r="M94" s="365"/>
    </row>
    <row r="95" spans="1:13" x14ac:dyDescent="0.25">
      <c r="A95" s="365"/>
      <c r="B95" s="383">
        <v>42263</v>
      </c>
      <c r="C95" s="365">
        <v>50</v>
      </c>
      <c r="D95" s="370">
        <v>52.05</v>
      </c>
      <c r="E95" s="366">
        <v>0</v>
      </c>
      <c r="F95" s="366">
        <f t="shared" si="6"/>
        <v>2602.5</v>
      </c>
      <c r="G95" s="364">
        <v>42405</v>
      </c>
      <c r="H95" s="369">
        <v>100</v>
      </c>
      <c r="I95" s="366">
        <v>38.445</v>
      </c>
      <c r="J95" s="366">
        <v>7.0000000000000007E-2</v>
      </c>
      <c r="K95" s="366">
        <f t="shared" si="7"/>
        <v>3844.43</v>
      </c>
      <c r="L95" s="365"/>
      <c r="M95" s="365"/>
    </row>
    <row r="96" spans="1:13" x14ac:dyDescent="0.25">
      <c r="A96" s="365"/>
      <c r="B96" s="391">
        <v>42270</v>
      </c>
      <c r="C96" s="365">
        <v>30</v>
      </c>
      <c r="D96" s="370">
        <v>52.5</v>
      </c>
      <c r="E96" s="366">
        <v>0</v>
      </c>
      <c r="F96" s="366">
        <f t="shared" si="6"/>
        <v>1575</v>
      </c>
      <c r="G96" s="364">
        <v>42426</v>
      </c>
      <c r="H96" s="369">
        <v>150</v>
      </c>
      <c r="I96" s="366">
        <v>43.25</v>
      </c>
      <c r="J96" s="366">
        <v>0.14000000000000001</v>
      </c>
      <c r="K96" s="366">
        <f t="shared" si="7"/>
        <v>6487.36</v>
      </c>
      <c r="L96" s="365"/>
      <c r="M96" s="365"/>
    </row>
    <row r="97" spans="1:13" x14ac:dyDescent="0.25">
      <c r="A97" s="365"/>
      <c r="B97" s="391"/>
      <c r="C97" s="365">
        <v>20</v>
      </c>
      <c r="D97" s="370">
        <v>52.5</v>
      </c>
      <c r="E97" s="366">
        <v>0</v>
      </c>
      <c r="F97" s="366">
        <f t="shared" si="6"/>
        <v>1050</v>
      </c>
      <c r="G97" s="364">
        <v>42426</v>
      </c>
      <c r="H97" s="369">
        <v>150</v>
      </c>
      <c r="I97" s="366">
        <v>43.4</v>
      </c>
      <c r="J97" s="366">
        <v>0.14000000000000001</v>
      </c>
      <c r="K97" s="366">
        <f t="shared" si="7"/>
        <v>6509.86</v>
      </c>
      <c r="L97" s="365"/>
      <c r="M97" s="365"/>
    </row>
    <row r="98" spans="1:13" x14ac:dyDescent="0.25">
      <c r="A98" s="365"/>
      <c r="B98" s="383">
        <v>42292</v>
      </c>
      <c r="C98" s="365">
        <v>80</v>
      </c>
      <c r="D98" s="370">
        <v>61.25</v>
      </c>
      <c r="E98" s="366">
        <v>0</v>
      </c>
      <c r="F98" s="366">
        <f t="shared" si="6"/>
        <v>4900</v>
      </c>
      <c r="G98" s="364">
        <v>42431</v>
      </c>
      <c r="H98" s="369">
        <v>150</v>
      </c>
      <c r="I98" s="366">
        <v>45.95</v>
      </c>
      <c r="J98" s="366">
        <v>0.15</v>
      </c>
      <c r="K98" s="366">
        <f t="shared" si="7"/>
        <v>6892.35</v>
      </c>
      <c r="L98" s="365"/>
      <c r="M98" s="365"/>
    </row>
    <row r="99" spans="1:13" x14ac:dyDescent="0.25">
      <c r="A99" s="365"/>
      <c r="B99" s="383">
        <v>42292</v>
      </c>
      <c r="C99" s="365">
        <v>80</v>
      </c>
      <c r="D99" s="370">
        <v>59.75</v>
      </c>
      <c r="E99" s="366">
        <v>0</v>
      </c>
      <c r="F99" s="366">
        <f t="shared" si="6"/>
        <v>4780</v>
      </c>
      <c r="G99" s="364">
        <v>42431</v>
      </c>
      <c r="H99" s="369">
        <v>150</v>
      </c>
      <c r="I99" s="366">
        <v>45.5</v>
      </c>
      <c r="J99" s="366">
        <v>0.15</v>
      </c>
      <c r="K99" s="366">
        <f t="shared" si="7"/>
        <v>6824.85</v>
      </c>
      <c r="L99" s="365"/>
      <c r="M99" s="365"/>
    </row>
    <row r="100" spans="1:13" x14ac:dyDescent="0.25">
      <c r="A100" s="365"/>
      <c r="B100" s="383">
        <v>42310</v>
      </c>
      <c r="C100" s="365">
        <v>80</v>
      </c>
      <c r="D100" s="370">
        <v>55.225000000000001</v>
      </c>
      <c r="E100" s="366">
        <v>6.95</v>
      </c>
      <c r="F100" s="366">
        <f t="shared" si="6"/>
        <v>4424.95</v>
      </c>
      <c r="G100" s="364">
        <v>42431</v>
      </c>
      <c r="H100" s="369">
        <v>150</v>
      </c>
      <c r="I100" s="366">
        <v>46.4</v>
      </c>
      <c r="J100" s="366">
        <v>0.15</v>
      </c>
      <c r="K100" s="366">
        <f t="shared" si="7"/>
        <v>6959.85</v>
      </c>
      <c r="L100" s="365"/>
      <c r="M100" s="365"/>
    </row>
    <row r="101" spans="1:13" x14ac:dyDescent="0.25">
      <c r="A101" s="365"/>
      <c r="B101" s="383">
        <v>42310</v>
      </c>
      <c r="C101" s="365">
        <v>40</v>
      </c>
      <c r="D101" s="370">
        <v>53.01</v>
      </c>
      <c r="E101" s="366">
        <v>6.95</v>
      </c>
      <c r="F101" s="366">
        <f t="shared" si="6"/>
        <v>2127.35</v>
      </c>
      <c r="G101" s="364">
        <v>42431</v>
      </c>
      <c r="H101" s="369">
        <v>150</v>
      </c>
      <c r="I101" s="366">
        <v>46.72</v>
      </c>
      <c r="J101" s="366">
        <v>0.15</v>
      </c>
      <c r="K101" s="366">
        <f t="shared" si="7"/>
        <v>7007.85</v>
      </c>
      <c r="L101" s="365"/>
      <c r="M101" s="365"/>
    </row>
    <row r="102" spans="1:13" x14ac:dyDescent="0.25">
      <c r="A102" s="365"/>
      <c r="B102" s="383">
        <v>42340</v>
      </c>
      <c r="C102" s="365">
        <v>40</v>
      </c>
      <c r="D102" s="370">
        <v>58.6</v>
      </c>
      <c r="E102" s="366">
        <v>0</v>
      </c>
      <c r="F102" s="366">
        <f t="shared" si="6"/>
        <v>2344</v>
      </c>
      <c r="G102" s="364">
        <v>42433</v>
      </c>
      <c r="H102" s="369">
        <v>50</v>
      </c>
      <c r="I102" s="366">
        <v>50.35</v>
      </c>
      <c r="J102" s="366">
        <v>0.05</v>
      </c>
      <c r="K102" s="366">
        <f t="shared" si="7"/>
        <v>2517.4499999999998</v>
      </c>
      <c r="L102" s="365"/>
      <c r="M102" s="365"/>
    </row>
    <row r="103" spans="1:13" ht="45" x14ac:dyDescent="0.25">
      <c r="A103" s="365"/>
      <c r="B103" s="392" t="s">
        <v>169</v>
      </c>
      <c r="C103" s="365">
        <v>45</v>
      </c>
      <c r="D103" s="370">
        <v>50.45</v>
      </c>
      <c r="E103" s="366">
        <v>0</v>
      </c>
      <c r="F103" s="366">
        <f t="shared" si="6"/>
        <v>2270.25</v>
      </c>
      <c r="G103" s="364">
        <v>42440</v>
      </c>
      <c r="H103" s="369">
        <v>250</v>
      </c>
      <c r="I103" s="366">
        <v>50.24</v>
      </c>
      <c r="J103" s="366">
        <v>0.27</v>
      </c>
      <c r="K103" s="366">
        <f t="shared" si="7"/>
        <v>12559.73</v>
      </c>
      <c r="L103" s="365"/>
      <c r="M103" s="365"/>
    </row>
    <row r="104" spans="1:13" x14ac:dyDescent="0.25">
      <c r="A104" s="365"/>
      <c r="B104" s="392"/>
      <c r="C104" s="365">
        <v>75</v>
      </c>
      <c r="D104" s="370">
        <v>50.42</v>
      </c>
      <c r="E104" s="366">
        <v>0</v>
      </c>
      <c r="F104" s="366">
        <f t="shared" si="6"/>
        <v>3781.5</v>
      </c>
      <c r="G104" s="364">
        <v>42440</v>
      </c>
      <c r="H104" s="369">
        <v>50</v>
      </c>
      <c r="I104" s="366">
        <v>50.73</v>
      </c>
      <c r="J104" s="366">
        <v>0.05</v>
      </c>
      <c r="K104" s="366">
        <f t="shared" si="7"/>
        <v>2536.4499999999998</v>
      </c>
      <c r="L104" s="365"/>
      <c r="M104" s="365"/>
    </row>
    <row r="105" spans="1:13" x14ac:dyDescent="0.25">
      <c r="A105" s="365"/>
      <c r="B105" s="392"/>
      <c r="C105" s="365">
        <v>100</v>
      </c>
      <c r="D105" s="370">
        <v>50.33</v>
      </c>
      <c r="E105" s="366">
        <v>0</v>
      </c>
      <c r="F105" s="366">
        <f t="shared" si="6"/>
        <v>5033</v>
      </c>
      <c r="G105" s="364">
        <v>42440</v>
      </c>
      <c r="H105" s="369">
        <v>50</v>
      </c>
      <c r="I105" s="366">
        <v>51.08</v>
      </c>
      <c r="J105" s="366">
        <v>0.06</v>
      </c>
      <c r="K105" s="366">
        <f t="shared" si="7"/>
        <v>2553.94</v>
      </c>
      <c r="L105" s="365"/>
      <c r="M105" s="365"/>
    </row>
    <row r="106" spans="1:13" x14ac:dyDescent="0.25">
      <c r="A106" s="365"/>
      <c r="B106" s="392"/>
      <c r="C106" s="365">
        <v>100</v>
      </c>
      <c r="D106" s="370">
        <v>50.25</v>
      </c>
      <c r="E106" s="366">
        <v>0</v>
      </c>
      <c r="F106" s="366">
        <f t="shared" si="6"/>
        <v>5025</v>
      </c>
      <c r="G106" s="364">
        <v>42445</v>
      </c>
      <c r="H106" s="369">
        <v>20</v>
      </c>
      <c r="I106" s="366">
        <v>51.59</v>
      </c>
      <c r="J106" s="366">
        <v>0.02</v>
      </c>
      <c r="K106" s="366">
        <f t="shared" si="7"/>
        <v>1031.7800000000002</v>
      </c>
      <c r="L106" s="365"/>
      <c r="M106" s="365"/>
    </row>
    <row r="107" spans="1:13" x14ac:dyDescent="0.25">
      <c r="A107" s="365"/>
      <c r="B107" s="392"/>
      <c r="C107" s="365">
        <v>100</v>
      </c>
      <c r="D107" s="370">
        <v>50.05</v>
      </c>
      <c r="E107" s="366">
        <v>0</v>
      </c>
      <c r="F107" s="366">
        <f t="shared" si="6"/>
        <v>5005</v>
      </c>
      <c r="G107" s="364">
        <v>42446</v>
      </c>
      <c r="H107" s="369">
        <v>80</v>
      </c>
      <c r="I107" s="366">
        <v>53.45</v>
      </c>
      <c r="J107" s="366">
        <v>0.09</v>
      </c>
      <c r="K107" s="366">
        <f t="shared" si="7"/>
        <v>4275.91</v>
      </c>
      <c r="L107" s="365"/>
      <c r="M107" s="365"/>
    </row>
    <row r="108" spans="1:13" x14ac:dyDescent="0.25">
      <c r="A108" s="365"/>
      <c r="B108" s="392"/>
      <c r="C108" s="365">
        <v>100</v>
      </c>
      <c r="D108" s="370">
        <v>49.99</v>
      </c>
      <c r="E108" s="366">
        <v>0</v>
      </c>
      <c r="F108" s="366">
        <f t="shared" si="6"/>
        <v>4999</v>
      </c>
      <c r="G108" s="364">
        <v>42460</v>
      </c>
      <c r="H108" s="369">
        <v>50</v>
      </c>
      <c r="I108" s="366">
        <v>52.74</v>
      </c>
      <c r="J108" s="366">
        <v>0.06</v>
      </c>
      <c r="K108" s="366">
        <f t="shared" si="7"/>
        <v>2636.94</v>
      </c>
      <c r="L108" s="365"/>
      <c r="M108" s="365"/>
    </row>
    <row r="109" spans="1:13" x14ac:dyDescent="0.25">
      <c r="A109" s="365"/>
      <c r="B109" s="392"/>
      <c r="C109" s="365">
        <v>200</v>
      </c>
      <c r="D109" s="370">
        <v>49.69</v>
      </c>
      <c r="E109" s="366">
        <v>0</v>
      </c>
      <c r="F109" s="366">
        <f t="shared" si="6"/>
        <v>9938</v>
      </c>
      <c r="G109" s="364">
        <v>42466</v>
      </c>
      <c r="H109" s="369">
        <v>50</v>
      </c>
      <c r="I109" s="366">
        <v>53.25</v>
      </c>
      <c r="J109" s="366">
        <v>0.06</v>
      </c>
      <c r="K109" s="366">
        <f t="shared" si="7"/>
        <v>2662.44</v>
      </c>
      <c r="L109" s="365"/>
      <c r="M109" s="365"/>
    </row>
    <row r="110" spans="1:13" x14ac:dyDescent="0.25">
      <c r="A110" s="365"/>
      <c r="B110" s="383">
        <v>42362</v>
      </c>
      <c r="C110" s="365">
        <v>300</v>
      </c>
      <c r="D110" s="370">
        <v>48.18</v>
      </c>
      <c r="E110" s="366">
        <v>0</v>
      </c>
      <c r="F110" s="366">
        <f t="shared" si="6"/>
        <v>14454</v>
      </c>
      <c r="G110" s="364">
        <v>42472</v>
      </c>
      <c r="H110" s="369">
        <v>20</v>
      </c>
      <c r="I110" s="366">
        <v>57.11</v>
      </c>
      <c r="J110" s="366">
        <v>-0.03</v>
      </c>
      <c r="K110" s="366">
        <f t="shared" si="7"/>
        <v>1142.23</v>
      </c>
      <c r="L110" s="365"/>
      <c r="M110" s="365"/>
    </row>
    <row r="111" spans="1:13" x14ac:dyDescent="0.25">
      <c r="A111" s="365"/>
      <c r="B111" s="383">
        <v>42362</v>
      </c>
      <c r="C111" s="365">
        <v>300</v>
      </c>
      <c r="D111" s="370">
        <v>47.73</v>
      </c>
      <c r="E111" s="366">
        <v>-0.03</v>
      </c>
      <c r="F111" s="366">
        <f t="shared" si="6"/>
        <v>14318.969999999998</v>
      </c>
      <c r="G111" s="364">
        <v>42478</v>
      </c>
      <c r="H111" s="369">
        <v>20</v>
      </c>
      <c r="I111" s="366">
        <v>58.75</v>
      </c>
      <c r="J111" s="366">
        <v>0.03</v>
      </c>
      <c r="K111" s="366">
        <f t="shared" si="7"/>
        <v>1174.97</v>
      </c>
      <c r="L111" s="365"/>
      <c r="M111" s="365"/>
    </row>
    <row r="112" spans="1:13" x14ac:dyDescent="0.25">
      <c r="A112" s="365"/>
      <c r="B112" s="383">
        <v>42374</v>
      </c>
      <c r="C112" s="365">
        <v>100</v>
      </c>
      <c r="D112" s="370">
        <v>47.13</v>
      </c>
      <c r="E112" s="366">
        <v>0</v>
      </c>
      <c r="F112" s="366">
        <f t="shared" si="6"/>
        <v>4713</v>
      </c>
      <c r="G112" s="364">
        <v>42501</v>
      </c>
      <c r="H112" s="369">
        <v>30</v>
      </c>
      <c r="I112" s="366">
        <v>58.45</v>
      </c>
      <c r="J112" s="366">
        <v>0.04</v>
      </c>
      <c r="K112" s="366">
        <f t="shared" si="7"/>
        <v>1753.46</v>
      </c>
      <c r="L112" s="365"/>
      <c r="M112" s="365"/>
    </row>
    <row r="113" spans="1:13" x14ac:dyDescent="0.25">
      <c r="A113" s="365"/>
      <c r="B113" s="383">
        <v>42375</v>
      </c>
      <c r="C113" s="365">
        <v>100</v>
      </c>
      <c r="D113" s="370">
        <v>46.02</v>
      </c>
      <c r="E113" s="366">
        <v>0</v>
      </c>
      <c r="F113" s="366">
        <f t="shared" si="6"/>
        <v>4602</v>
      </c>
      <c r="G113" s="365"/>
      <c r="H113" s="369"/>
      <c r="I113" s="366"/>
      <c r="J113" s="366"/>
      <c r="K113" s="366"/>
      <c r="L113" s="365"/>
      <c r="M113" s="365"/>
    </row>
    <row r="114" spans="1:13" x14ac:dyDescent="0.25">
      <c r="A114" s="365"/>
      <c r="B114" s="391">
        <v>42375</v>
      </c>
      <c r="C114" s="365">
        <v>30</v>
      </c>
      <c r="D114" s="370">
        <v>45.1</v>
      </c>
      <c r="E114" s="366">
        <v>0</v>
      </c>
      <c r="F114" s="366">
        <f t="shared" si="6"/>
        <v>1353</v>
      </c>
      <c r="G114" s="365"/>
      <c r="H114" s="369"/>
      <c r="I114" s="366"/>
      <c r="J114" s="366"/>
      <c r="K114" s="366"/>
      <c r="L114" s="365"/>
      <c r="M114" s="365"/>
    </row>
    <row r="115" spans="1:13" x14ac:dyDescent="0.25">
      <c r="A115" s="365"/>
      <c r="B115" s="391"/>
      <c r="C115" s="365">
        <v>20</v>
      </c>
      <c r="D115" s="370">
        <v>45.1</v>
      </c>
      <c r="E115" s="366">
        <v>0</v>
      </c>
      <c r="F115" s="366">
        <f t="shared" si="6"/>
        <v>902</v>
      </c>
      <c r="G115" s="365"/>
      <c r="H115" s="369"/>
      <c r="I115" s="366"/>
      <c r="J115" s="366"/>
      <c r="K115" s="366"/>
      <c r="L115" s="365"/>
      <c r="M115" s="365"/>
    </row>
    <row r="116" spans="1:13" x14ac:dyDescent="0.25">
      <c r="A116" s="365"/>
      <c r="B116" s="383">
        <v>42402</v>
      </c>
      <c r="C116" s="365">
        <v>150</v>
      </c>
      <c r="D116" s="370">
        <v>39.450000000000003</v>
      </c>
      <c r="E116" s="366">
        <v>0</v>
      </c>
      <c r="F116" s="366">
        <f t="shared" si="6"/>
        <v>5917.5</v>
      </c>
      <c r="G116" s="365"/>
      <c r="H116" s="369"/>
      <c r="I116" s="366"/>
      <c r="J116" s="366"/>
      <c r="K116" s="366"/>
      <c r="L116" s="365"/>
      <c r="M116" s="365"/>
    </row>
    <row r="117" spans="1:13" x14ac:dyDescent="0.25">
      <c r="A117" s="365"/>
      <c r="B117" s="383">
        <v>42405</v>
      </c>
      <c r="C117" s="365">
        <v>100</v>
      </c>
      <c r="D117" s="370">
        <v>38.385100000000001</v>
      </c>
      <c r="E117" s="366">
        <v>0</v>
      </c>
      <c r="F117" s="366">
        <f t="shared" si="6"/>
        <v>3838.51</v>
      </c>
      <c r="G117" s="365"/>
      <c r="H117" s="369"/>
      <c r="I117" s="366"/>
      <c r="J117" s="366"/>
      <c r="K117" s="366"/>
      <c r="L117" s="365"/>
      <c r="M117" s="365"/>
    </row>
    <row r="118" spans="1:13" x14ac:dyDescent="0.25">
      <c r="A118" s="365"/>
      <c r="B118" s="383">
        <v>42426</v>
      </c>
      <c r="C118" s="365">
        <v>150</v>
      </c>
      <c r="D118" s="370">
        <v>43.09</v>
      </c>
      <c r="E118" s="366">
        <v>0</v>
      </c>
      <c r="F118" s="366">
        <f t="shared" si="6"/>
        <v>6463.5000000000009</v>
      </c>
      <c r="G118" s="365"/>
      <c r="H118" s="369"/>
      <c r="I118" s="366"/>
      <c r="J118" s="366"/>
      <c r="K118" s="366"/>
      <c r="L118" s="365"/>
      <c r="M118" s="365"/>
    </row>
    <row r="119" spans="1:13" x14ac:dyDescent="0.25">
      <c r="A119" s="365"/>
      <c r="B119" s="383">
        <v>42426</v>
      </c>
      <c r="C119" s="365">
        <v>150</v>
      </c>
      <c r="D119" s="370">
        <v>42.89</v>
      </c>
      <c r="E119" s="366">
        <v>0</v>
      </c>
      <c r="F119" s="366">
        <f t="shared" si="6"/>
        <v>6433.5</v>
      </c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365"/>
      <c r="B120" s="383">
        <v>42431</v>
      </c>
      <c r="C120" s="365">
        <v>150</v>
      </c>
      <c r="D120" s="370">
        <v>45.49</v>
      </c>
      <c r="E120" s="366">
        <v>0</v>
      </c>
      <c r="F120" s="366">
        <f t="shared" si="6"/>
        <v>6823.5</v>
      </c>
      <c r="G120" s="365"/>
      <c r="H120" s="369"/>
      <c r="I120" s="366"/>
      <c r="J120" s="366"/>
      <c r="K120" s="366"/>
      <c r="L120" s="365"/>
      <c r="M120" s="365"/>
    </row>
    <row r="121" spans="1:13" x14ac:dyDescent="0.25">
      <c r="A121" s="365"/>
      <c r="B121" s="383">
        <v>42431</v>
      </c>
      <c r="C121" s="365">
        <v>150</v>
      </c>
      <c r="D121" s="370">
        <v>45.07</v>
      </c>
      <c r="E121" s="366">
        <v>0</v>
      </c>
      <c r="F121" s="366">
        <f t="shared" si="6"/>
        <v>6760.5</v>
      </c>
      <c r="G121" s="365"/>
      <c r="H121" s="369"/>
      <c r="I121" s="366"/>
      <c r="J121" s="366"/>
      <c r="K121" s="366"/>
      <c r="L121" s="365"/>
      <c r="M121" s="365"/>
    </row>
    <row r="122" spans="1:13" x14ac:dyDescent="0.25">
      <c r="A122" s="365"/>
      <c r="B122" s="383">
        <v>42433</v>
      </c>
      <c r="C122" s="365">
        <v>50</v>
      </c>
      <c r="D122" s="370">
        <v>49.45</v>
      </c>
      <c r="E122" s="366">
        <v>0</v>
      </c>
      <c r="F122" s="366">
        <f t="shared" si="6"/>
        <v>2472.5</v>
      </c>
      <c r="G122" s="365"/>
      <c r="H122" s="369"/>
      <c r="I122" s="366"/>
      <c r="J122" s="366"/>
      <c r="K122" s="366"/>
      <c r="L122" s="365"/>
      <c r="M122" s="365"/>
    </row>
    <row r="123" spans="1:13" x14ac:dyDescent="0.25">
      <c r="A123" s="365"/>
      <c r="B123" s="383">
        <v>42444</v>
      </c>
      <c r="C123" s="365">
        <v>50</v>
      </c>
      <c r="D123" s="370">
        <v>48.21</v>
      </c>
      <c r="E123" s="366">
        <v>0</v>
      </c>
      <c r="F123" s="366">
        <f t="shared" si="6"/>
        <v>2410.5</v>
      </c>
      <c r="G123" s="365"/>
      <c r="H123" s="369"/>
      <c r="I123" s="366"/>
      <c r="J123" s="366"/>
      <c r="K123" s="366"/>
      <c r="L123" s="365"/>
      <c r="M123" s="365"/>
    </row>
    <row r="124" spans="1:13" x14ac:dyDescent="0.25">
      <c r="A124" s="365"/>
      <c r="B124" s="383">
        <v>42452</v>
      </c>
      <c r="C124" s="365">
        <v>50</v>
      </c>
      <c r="D124" s="370">
        <v>51.6</v>
      </c>
      <c r="E124" s="366">
        <v>0</v>
      </c>
      <c r="F124" s="366">
        <f t="shared" si="6"/>
        <v>2580</v>
      </c>
      <c r="G124" s="365"/>
      <c r="H124" s="369"/>
      <c r="I124" s="366"/>
      <c r="J124" s="366"/>
      <c r="K124" s="366"/>
      <c r="L124" s="365"/>
      <c r="M124" s="365"/>
    </row>
    <row r="125" spans="1:13" x14ac:dyDescent="0.25">
      <c r="A125" s="365"/>
      <c r="B125" s="383">
        <v>42464</v>
      </c>
      <c r="C125" s="365">
        <v>50</v>
      </c>
      <c r="D125" s="370">
        <v>50.62</v>
      </c>
      <c r="E125" s="366">
        <v>0</v>
      </c>
      <c r="F125" s="366">
        <f t="shared" si="6"/>
        <v>2531</v>
      </c>
      <c r="G125" s="365"/>
      <c r="H125" s="369"/>
      <c r="I125" s="366"/>
      <c r="J125" s="366"/>
      <c r="K125" s="366"/>
      <c r="L125" s="365"/>
      <c r="M125" s="365"/>
    </row>
    <row r="126" spans="1:13" x14ac:dyDescent="0.25">
      <c r="A126" s="365"/>
      <c r="B126" s="383">
        <v>42493</v>
      </c>
      <c r="C126" s="365">
        <v>20</v>
      </c>
      <c r="D126" s="370">
        <v>56.5</v>
      </c>
      <c r="E126" s="366">
        <v>0</v>
      </c>
      <c r="F126" s="366">
        <f t="shared" si="6"/>
        <v>1130</v>
      </c>
      <c r="G126" s="365"/>
      <c r="H126" s="369"/>
      <c r="I126" s="366"/>
      <c r="J126" s="366"/>
      <c r="K126" s="366"/>
      <c r="L126" s="365"/>
      <c r="M126" s="365"/>
    </row>
    <row r="127" spans="1:13" x14ac:dyDescent="0.25">
      <c r="A127" s="365"/>
      <c r="B127" s="387"/>
      <c r="C127" s="365"/>
      <c r="D127" s="370"/>
      <c r="E127" s="366"/>
      <c r="F127" s="366"/>
      <c r="G127" s="365"/>
      <c r="H127" s="369"/>
      <c r="I127" s="366"/>
      <c r="J127" s="366"/>
      <c r="K127" s="366"/>
      <c r="L127" s="365"/>
      <c r="M127" s="365"/>
    </row>
    <row r="128" spans="1:13" x14ac:dyDescent="0.25">
      <c r="A128" s="21" t="s">
        <v>81</v>
      </c>
      <c r="B128" s="388"/>
      <c r="C128" s="12">
        <f>SUM(C77:C127)</f>
        <v>3500</v>
      </c>
      <c r="D128" s="38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5"/>
      <c r="B129" s="387"/>
      <c r="C129" s="365"/>
      <c r="D129" s="370"/>
      <c r="E129" s="366"/>
      <c r="F129" s="366"/>
      <c r="G129" s="365"/>
      <c r="H129" s="369"/>
      <c r="I129" s="366"/>
      <c r="J129" s="366"/>
      <c r="K129" s="366"/>
      <c r="L129" s="365"/>
      <c r="M129" s="36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61" priority="17">
      <formula>F38&gt;0</formula>
    </cfRule>
    <cfRule type="expression" dxfId="760" priority="18">
      <formula>F38&lt;0</formula>
    </cfRule>
  </conditionalFormatting>
  <conditionalFormatting sqref="H38:H72">
    <cfRule type="expression" dxfId="759" priority="9">
      <formula>H38&gt;0</formula>
    </cfRule>
    <cfRule type="expression" dxfId="758" priority="10">
      <formula>H38&lt;0</formula>
    </cfRule>
  </conditionalFormatting>
  <conditionalFormatting sqref="F21:F37">
    <cfRule type="expression" dxfId="757" priority="7">
      <formula>F21&gt;0</formula>
    </cfRule>
    <cfRule type="expression" dxfId="756" priority="8">
      <formula>F21&lt;0</formula>
    </cfRule>
  </conditionalFormatting>
  <conditionalFormatting sqref="H21:H37">
    <cfRule type="expression" dxfId="755" priority="5">
      <formula>H21&gt;0</formula>
    </cfRule>
    <cfRule type="expression" dxfId="754" priority="6">
      <formula>H21&lt;0</formula>
    </cfRule>
  </conditionalFormatting>
  <conditionalFormatting sqref="Q8">
    <cfRule type="expression" dxfId="753" priority="1">
      <formula>Q8&gt;0</formula>
    </cfRule>
    <cfRule type="expression" dxfId="752" priority="2">
      <formula>Q8&lt;0</formula>
    </cfRule>
  </conditionalFormatting>
  <conditionalFormatting sqref="Q7">
    <cfRule type="expression" dxfId="751" priority="3">
      <formula>Q7&gt;0</formula>
    </cfRule>
    <cfRule type="expression" dxfId="75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132.9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132.9</v>
      </c>
      <c r="R4" s="493">
        <v>-1.0699999999999999E-2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</row>
    <row r="24" spans="1:13" x14ac:dyDescent="0.25">
      <c r="B24" s="187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5"/>
      <c r="I24" s="39"/>
    </row>
    <row r="25" spans="1:13" x14ac:dyDescent="0.25">
      <c r="B25" s="187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5">
        <f>IF(C25=0, 0, (E25-D25)/D25)</f>
        <v>3.3863413421019818E-2</v>
      </c>
      <c r="I25" s="39"/>
    </row>
    <row r="26" spans="1:13" x14ac:dyDescent="0.25">
      <c r="B26" s="187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5">
        <f>IF(C26=0, 0, (E26-D26)/D26)</f>
        <v>-1.6441232954309919E-3</v>
      </c>
      <c r="I26" s="39"/>
    </row>
    <row r="27" spans="1:13" x14ac:dyDescent="0.25">
      <c r="B27" s="187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5" t="s">
        <v>1</v>
      </c>
      <c r="B35" s="255" t="s">
        <v>2</v>
      </c>
      <c r="C35" s="255" t="s">
        <v>4</v>
      </c>
      <c r="D35" s="256" t="s">
        <v>5</v>
      </c>
      <c r="E35" s="256" t="s">
        <v>94</v>
      </c>
      <c r="F35" s="256" t="s">
        <v>60</v>
      </c>
      <c r="G35" s="255" t="s">
        <v>3</v>
      </c>
      <c r="H35" s="255" t="s">
        <v>6</v>
      </c>
      <c r="I35" s="256" t="s">
        <v>7</v>
      </c>
      <c r="J35" s="256" t="s">
        <v>95</v>
      </c>
      <c r="K35" s="256" t="s">
        <v>61</v>
      </c>
      <c r="L35" s="255" t="s">
        <v>37</v>
      </c>
      <c r="M35" s="255" t="s">
        <v>38</v>
      </c>
    </row>
    <row r="36" spans="1:21" x14ac:dyDescent="0.25">
      <c r="A36" s="257" t="s">
        <v>42</v>
      </c>
      <c r="B36" s="258">
        <v>42184</v>
      </c>
      <c r="C36" s="253">
        <v>10</v>
      </c>
      <c r="D36" s="254">
        <v>99.05</v>
      </c>
      <c r="E36" s="254">
        <v>0</v>
      </c>
      <c r="F36" s="254">
        <f>C36*D36</f>
        <v>990.5</v>
      </c>
      <c r="G36" s="258">
        <v>42216</v>
      </c>
      <c r="H36" s="253">
        <v>40</v>
      </c>
      <c r="I36" s="254">
        <v>95.1</v>
      </c>
      <c r="J36" s="254">
        <v>7.0000000000000007E-2</v>
      </c>
      <c r="K36" s="254">
        <f>H36*I36-J36</f>
        <v>3803.93</v>
      </c>
      <c r="L36" s="258">
        <v>42277</v>
      </c>
      <c r="M36" s="254">
        <v>33</v>
      </c>
    </row>
    <row r="37" spans="1:21" x14ac:dyDescent="0.25">
      <c r="A37" s="260" t="s">
        <v>71</v>
      </c>
      <c r="B37" s="258">
        <v>42184</v>
      </c>
      <c r="C37" s="253">
        <v>20</v>
      </c>
      <c r="D37" s="254">
        <v>99.5</v>
      </c>
      <c r="E37" s="254">
        <v>0</v>
      </c>
      <c r="F37" s="254">
        <f t="shared" ref="F37:F43" si="0">C37*D37</f>
        <v>1990</v>
      </c>
      <c r="G37" s="258">
        <v>42216</v>
      </c>
      <c r="H37" s="253">
        <v>20</v>
      </c>
      <c r="I37" s="254">
        <v>95.6</v>
      </c>
      <c r="J37" s="254">
        <v>0.04</v>
      </c>
      <c r="K37" s="254">
        <f>H37*I37-J37</f>
        <v>1911.96</v>
      </c>
      <c r="L37" s="253"/>
      <c r="M37" s="253"/>
    </row>
    <row r="38" spans="1:21" x14ac:dyDescent="0.25">
      <c r="A38" s="253"/>
      <c r="B38" s="258">
        <v>42184</v>
      </c>
      <c r="C38" s="253">
        <v>10</v>
      </c>
      <c r="D38" s="254">
        <v>98.35</v>
      </c>
      <c r="E38" s="254">
        <v>0</v>
      </c>
      <c r="F38" s="254">
        <f t="shared" si="0"/>
        <v>983.5</v>
      </c>
      <c r="G38" s="258">
        <v>42304</v>
      </c>
      <c r="H38" s="253">
        <v>60</v>
      </c>
      <c r="I38" s="254">
        <v>97.2</v>
      </c>
      <c r="J38" s="254">
        <v>0.11</v>
      </c>
      <c r="K38" s="254">
        <f>H38*I38-J38</f>
        <v>5831.89</v>
      </c>
      <c r="L38" s="253"/>
      <c r="M38" s="253"/>
    </row>
    <row r="39" spans="1:21" x14ac:dyDescent="0.25">
      <c r="A39" s="253"/>
      <c r="B39" s="258">
        <v>42184</v>
      </c>
      <c r="C39" s="253">
        <v>20</v>
      </c>
      <c r="D39" s="254">
        <v>98.1</v>
      </c>
      <c r="E39" s="254">
        <v>0</v>
      </c>
      <c r="F39" s="254">
        <f t="shared" si="0"/>
        <v>1962</v>
      </c>
      <c r="G39" s="258">
        <v>42409</v>
      </c>
      <c r="H39" s="253">
        <v>30</v>
      </c>
      <c r="I39" s="254">
        <v>76.650000000000006</v>
      </c>
      <c r="J39" s="254">
        <v>0.04</v>
      </c>
      <c r="K39" s="254">
        <f>H39*I39-J39</f>
        <v>2299.46</v>
      </c>
      <c r="L39" s="253"/>
      <c r="M39" s="253"/>
    </row>
    <row r="40" spans="1:21" x14ac:dyDescent="0.25">
      <c r="A40" s="253"/>
      <c r="B40" s="258">
        <v>42213</v>
      </c>
      <c r="C40" s="253">
        <v>10</v>
      </c>
      <c r="D40" s="254">
        <v>92.5</v>
      </c>
      <c r="E40" s="254">
        <v>0</v>
      </c>
      <c r="F40" s="254">
        <f t="shared" si="0"/>
        <v>925</v>
      </c>
      <c r="G40" s="253"/>
      <c r="H40" s="253"/>
      <c r="I40" s="254"/>
      <c r="J40" s="254"/>
      <c r="K40" s="254"/>
      <c r="L40" s="253"/>
      <c r="M40" s="253"/>
    </row>
    <row r="41" spans="1:21" x14ac:dyDescent="0.25">
      <c r="A41" s="253"/>
      <c r="B41" s="258">
        <v>42213</v>
      </c>
      <c r="C41" s="253">
        <v>10</v>
      </c>
      <c r="D41" s="254">
        <v>91.65</v>
      </c>
      <c r="E41" s="254">
        <v>0</v>
      </c>
      <c r="F41" s="254">
        <f t="shared" si="0"/>
        <v>916.5</v>
      </c>
      <c r="G41" s="253"/>
      <c r="H41" s="253"/>
      <c r="I41" s="254"/>
      <c r="J41" s="254"/>
      <c r="K41" s="254"/>
      <c r="L41" s="253"/>
      <c r="M41" s="253"/>
    </row>
    <row r="42" spans="1:21" ht="20.25" thickBot="1" x14ac:dyDescent="0.35">
      <c r="A42" s="253"/>
      <c r="B42" s="258">
        <v>42213</v>
      </c>
      <c r="C42" s="253">
        <v>15</v>
      </c>
      <c r="D42" s="254">
        <v>94</v>
      </c>
      <c r="E42" s="254">
        <v>0</v>
      </c>
      <c r="F42" s="254">
        <f t="shared" si="0"/>
        <v>1410</v>
      </c>
      <c r="G42" s="253"/>
      <c r="H42" s="253"/>
      <c r="I42" s="254"/>
      <c r="J42" s="254"/>
      <c r="K42" s="254"/>
      <c r="L42" s="253"/>
      <c r="M42" s="253"/>
      <c r="T42" s="89" t="s">
        <v>112</v>
      </c>
    </row>
    <row r="43" spans="1:21" ht="15.75" thickTop="1" x14ac:dyDescent="0.25">
      <c r="A43" s="253"/>
      <c r="B43" s="258">
        <v>42213</v>
      </c>
      <c r="C43" s="253">
        <v>15</v>
      </c>
      <c r="D43" s="254">
        <v>92.75</v>
      </c>
      <c r="E43" s="254">
        <v>0</v>
      </c>
      <c r="F43" s="254">
        <f t="shared" si="0"/>
        <v>1391.25</v>
      </c>
      <c r="G43" s="253"/>
      <c r="H43" s="253"/>
      <c r="I43" s="254"/>
      <c r="J43" s="254"/>
      <c r="K43" s="254"/>
      <c r="L43" s="253"/>
      <c r="M43" s="253"/>
      <c r="T43" s="95" t="s">
        <v>97</v>
      </c>
      <c r="U43" s="126">
        <v>115.19</v>
      </c>
    </row>
    <row r="44" spans="1:21" x14ac:dyDescent="0.25">
      <c r="A44" s="253"/>
      <c r="B44" s="258">
        <v>42226</v>
      </c>
      <c r="C44" s="253">
        <v>10</v>
      </c>
      <c r="D44" s="254">
        <v>94.99</v>
      </c>
      <c r="E44" s="254">
        <v>0</v>
      </c>
      <c r="F44" s="254">
        <f>C44*D44</f>
        <v>949.9</v>
      </c>
      <c r="G44" s="253"/>
      <c r="H44" s="253"/>
      <c r="I44" s="254"/>
      <c r="J44" s="254"/>
      <c r="K44" s="254"/>
      <c r="L44" s="253"/>
      <c r="M44" s="253"/>
      <c r="T44" s="85" t="s">
        <v>98</v>
      </c>
      <c r="U44" s="127">
        <v>115.59</v>
      </c>
    </row>
    <row r="45" spans="1:21" x14ac:dyDescent="0.25">
      <c r="A45" s="253"/>
      <c r="B45" s="258">
        <v>42375</v>
      </c>
      <c r="C45" s="253">
        <v>30</v>
      </c>
      <c r="D45" s="254">
        <v>74.45</v>
      </c>
      <c r="E45" s="254">
        <v>0</v>
      </c>
      <c r="F45" s="254">
        <f>C45*D45</f>
        <v>2233.5</v>
      </c>
      <c r="G45" s="253"/>
      <c r="H45" s="253"/>
      <c r="I45" s="254"/>
      <c r="J45" s="254"/>
      <c r="K45" s="254"/>
      <c r="L45" s="253"/>
      <c r="M45" s="253"/>
      <c r="T45" s="85" t="s">
        <v>99</v>
      </c>
      <c r="U45" s="127" t="s">
        <v>128</v>
      </c>
    </row>
    <row r="46" spans="1:21" ht="20.25" thickBot="1" x14ac:dyDescent="0.3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847" t="s">
        <v>78</v>
      </c>
      <c r="P46" s="84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81">
        <v>1.1000000000000001</v>
      </c>
      <c r="P47" s="81">
        <f>O47*$Q$4</f>
        <v>146.19000000000003</v>
      </c>
      <c r="Q47" s="33"/>
      <c r="R47"/>
      <c r="T47" s="85" t="s">
        <v>101</v>
      </c>
      <c r="U47" s="127">
        <v>119.17</v>
      </c>
    </row>
    <row r="48" spans="1:2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81">
        <v>1.0900000000000001</v>
      </c>
      <c r="P48" s="81">
        <f t="shared" ref="P48:P67" si="1">O48*$Q$4</f>
        <v>144.86100000000002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143.53200000000001</v>
      </c>
      <c r="Q49" s="33"/>
      <c r="R49"/>
      <c r="T49" s="85" t="s">
        <v>103</v>
      </c>
      <c r="U49" s="92" t="s">
        <v>619</v>
      </c>
    </row>
    <row r="50" spans="1:2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81">
        <v>1.07</v>
      </c>
      <c r="P50" s="81">
        <f t="shared" si="1"/>
        <v>142.203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140.87400000000002</v>
      </c>
      <c r="Q51" s="81"/>
      <c r="R51"/>
      <c r="T51" s="85" t="s">
        <v>104</v>
      </c>
      <c r="U51" s="127" t="s">
        <v>620</v>
      </c>
    </row>
    <row r="52" spans="1:21" x14ac:dyDescent="0.25">
      <c r="O52" s="81">
        <v>1.05</v>
      </c>
      <c r="P52" s="81">
        <f t="shared" si="1"/>
        <v>139.54500000000002</v>
      </c>
      <c r="Q52" s="81"/>
      <c r="R52"/>
      <c r="T52" s="85" t="s">
        <v>105</v>
      </c>
      <c r="U52" s="127" t="s">
        <v>508</v>
      </c>
    </row>
    <row r="53" spans="1:21" x14ac:dyDescent="0.25">
      <c r="O53" s="81">
        <v>1.04</v>
      </c>
      <c r="P53" s="81">
        <f t="shared" si="1"/>
        <v>138.21600000000001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136.887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135.55800000000002</v>
      </c>
      <c r="Q55" s="81"/>
      <c r="R55"/>
      <c r="T55" s="85" t="s">
        <v>107</v>
      </c>
      <c r="U55" s="127" t="s">
        <v>621</v>
      </c>
    </row>
    <row r="56" spans="1:21" x14ac:dyDescent="0.25">
      <c r="O56" s="81">
        <v>1.01</v>
      </c>
      <c r="P56" s="81">
        <f t="shared" si="1"/>
        <v>134.22900000000001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132.9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131.571</v>
      </c>
      <c r="Q58" s="81"/>
      <c r="R58"/>
      <c r="T58" s="85" t="s">
        <v>108</v>
      </c>
      <c r="U58" s="127" t="s">
        <v>551</v>
      </c>
    </row>
    <row r="59" spans="1:21" x14ac:dyDescent="0.25">
      <c r="O59" s="81">
        <v>0.98</v>
      </c>
      <c r="P59" s="81">
        <f t="shared" si="1"/>
        <v>130.24199999999999</v>
      </c>
      <c r="Q59" s="81"/>
      <c r="R59"/>
    </row>
    <row r="60" spans="1:21" x14ac:dyDescent="0.25">
      <c r="O60" s="81">
        <v>0.97</v>
      </c>
      <c r="P60" s="81">
        <f t="shared" si="1"/>
        <v>128.91300000000001</v>
      </c>
      <c r="Q60" s="81"/>
      <c r="R60"/>
    </row>
    <row r="61" spans="1:21" x14ac:dyDescent="0.25">
      <c r="O61" s="81">
        <v>0.96</v>
      </c>
      <c r="P61" s="81">
        <f t="shared" si="1"/>
        <v>127.584</v>
      </c>
      <c r="Q61" s="81"/>
      <c r="R61"/>
    </row>
    <row r="62" spans="1:21" x14ac:dyDescent="0.25">
      <c r="O62" s="81">
        <v>0.95</v>
      </c>
      <c r="P62" s="81">
        <f t="shared" si="1"/>
        <v>126.255</v>
      </c>
      <c r="Q62" s="81"/>
      <c r="R62"/>
    </row>
    <row r="63" spans="1:21" x14ac:dyDescent="0.25">
      <c r="O63" s="81">
        <v>0.94</v>
      </c>
      <c r="P63" s="81">
        <f t="shared" si="1"/>
        <v>124.926</v>
      </c>
      <c r="Q63" s="81"/>
      <c r="R63"/>
      <c r="T63" s="84"/>
    </row>
    <row r="64" spans="1:21" x14ac:dyDescent="0.25">
      <c r="O64" s="81">
        <v>0.93</v>
      </c>
      <c r="P64" s="81">
        <f t="shared" si="1"/>
        <v>123.59700000000001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122.26800000000001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120.93900000000001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119.61000000000001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49" priority="11">
      <formula>F24&gt;0</formula>
    </cfRule>
    <cfRule type="expression" dxfId="748" priority="12">
      <formula>F24&lt;0</formula>
    </cfRule>
  </conditionalFormatting>
  <conditionalFormatting sqref="H27:H30">
    <cfRule type="expression" dxfId="747" priority="9">
      <formula>H27&gt;0</formula>
    </cfRule>
    <cfRule type="expression" dxfId="746" priority="10">
      <formula>H27&lt;0</formula>
    </cfRule>
  </conditionalFormatting>
  <conditionalFormatting sqref="F25">
    <cfRule type="expression" dxfId="745" priority="7">
      <formula>F25&gt;0</formula>
    </cfRule>
    <cfRule type="expression" dxfId="744" priority="8">
      <formula>F25&lt;0</formula>
    </cfRule>
  </conditionalFormatting>
  <conditionalFormatting sqref="H24:H26">
    <cfRule type="expression" dxfId="743" priority="5">
      <formula>H24&gt;0</formula>
    </cfRule>
    <cfRule type="expression" dxfId="742" priority="6">
      <formula>H24&lt;0</formula>
    </cfRule>
  </conditionalFormatting>
  <conditionalFormatting sqref="Q7">
    <cfRule type="expression" dxfId="741" priority="3">
      <formula>Q7&gt;0</formula>
    </cfRule>
    <cfRule type="expression" dxfId="740" priority="4">
      <formula>Q7&lt;0</formula>
    </cfRule>
  </conditionalFormatting>
  <conditionalFormatting sqref="Q8">
    <cfRule type="expression" dxfId="739" priority="1">
      <formula>Q8&gt;0</formula>
    </cfRule>
    <cfRule type="expression" dxfId="73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49.93</v>
      </c>
      <c r="Y2" s="39">
        <v>50.75</v>
      </c>
      <c r="Z2" s="39">
        <v>49.59</v>
      </c>
      <c r="AA2" s="352">
        <v>49.78</v>
      </c>
      <c r="AB2" s="93">
        <v>1141600</v>
      </c>
      <c r="AC2" s="237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53.04</v>
      </c>
      <c r="T3" s="118"/>
      <c r="W3" s="92">
        <v>42829</v>
      </c>
      <c r="X3" s="352">
        <v>50.04</v>
      </c>
      <c r="Y3" s="39">
        <v>50.15</v>
      </c>
      <c r="Z3" s="39">
        <v>49.32</v>
      </c>
      <c r="AA3" s="352">
        <v>49.76</v>
      </c>
      <c r="AB3" s="93">
        <v>1479500</v>
      </c>
      <c r="AC3" s="237">
        <v>49.76</v>
      </c>
      <c r="AD3" s="2">
        <f>Y3-Z3</f>
        <v>0.82999999999999829</v>
      </c>
      <c r="AE3" s="134">
        <f>AC3/AC4-1</f>
        <v>-8.5674437138871795E-3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53.04</v>
      </c>
      <c r="R4" s="494">
        <v>1.24E-2</v>
      </c>
      <c r="T4" s="118"/>
      <c r="W4" s="92">
        <v>42828</v>
      </c>
      <c r="X4" s="352">
        <v>50.74</v>
      </c>
      <c r="Y4" s="39">
        <v>50.95</v>
      </c>
      <c r="Z4" s="39">
        <v>50</v>
      </c>
      <c r="AA4" s="352">
        <v>50.19</v>
      </c>
      <c r="AB4" s="93">
        <v>1299500</v>
      </c>
      <c r="AC4" s="237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50.99</v>
      </c>
      <c r="Y5" s="39">
        <v>51.2</v>
      </c>
      <c r="Z5" s="39">
        <v>50.44</v>
      </c>
      <c r="AA5" s="352">
        <v>50.73</v>
      </c>
      <c r="AB5" s="93">
        <v>1105900</v>
      </c>
      <c r="AC5" s="237">
        <v>50.73</v>
      </c>
      <c r="AD5" s="2">
        <f t="shared" si="0"/>
        <v>0.76000000000000512</v>
      </c>
      <c r="AE5" s="134">
        <f t="shared" si="1"/>
        <v>-9.9531615925059214E-3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50.89</v>
      </c>
      <c r="Y6" s="39">
        <v>51.37</v>
      </c>
      <c r="Z6" s="39">
        <v>50.89</v>
      </c>
      <c r="AA6" s="352">
        <v>51.24</v>
      </c>
      <c r="AB6" s="93">
        <v>754000</v>
      </c>
      <c r="AC6" s="237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2">
        <v>51.09</v>
      </c>
      <c r="Y7" s="39">
        <v>51.3</v>
      </c>
      <c r="Z7" s="39">
        <v>50.65</v>
      </c>
      <c r="AA7" s="352">
        <v>50.86</v>
      </c>
      <c r="AB7" s="93">
        <v>1237800</v>
      </c>
      <c r="AC7" s="237">
        <v>50.86</v>
      </c>
      <c r="AD7" s="2">
        <f t="shared" si="0"/>
        <v>0.64999999999999858</v>
      </c>
      <c r="AE7" s="134">
        <f t="shared" si="1"/>
        <v>-8.5769980506822385E-3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51.8</v>
      </c>
      <c r="Y8" s="39">
        <v>52.1</v>
      </c>
      <c r="Z8" s="39">
        <v>51.13</v>
      </c>
      <c r="AA8" s="352">
        <v>51.3</v>
      </c>
      <c r="AB8" s="93">
        <v>1548100</v>
      </c>
      <c r="AC8" s="237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50.15</v>
      </c>
      <c r="Y9" s="39">
        <v>51.17</v>
      </c>
      <c r="Z9" s="39">
        <v>49.92</v>
      </c>
      <c r="AA9" s="352">
        <v>51.02</v>
      </c>
      <c r="AB9" s="93">
        <v>887400</v>
      </c>
      <c r="AC9" s="237">
        <v>51.02</v>
      </c>
      <c r="AD9" s="2">
        <f t="shared" si="0"/>
        <v>1.25</v>
      </c>
      <c r="AE9" s="134">
        <f t="shared" si="1"/>
        <v>1.0697305863708539E-2</v>
      </c>
      <c r="AK9" s="228"/>
      <c r="AN9" s="228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2">
        <v>51.34</v>
      </c>
      <c r="Y10" s="39">
        <v>51.53</v>
      </c>
      <c r="Z10" s="39">
        <v>50.3</v>
      </c>
      <c r="AA10" s="352">
        <v>50.48</v>
      </c>
      <c r="AB10" s="93">
        <v>1306900</v>
      </c>
      <c r="AC10" s="237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50.98</v>
      </c>
      <c r="Y11" s="39">
        <v>51.67</v>
      </c>
      <c r="Z11" s="39">
        <v>50.88</v>
      </c>
      <c r="AA11" s="352">
        <v>51.11</v>
      </c>
      <c r="AB11" s="93">
        <v>1081500</v>
      </c>
      <c r="AC11" s="237">
        <v>51.11</v>
      </c>
      <c r="AD11" s="2">
        <f t="shared" si="0"/>
        <v>0.78999999999999915</v>
      </c>
      <c r="AE11" s="134">
        <f t="shared" si="1"/>
        <v>2.7467137531882457E-3</v>
      </c>
      <c r="AK11" s="228"/>
      <c r="AN11" s="228"/>
    </row>
    <row r="12" spans="1:40" x14ac:dyDescent="0.25">
      <c r="W12" s="92">
        <v>42816</v>
      </c>
      <c r="X12" s="352">
        <v>50.11</v>
      </c>
      <c r="Y12" s="39">
        <v>51.13</v>
      </c>
      <c r="Z12" s="39">
        <v>49.55</v>
      </c>
      <c r="AA12" s="352">
        <v>50.97</v>
      </c>
      <c r="AB12" s="93">
        <v>1129000</v>
      </c>
      <c r="AC12" s="237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2">
        <v>51.3</v>
      </c>
      <c r="Y13" s="39">
        <v>51.72</v>
      </c>
      <c r="Z13" s="39">
        <v>49.95</v>
      </c>
      <c r="AA13" s="352">
        <v>50</v>
      </c>
      <c r="AB13" s="93">
        <v>1150500</v>
      </c>
      <c r="AC13" s="237">
        <v>50</v>
      </c>
      <c r="AD13" s="2">
        <f t="shared" si="0"/>
        <v>1.769999999999996</v>
      </c>
      <c r="AE13" s="134">
        <f t="shared" si="1"/>
        <v>-2.1526418786692814E-2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51.36</v>
      </c>
      <c r="Y14" s="39">
        <v>51.53</v>
      </c>
      <c r="Z14" s="39">
        <v>50.81</v>
      </c>
      <c r="AA14" s="352">
        <v>51.1</v>
      </c>
      <c r="AB14" s="93">
        <v>838900</v>
      </c>
      <c r="AC14" s="237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2">
        <v>51.71</v>
      </c>
      <c r="Y15" s="39">
        <v>51.85</v>
      </c>
      <c r="Z15" s="39">
        <v>51.25</v>
      </c>
      <c r="AA15" s="352">
        <v>51.31</v>
      </c>
      <c r="AB15" s="93">
        <v>1236400</v>
      </c>
      <c r="AC15" s="237">
        <v>51.31</v>
      </c>
      <c r="AD15" s="2">
        <f t="shared" si="0"/>
        <v>0.60000000000000142</v>
      </c>
      <c r="AE15" s="134">
        <f t="shared" si="1"/>
        <v>-2.3332685203187875E-3</v>
      </c>
      <c r="AK15" s="228"/>
      <c r="AN15" s="228"/>
    </row>
    <row r="16" spans="1:40" x14ac:dyDescent="0.25">
      <c r="W16" s="92">
        <v>42810</v>
      </c>
      <c r="X16" s="352">
        <v>51.35</v>
      </c>
      <c r="Y16" s="39">
        <v>51.45</v>
      </c>
      <c r="Z16" s="39">
        <v>51.06</v>
      </c>
      <c r="AA16" s="352">
        <v>51.43</v>
      </c>
      <c r="AB16" s="93">
        <v>775100</v>
      </c>
      <c r="AC16" s="237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2">
        <v>51.05</v>
      </c>
      <c r="Y17" s="39">
        <v>51.49</v>
      </c>
      <c r="Z17" s="39">
        <v>50.71</v>
      </c>
      <c r="AA17" s="352">
        <v>51.41</v>
      </c>
      <c r="AB17" s="93">
        <v>1141500</v>
      </c>
      <c r="AC17" s="237">
        <v>51.41</v>
      </c>
      <c r="AD17" s="2">
        <f t="shared" si="0"/>
        <v>0.78000000000000114</v>
      </c>
      <c r="AE17" s="134">
        <f t="shared" si="1"/>
        <v>8.8304552590265928E-3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51.21</v>
      </c>
      <c r="Y18" s="39">
        <v>51.23</v>
      </c>
      <c r="Z18" s="39">
        <v>50.4</v>
      </c>
      <c r="AA18" s="352">
        <v>50.96</v>
      </c>
      <c r="AB18" s="93">
        <v>1066000</v>
      </c>
      <c r="AC18" s="237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2">
        <v>51.83</v>
      </c>
      <c r="Y19" s="39">
        <v>51.83</v>
      </c>
      <c r="Z19" s="39">
        <v>51.11</v>
      </c>
      <c r="AA19" s="352">
        <v>51.32</v>
      </c>
      <c r="AB19" s="93">
        <v>1086300</v>
      </c>
      <c r="AC19" s="237">
        <v>51.32</v>
      </c>
      <c r="AD19" s="2">
        <f t="shared" si="0"/>
        <v>0.71999999999999886</v>
      </c>
      <c r="AE19" s="134">
        <f t="shared" si="1"/>
        <v>4.3052837573385183E-3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50.23</v>
      </c>
      <c r="Y20" s="39">
        <v>51.22</v>
      </c>
      <c r="Z20" s="39">
        <v>50.07</v>
      </c>
      <c r="AA20" s="352">
        <v>51.1</v>
      </c>
      <c r="AB20" s="93">
        <v>1157000</v>
      </c>
      <c r="AC20" s="237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7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5">
        <f t="shared" ref="H21:H26" si="4">(E21-D21)/D21</f>
        <v>-5.190311418685113E-3</v>
      </c>
      <c r="I21" s="39"/>
      <c r="W21" s="92">
        <v>42803</v>
      </c>
      <c r="X21" s="352">
        <v>49.77</v>
      </c>
      <c r="Y21" s="39">
        <v>50.06</v>
      </c>
      <c r="Z21" s="39">
        <v>49.48</v>
      </c>
      <c r="AA21" s="352">
        <v>49.92</v>
      </c>
      <c r="AB21" s="93">
        <v>765700</v>
      </c>
      <c r="AC21" s="237">
        <v>49.92</v>
      </c>
      <c r="AD21" s="2">
        <f t="shared" si="0"/>
        <v>0.5800000000000054</v>
      </c>
      <c r="AE21" s="134">
        <f t="shared" si="1"/>
        <v>8.0775444264942209E-3</v>
      </c>
      <c r="AK21" s="228"/>
      <c r="AN21" s="228"/>
    </row>
    <row r="22" spans="1:40" x14ac:dyDescent="0.25">
      <c r="B22" s="187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5">
        <f t="shared" si="4"/>
        <v>3.085351787773934E-2</v>
      </c>
      <c r="I22" s="39"/>
      <c r="W22" s="92">
        <v>42802</v>
      </c>
      <c r="X22" s="352">
        <v>49.59</v>
      </c>
      <c r="Y22" s="39">
        <v>49.83</v>
      </c>
      <c r="Z22" s="39">
        <v>49.4</v>
      </c>
      <c r="AA22" s="352">
        <v>49.52</v>
      </c>
      <c r="AB22" s="93">
        <v>776700</v>
      </c>
      <c r="AC22" s="237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7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5">
        <f t="shared" si="4"/>
        <v>1.9031141868512218E-2</v>
      </c>
      <c r="I23" s="39"/>
      <c r="W23" s="92">
        <v>42801</v>
      </c>
      <c r="X23" s="352">
        <v>49.56</v>
      </c>
      <c r="Y23" s="39">
        <v>49.76</v>
      </c>
      <c r="Z23" s="39">
        <v>49.05</v>
      </c>
      <c r="AA23" s="352">
        <v>49.42</v>
      </c>
      <c r="AB23" s="93">
        <v>806900</v>
      </c>
      <c r="AC23" s="237">
        <v>49.42</v>
      </c>
      <c r="AD23" s="2">
        <f t="shared" si="0"/>
        <v>0.71000000000000085</v>
      </c>
      <c r="AE23" s="134">
        <f t="shared" si="1"/>
        <v>-6.8327974276526371E-3</v>
      </c>
      <c r="AK23" s="228"/>
    </row>
    <row r="24" spans="1:40" x14ac:dyDescent="0.25">
      <c r="B24" s="187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5">
        <f t="shared" si="4"/>
        <v>4.7001153402537563E-2</v>
      </c>
      <c r="I24" s="39"/>
      <c r="W24" s="92">
        <v>42800</v>
      </c>
      <c r="X24" s="352">
        <v>49.9</v>
      </c>
      <c r="Y24" s="39">
        <v>50</v>
      </c>
      <c r="Z24" s="39">
        <v>49.16</v>
      </c>
      <c r="AA24" s="352">
        <v>49.76</v>
      </c>
      <c r="AB24" s="93">
        <v>1200800</v>
      </c>
      <c r="AC24" s="237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7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5">
        <f t="shared" si="4"/>
        <v>7.1799307958477568E-2</v>
      </c>
      <c r="I25" s="39"/>
      <c r="W25" s="92">
        <v>42797</v>
      </c>
      <c r="X25" s="352">
        <v>51</v>
      </c>
      <c r="Y25" s="39">
        <v>51</v>
      </c>
      <c r="Z25" s="39">
        <v>49.79</v>
      </c>
      <c r="AA25" s="352">
        <v>50.11</v>
      </c>
      <c r="AB25" s="93">
        <v>849100</v>
      </c>
      <c r="AC25" s="237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7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5">
        <f t="shared" si="4"/>
        <v>8.7081891580161566E-2</v>
      </c>
      <c r="I26" s="39"/>
      <c r="W26" s="92">
        <v>42796</v>
      </c>
      <c r="X26" s="352">
        <v>50.79</v>
      </c>
      <c r="Y26" s="39">
        <v>51.25</v>
      </c>
      <c r="Z26" s="39">
        <v>50.63</v>
      </c>
      <c r="AA26" s="352">
        <v>50.98</v>
      </c>
      <c r="AB26" s="93">
        <v>878700</v>
      </c>
      <c r="AC26" s="237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7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5">
        <f>(E27-D27)/D27</f>
        <v>0.11418685121107269</v>
      </c>
      <c r="I27" s="39"/>
      <c r="W27" s="92">
        <v>42795</v>
      </c>
      <c r="X27" s="352">
        <v>51.12</v>
      </c>
      <c r="Y27" s="39">
        <v>51.61</v>
      </c>
      <c r="Z27" s="39">
        <v>50.42</v>
      </c>
      <c r="AA27" s="352">
        <v>51.05</v>
      </c>
      <c r="AB27" s="93">
        <v>1192400</v>
      </c>
      <c r="AC27" s="237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7">
        <v>42663</v>
      </c>
      <c r="C28" s="10">
        <v>0</v>
      </c>
      <c r="D28" s="39"/>
      <c r="E28" s="39"/>
      <c r="F28" s="39">
        <v>192.96</v>
      </c>
      <c r="G28" s="39"/>
      <c r="H28" s="225"/>
      <c r="I28" s="39"/>
      <c r="W28" s="92">
        <v>42794</v>
      </c>
      <c r="X28" s="352">
        <v>50.82</v>
      </c>
      <c r="Y28" s="39">
        <v>51.2</v>
      </c>
      <c r="Z28" s="39">
        <v>50.45</v>
      </c>
      <c r="AA28" s="352">
        <v>50.7</v>
      </c>
      <c r="AB28" s="93">
        <v>932200</v>
      </c>
      <c r="AC28" s="237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7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5">
        <f>(E29-D29)/D29</f>
        <v>-2.3783488244942523E-2</v>
      </c>
      <c r="I29" s="39"/>
      <c r="W29" s="92">
        <v>42793</v>
      </c>
      <c r="X29" s="352">
        <v>49.93</v>
      </c>
      <c r="Y29" s="39">
        <v>50.83</v>
      </c>
      <c r="Z29" s="39">
        <v>49.57</v>
      </c>
      <c r="AA29" s="352">
        <v>50.77</v>
      </c>
      <c r="AB29" s="93">
        <v>1326600</v>
      </c>
      <c r="AC29" s="237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7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5">
        <f>(E30-D30)/D30</f>
        <v>6.2602515035538528E-2</v>
      </c>
      <c r="I30" s="39"/>
      <c r="W30" s="92">
        <v>42790</v>
      </c>
      <c r="X30" s="352">
        <v>50.51</v>
      </c>
      <c r="Y30" s="39">
        <v>50.63</v>
      </c>
      <c r="Z30" s="39">
        <v>49.77</v>
      </c>
      <c r="AA30" s="352">
        <v>50.02</v>
      </c>
      <c r="AB30" s="93">
        <v>1442900</v>
      </c>
      <c r="AC30" s="237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7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5">
        <f>(E31-D31)/D31</f>
        <v>0.10934937124111536</v>
      </c>
      <c r="I31" s="39"/>
      <c r="W31" s="92">
        <v>42789</v>
      </c>
      <c r="X31" s="352">
        <v>52.48</v>
      </c>
      <c r="Y31" s="39">
        <v>52.5</v>
      </c>
      <c r="Z31" s="39">
        <v>50.61</v>
      </c>
      <c r="AA31" s="352">
        <v>50.68</v>
      </c>
      <c r="AB31" s="93">
        <v>1869800</v>
      </c>
      <c r="AC31" s="237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7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5">
        <f>(E32-D32)/D32</f>
        <v>6.205576817933306E-2</v>
      </c>
      <c r="I32" s="39"/>
      <c r="W32" s="92">
        <v>42788</v>
      </c>
      <c r="X32" s="352">
        <v>49.24</v>
      </c>
      <c r="Y32" s="39">
        <v>52.14</v>
      </c>
      <c r="Z32" s="39">
        <v>48.68</v>
      </c>
      <c r="AA32" s="352">
        <v>51.64</v>
      </c>
      <c r="AB32" s="93">
        <v>4043000</v>
      </c>
      <c r="AC32" s="237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7">
        <v>42710</v>
      </c>
      <c r="C33" s="10">
        <v>0</v>
      </c>
      <c r="D33" s="39"/>
      <c r="E33" s="39"/>
      <c r="F33" s="39">
        <v>234.96</v>
      </c>
      <c r="G33" s="39"/>
      <c r="H33" s="225"/>
      <c r="I33" s="39"/>
      <c r="W33" s="92">
        <v>42787</v>
      </c>
      <c r="X33" s="352">
        <v>47.74</v>
      </c>
      <c r="Y33" s="39">
        <v>48.52</v>
      </c>
      <c r="Z33" s="39">
        <v>47.74</v>
      </c>
      <c r="AA33" s="352">
        <v>48.2</v>
      </c>
      <c r="AB33" s="93">
        <v>1801900</v>
      </c>
      <c r="AC33" s="237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47.62</v>
      </c>
      <c r="Y34" s="39">
        <v>47.85</v>
      </c>
      <c r="Z34" s="39">
        <v>47.27</v>
      </c>
      <c r="AA34" s="352">
        <v>47.69</v>
      </c>
      <c r="AB34" s="93">
        <v>1653700</v>
      </c>
      <c r="AC34" s="237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47.95</v>
      </c>
      <c r="Y35" s="39">
        <v>48.14</v>
      </c>
      <c r="Z35" s="39">
        <v>47.24</v>
      </c>
      <c r="AA35" s="352">
        <v>47.63</v>
      </c>
      <c r="AB35" s="93">
        <v>1236300</v>
      </c>
      <c r="AC35" s="237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2">
        <v>47.66</v>
      </c>
      <c r="Y36" s="39">
        <v>48.12</v>
      </c>
      <c r="Z36" s="39">
        <v>47.01</v>
      </c>
      <c r="AA36" s="352">
        <v>47.92</v>
      </c>
      <c r="AB36" s="93">
        <v>1463000</v>
      </c>
      <c r="AC36" s="237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2">
        <v>47.82</v>
      </c>
      <c r="Y37" s="39">
        <v>47.97</v>
      </c>
      <c r="Z37" s="39">
        <v>47.58</v>
      </c>
      <c r="AA37" s="352">
        <v>47.77</v>
      </c>
      <c r="AB37" s="93">
        <v>1048700</v>
      </c>
      <c r="AC37" s="237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48.02</v>
      </c>
      <c r="Y38" s="39">
        <v>48.1</v>
      </c>
      <c r="Z38" s="39">
        <v>47.56</v>
      </c>
      <c r="AA38" s="352">
        <v>47.87</v>
      </c>
      <c r="AB38" s="93">
        <v>1449900</v>
      </c>
      <c r="AC38" s="237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7" t="s">
        <v>269</v>
      </c>
      <c r="B39" s="258">
        <v>42621</v>
      </c>
      <c r="C39" s="253">
        <v>50</v>
      </c>
      <c r="D39" s="254">
        <v>34.68</v>
      </c>
      <c r="E39" s="254">
        <v>0</v>
      </c>
      <c r="F39" s="254">
        <f>D39*C39+E39</f>
        <v>1734</v>
      </c>
      <c r="G39" s="258">
        <v>42663</v>
      </c>
      <c r="H39" s="259">
        <v>50</v>
      </c>
      <c r="I39" s="254">
        <v>38.54</v>
      </c>
      <c r="J39" s="254">
        <v>0.04</v>
      </c>
      <c r="K39" s="254">
        <f>H39*I39-J39</f>
        <v>1926.96</v>
      </c>
      <c r="L39" s="258"/>
      <c r="M39" s="254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352">
        <v>48.43</v>
      </c>
      <c r="Y39" s="39">
        <v>48.91</v>
      </c>
      <c r="Z39" s="39">
        <v>47.54</v>
      </c>
      <c r="AA39" s="352">
        <v>47.8</v>
      </c>
      <c r="AB39" s="93">
        <v>1611000</v>
      </c>
      <c r="AC39" s="237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0" t="s">
        <v>71</v>
      </c>
      <c r="B40" s="258">
        <v>42670</v>
      </c>
      <c r="C40" s="253">
        <v>50</v>
      </c>
      <c r="D40" s="254">
        <v>36.58</v>
      </c>
      <c r="E40" s="254">
        <v>0</v>
      </c>
      <c r="F40" s="254">
        <f>C40*D40+E40</f>
        <v>1829</v>
      </c>
      <c r="G40" s="258">
        <v>42710</v>
      </c>
      <c r="H40" s="259">
        <v>50</v>
      </c>
      <c r="I40" s="254">
        <v>41.28</v>
      </c>
      <c r="J40" s="254">
        <v>0.04</v>
      </c>
      <c r="K40" s="254">
        <f>H40*I40-J40</f>
        <v>2063.96</v>
      </c>
      <c r="L40" s="253"/>
      <c r="M40" s="253"/>
      <c r="O40" s="2"/>
      <c r="P40" s="81">
        <v>1.1000000000000001</v>
      </c>
      <c r="Q40" s="81">
        <f>P40*$Q$4</f>
        <v>58.344000000000001</v>
      </c>
      <c r="R40" s="33"/>
      <c r="T40" s="95" t="s">
        <v>97</v>
      </c>
      <c r="U40" s="126">
        <v>49.76</v>
      </c>
      <c r="W40" s="92">
        <v>42775</v>
      </c>
      <c r="X40" s="352">
        <v>47.81</v>
      </c>
      <c r="Y40" s="39">
        <v>48.31</v>
      </c>
      <c r="Z40" s="39">
        <v>47.7</v>
      </c>
      <c r="AA40" s="352">
        <v>48.06</v>
      </c>
      <c r="AB40" s="93">
        <v>1249200</v>
      </c>
      <c r="AC40" s="237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5">P41*$Q$4</f>
        <v>57.813600000000001</v>
      </c>
      <c r="R41" s="33"/>
      <c r="T41" s="85" t="s">
        <v>98</v>
      </c>
      <c r="U41" s="127">
        <v>49.93</v>
      </c>
      <c r="W41" s="92">
        <v>42774</v>
      </c>
      <c r="X41" s="352">
        <v>47.88</v>
      </c>
      <c r="Y41" s="39">
        <v>48.14</v>
      </c>
      <c r="Z41" s="39">
        <v>47.51</v>
      </c>
      <c r="AA41" s="352">
        <v>47.86</v>
      </c>
      <c r="AB41" s="93">
        <v>1065800</v>
      </c>
      <c r="AC41" s="237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5"/>
        <v>57.283200000000001</v>
      </c>
      <c r="R42" s="33"/>
      <c r="T42" s="85" t="s">
        <v>99</v>
      </c>
      <c r="U42" s="127" t="s">
        <v>622</v>
      </c>
      <c r="W42" s="92">
        <v>42773</v>
      </c>
      <c r="X42" s="352">
        <v>47.58</v>
      </c>
      <c r="Y42" s="39">
        <v>48.09</v>
      </c>
      <c r="Z42" s="39">
        <v>47.47</v>
      </c>
      <c r="AA42" s="352">
        <v>47.7</v>
      </c>
      <c r="AB42" s="93">
        <v>1477200</v>
      </c>
      <c r="AC42" s="237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5"/>
        <v>56.752800000000001</v>
      </c>
      <c r="R43" s="81"/>
      <c r="T43" s="85" t="s">
        <v>100</v>
      </c>
      <c r="U43" s="127" t="s">
        <v>623</v>
      </c>
      <c r="W43" s="92">
        <v>42772</v>
      </c>
      <c r="X43" s="352">
        <v>47.76</v>
      </c>
      <c r="Y43" s="39">
        <v>48.02</v>
      </c>
      <c r="Z43" s="39">
        <v>47.28</v>
      </c>
      <c r="AA43" s="352">
        <v>47.52</v>
      </c>
      <c r="AB43" s="93">
        <v>1139100</v>
      </c>
      <c r="AC43" s="237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5"/>
        <v>56.2224</v>
      </c>
      <c r="R44" s="81"/>
      <c r="T44" s="85" t="s">
        <v>101</v>
      </c>
      <c r="U44" s="127">
        <v>54.65</v>
      </c>
      <c r="W44" s="92">
        <v>42769</v>
      </c>
      <c r="X44" s="352">
        <v>48.13</v>
      </c>
      <c r="Y44" s="39">
        <v>48.36</v>
      </c>
      <c r="Z44" s="39">
        <v>47.41</v>
      </c>
      <c r="AA44" s="352">
        <v>47.74</v>
      </c>
      <c r="AB44" s="93">
        <v>760800</v>
      </c>
      <c r="AC44" s="237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5"/>
        <v>55.692</v>
      </c>
      <c r="R45" s="81"/>
      <c r="T45" s="85" t="s">
        <v>102</v>
      </c>
      <c r="U45" s="127">
        <v>1.56863</v>
      </c>
      <c r="W45" s="92">
        <v>42768</v>
      </c>
      <c r="X45" s="352">
        <v>48.17</v>
      </c>
      <c r="Y45" s="39">
        <v>48.5</v>
      </c>
      <c r="Z45" s="39">
        <v>47.55</v>
      </c>
      <c r="AA45" s="352">
        <v>47.66</v>
      </c>
      <c r="AB45" s="93">
        <v>694700</v>
      </c>
      <c r="AC45" s="237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5"/>
        <v>55.1616</v>
      </c>
      <c r="R46" s="81"/>
      <c r="T46" s="85" t="s">
        <v>121</v>
      </c>
      <c r="U46" s="226" t="s">
        <v>426</v>
      </c>
      <c r="W46" s="92">
        <v>42767</v>
      </c>
      <c r="X46" s="352">
        <v>47.3</v>
      </c>
      <c r="Y46" s="39">
        <v>48.45</v>
      </c>
      <c r="Z46" s="39">
        <v>46.83</v>
      </c>
      <c r="AA46" s="352">
        <v>48.08</v>
      </c>
      <c r="AB46" s="93">
        <v>1288500</v>
      </c>
      <c r="AC46" s="237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5"/>
        <v>54.6312</v>
      </c>
      <c r="R47" s="81"/>
      <c r="T47" s="85"/>
      <c r="U47" s="127"/>
      <c r="W47" s="92">
        <v>42766</v>
      </c>
      <c r="X47" s="352">
        <v>47.88</v>
      </c>
      <c r="Y47" s="39">
        <v>48.11</v>
      </c>
      <c r="Z47" s="39">
        <v>46.83</v>
      </c>
      <c r="AA47" s="352">
        <v>47</v>
      </c>
      <c r="AB47" s="93">
        <v>1625200</v>
      </c>
      <c r="AC47" s="237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5"/>
        <v>54.1008</v>
      </c>
      <c r="R48" s="81"/>
      <c r="T48" s="85" t="s">
        <v>104</v>
      </c>
      <c r="U48" s="127" t="s">
        <v>624</v>
      </c>
      <c r="W48" s="92">
        <v>42765</v>
      </c>
      <c r="X48" s="352">
        <v>48.8</v>
      </c>
      <c r="Y48" s="39">
        <v>48.88</v>
      </c>
      <c r="Z48" s="39">
        <v>47.94</v>
      </c>
      <c r="AA48" s="352">
        <v>48.03</v>
      </c>
      <c r="AB48" s="93">
        <v>1323500</v>
      </c>
      <c r="AC48" s="237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5"/>
        <v>53.570399999999999</v>
      </c>
      <c r="R49" s="81"/>
      <c r="T49" s="85" t="s">
        <v>105</v>
      </c>
      <c r="U49" s="127" t="s">
        <v>552</v>
      </c>
      <c r="W49" s="92">
        <v>42762</v>
      </c>
      <c r="X49" s="352">
        <v>49.35</v>
      </c>
      <c r="Y49" s="39">
        <v>49.56</v>
      </c>
      <c r="Z49" s="39">
        <v>48.61</v>
      </c>
      <c r="AA49" s="352">
        <v>49.02</v>
      </c>
      <c r="AB49" s="93">
        <v>945300</v>
      </c>
      <c r="AC49" s="237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5"/>
        <v>53.04</v>
      </c>
      <c r="R50" s="81"/>
      <c r="T50" s="85" t="s">
        <v>106</v>
      </c>
      <c r="U50" s="128">
        <v>1141622</v>
      </c>
      <c r="W50" s="92">
        <v>42761</v>
      </c>
      <c r="X50" s="352">
        <v>49.22</v>
      </c>
      <c r="Y50" s="39">
        <v>50.05</v>
      </c>
      <c r="Z50" s="39">
        <v>48.77</v>
      </c>
      <c r="AA50" s="352">
        <v>49.33</v>
      </c>
      <c r="AB50" s="93">
        <v>2613500</v>
      </c>
      <c r="AC50" s="237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5"/>
        <v>52.509599999999999</v>
      </c>
      <c r="R51" s="81"/>
      <c r="T51" s="85" t="s">
        <v>109</v>
      </c>
      <c r="U51" s="128">
        <v>1194830</v>
      </c>
      <c r="W51" s="92">
        <v>42760</v>
      </c>
      <c r="X51" s="352">
        <v>47.22</v>
      </c>
      <c r="Y51" s="39">
        <v>48.24</v>
      </c>
      <c r="Z51" s="39">
        <v>46.96</v>
      </c>
      <c r="AA51" s="352">
        <v>48.09</v>
      </c>
      <c r="AB51" s="93">
        <v>1275800</v>
      </c>
      <c r="AC51" s="237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5"/>
        <v>51.979199999999999</v>
      </c>
      <c r="R52" s="81"/>
      <c r="T52" s="85" t="s">
        <v>107</v>
      </c>
      <c r="U52" s="127" t="s">
        <v>625</v>
      </c>
      <c r="W52" s="92">
        <v>42759</v>
      </c>
      <c r="X52" s="352">
        <v>45.92</v>
      </c>
      <c r="Y52" s="39">
        <v>46.95</v>
      </c>
      <c r="Z52" s="39">
        <v>45.83</v>
      </c>
      <c r="AA52" s="352">
        <v>46.84</v>
      </c>
      <c r="AB52" s="93">
        <v>1239400</v>
      </c>
      <c r="AC52" s="237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5"/>
        <v>51.448799999999999</v>
      </c>
      <c r="R53" s="81"/>
      <c r="T53" s="85" t="s">
        <v>110</v>
      </c>
      <c r="U53" s="127">
        <v>17.91</v>
      </c>
      <c r="W53" s="92">
        <v>42758</v>
      </c>
      <c r="X53" s="352">
        <v>45.47</v>
      </c>
      <c r="Y53" s="39">
        <v>46.15</v>
      </c>
      <c r="Z53" s="39">
        <v>45.15</v>
      </c>
      <c r="AA53" s="352">
        <v>46</v>
      </c>
      <c r="AB53" s="93">
        <v>826800</v>
      </c>
      <c r="AC53" s="237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5"/>
        <v>50.918399999999998</v>
      </c>
      <c r="R54" s="81"/>
      <c r="T54" s="85" t="s">
        <v>111</v>
      </c>
      <c r="U54" s="127">
        <v>2.78</v>
      </c>
      <c r="W54" s="92">
        <v>42755</v>
      </c>
      <c r="X54" s="352">
        <v>45.93</v>
      </c>
      <c r="Y54" s="39">
        <v>46.41</v>
      </c>
      <c r="Z54" s="39">
        <v>45.41</v>
      </c>
      <c r="AA54" s="352">
        <v>45.63</v>
      </c>
      <c r="AB54" s="93">
        <v>736000</v>
      </c>
      <c r="AC54" s="237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50.387999999999998</v>
      </c>
      <c r="R55" s="81"/>
      <c r="T55" s="85" t="s">
        <v>108</v>
      </c>
      <c r="U55" s="127" t="s">
        <v>122</v>
      </c>
      <c r="W55" s="92">
        <v>42754</v>
      </c>
      <c r="X55" s="352">
        <v>45.76</v>
      </c>
      <c r="Y55" s="39">
        <v>46.36</v>
      </c>
      <c r="Z55" s="39">
        <v>45.39</v>
      </c>
      <c r="AA55" s="352">
        <v>45.62</v>
      </c>
      <c r="AB55" s="93">
        <v>1031300</v>
      </c>
      <c r="AC55" s="237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49.857599999999998</v>
      </c>
      <c r="R56" s="81"/>
      <c r="W56" s="92">
        <v>42753</v>
      </c>
      <c r="X56" s="352">
        <v>44.97</v>
      </c>
      <c r="Y56" s="39">
        <v>45.77</v>
      </c>
      <c r="Z56" s="39">
        <v>44.56</v>
      </c>
      <c r="AA56" s="352">
        <v>45.67</v>
      </c>
      <c r="AB56" s="93">
        <v>943000</v>
      </c>
      <c r="AC56" s="237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49.327200000000005</v>
      </c>
      <c r="R57" s="81"/>
      <c r="W57" s="92">
        <v>42752</v>
      </c>
      <c r="X57" s="352">
        <v>45.08</v>
      </c>
      <c r="Y57" s="39">
        <v>45.22</v>
      </c>
      <c r="Z57" s="39">
        <v>44.2</v>
      </c>
      <c r="AA57" s="352">
        <v>44.74</v>
      </c>
      <c r="AB57" s="93">
        <v>905400</v>
      </c>
      <c r="AC57" s="237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48.796800000000005</v>
      </c>
      <c r="R58" s="81"/>
      <c r="W58" s="92">
        <v>42748</v>
      </c>
      <c r="X58" s="352">
        <v>45.49</v>
      </c>
      <c r="Y58" s="39">
        <v>45.49</v>
      </c>
      <c r="Z58" s="39">
        <v>44.84</v>
      </c>
      <c r="AA58" s="352">
        <v>44.95</v>
      </c>
      <c r="AB58" s="93">
        <v>547700</v>
      </c>
      <c r="AC58" s="237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48.266400000000004</v>
      </c>
      <c r="R59" s="81"/>
      <c r="W59" s="92">
        <v>42747</v>
      </c>
      <c r="X59" s="352">
        <v>45.47</v>
      </c>
      <c r="Y59" s="39">
        <v>45.83</v>
      </c>
      <c r="Z59" s="39">
        <v>44.67</v>
      </c>
      <c r="AA59" s="352">
        <v>45.35</v>
      </c>
      <c r="AB59" s="93">
        <v>731500</v>
      </c>
      <c r="AC59" s="237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47.735999999999997</v>
      </c>
      <c r="R60" s="81"/>
      <c r="W60" s="92">
        <v>42746</v>
      </c>
      <c r="X60" s="352">
        <v>45.01</v>
      </c>
      <c r="Y60" s="39">
        <v>45.82</v>
      </c>
      <c r="Z60" s="39">
        <v>44.72</v>
      </c>
      <c r="AA60" s="352">
        <v>45.75</v>
      </c>
      <c r="AB60" s="93">
        <v>870500</v>
      </c>
      <c r="AC60" s="237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2">
        <v>44.33</v>
      </c>
      <c r="Y61" s="39">
        <v>45.36</v>
      </c>
      <c r="Z61" s="39">
        <v>44.33</v>
      </c>
      <c r="AA61" s="352">
        <v>45.22</v>
      </c>
      <c r="AB61" s="93">
        <v>1065500</v>
      </c>
      <c r="AC61" s="237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2">
        <v>44.14</v>
      </c>
      <c r="Y62" s="39">
        <v>44.7</v>
      </c>
      <c r="Z62" s="39">
        <v>43.9</v>
      </c>
      <c r="AA62" s="352">
        <v>44.39</v>
      </c>
      <c r="AB62" s="93">
        <v>855800</v>
      </c>
      <c r="AC62" s="237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2">
        <v>44.75</v>
      </c>
      <c r="Y63" s="39">
        <v>44.92</v>
      </c>
      <c r="Z63" s="39">
        <v>44.06</v>
      </c>
      <c r="AA63" s="352">
        <v>44.25</v>
      </c>
      <c r="AB63" s="93">
        <v>932900</v>
      </c>
      <c r="AC63" s="237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2">
        <v>44.51</v>
      </c>
      <c r="Y64" s="39">
        <v>44.79</v>
      </c>
      <c r="Z64" s="39">
        <v>44.02</v>
      </c>
      <c r="AA64" s="352">
        <v>44.55</v>
      </c>
      <c r="AB64" s="93">
        <v>933700</v>
      </c>
      <c r="AC64" s="237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2">
        <v>43.1</v>
      </c>
      <c r="Y65" s="39">
        <v>44.89</v>
      </c>
      <c r="Z65" s="39">
        <v>42.78</v>
      </c>
      <c r="AA65" s="352">
        <v>44.77</v>
      </c>
      <c r="AB65" s="93">
        <v>1852500</v>
      </c>
      <c r="AC65" s="237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2">
        <v>43.13</v>
      </c>
      <c r="Y66" s="39">
        <v>43.87</v>
      </c>
      <c r="Z66" s="39">
        <v>42.64</v>
      </c>
      <c r="AA66" s="352">
        <v>42.79</v>
      </c>
      <c r="AB66" s="93">
        <v>1618500</v>
      </c>
      <c r="AC66" s="237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2">
        <v>42.62</v>
      </c>
      <c r="Y67" s="39">
        <v>42.97</v>
      </c>
      <c r="Z67" s="39">
        <v>42.1</v>
      </c>
      <c r="AA67" s="352">
        <v>42.53</v>
      </c>
      <c r="AB67" s="93">
        <v>856900</v>
      </c>
      <c r="AC67" s="237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3:31" x14ac:dyDescent="0.25"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37" priority="17">
      <formula>F28&gt;0</formula>
    </cfRule>
    <cfRule type="expression" dxfId="736" priority="18">
      <formula>F28&lt;0</formula>
    </cfRule>
  </conditionalFormatting>
  <conditionalFormatting sqref="F28 F33:F35">
    <cfRule type="expression" dxfId="735" priority="19">
      <formula>F28&gt;0</formula>
    </cfRule>
    <cfRule type="expression" dxfId="734" priority="20">
      <formula>F28&lt;0</formula>
    </cfRule>
  </conditionalFormatting>
  <conditionalFormatting sqref="H28 H33:H35">
    <cfRule type="expression" dxfId="733" priority="15">
      <formula>H28&gt;0</formula>
    </cfRule>
    <cfRule type="expression" dxfId="732" priority="16">
      <formula>H28&lt;0</formula>
    </cfRule>
  </conditionalFormatting>
  <conditionalFormatting sqref="F21:F27">
    <cfRule type="expression" dxfId="731" priority="13">
      <formula>F21&gt;0</formula>
    </cfRule>
    <cfRule type="expression" dxfId="730" priority="14">
      <formula>F21&lt;0</formula>
    </cfRule>
  </conditionalFormatting>
  <conditionalFormatting sqref="H21:H27">
    <cfRule type="expression" dxfId="729" priority="11">
      <formula>H21&gt;0</formula>
    </cfRule>
    <cfRule type="expression" dxfId="728" priority="12">
      <formula>H21&lt;0</formula>
    </cfRule>
  </conditionalFormatting>
  <conditionalFormatting sqref="Q8">
    <cfRule type="expression" dxfId="727" priority="7">
      <formula>Q8&gt;0</formula>
    </cfRule>
    <cfRule type="expression" dxfId="726" priority="8">
      <formula>Q8&lt;0</formula>
    </cfRule>
  </conditionalFormatting>
  <conditionalFormatting sqref="Q7">
    <cfRule type="expression" dxfId="725" priority="9">
      <formula>Q7&gt;0</formula>
    </cfRule>
    <cfRule type="expression" dxfId="724" priority="10">
      <formula>Q7&lt;0</formula>
    </cfRule>
  </conditionalFormatting>
  <conditionalFormatting sqref="F29:F32">
    <cfRule type="expression" dxfId="723" priority="5">
      <formula>F29&gt;0</formula>
    </cfRule>
    <cfRule type="expression" dxfId="722" priority="6">
      <formula>F29&lt;0</formula>
    </cfRule>
  </conditionalFormatting>
  <conditionalFormatting sqref="H29:H32">
    <cfRule type="expression" dxfId="721" priority="3">
      <formula>H29&gt;0</formula>
    </cfRule>
    <cfRule type="expression" dxfId="720" priority="4">
      <formula>H29&lt;0</formula>
    </cfRule>
  </conditionalFormatting>
  <conditionalFormatting sqref="M37">
    <cfRule type="expression" dxfId="719" priority="1">
      <formula>M37&gt;0</formula>
    </cfRule>
    <cfRule type="expression" dxfId="71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7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7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40</v>
      </c>
      <c r="T2" s="83"/>
    </row>
    <row r="3" spans="1:30" x14ac:dyDescent="0.25">
      <c r="A3" s="22" t="s">
        <v>71</v>
      </c>
      <c r="B3" s="437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7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258.64999999999998</v>
      </c>
      <c r="T3" s="118"/>
      <c r="AD3" s="228"/>
    </row>
    <row r="4" spans="1:30" x14ac:dyDescent="0.25">
      <c r="B4" s="437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7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270.39010000000002</v>
      </c>
      <c r="R4" s="478">
        <v>6.9999999999999999E-4</v>
      </c>
      <c r="T4" s="118"/>
      <c r="AA4" s="228"/>
      <c r="AD4" s="228"/>
    </row>
    <row r="5" spans="1:30" x14ac:dyDescent="0.25">
      <c r="B5" s="437">
        <v>43140</v>
      </c>
      <c r="C5" s="4">
        <v>5</v>
      </c>
      <c r="D5" s="3">
        <v>253.6</v>
      </c>
      <c r="E5" s="3">
        <v>0</v>
      </c>
      <c r="F5" s="3">
        <f>C5*D5+E5</f>
        <v>1268</v>
      </c>
      <c r="G5" s="437">
        <v>43200</v>
      </c>
      <c r="H5" s="80">
        <v>10</v>
      </c>
      <c r="I5" s="43">
        <v>265.68</v>
      </c>
      <c r="J5" s="43">
        <v>0.06</v>
      </c>
      <c r="K5" s="43">
        <f>H5*I5-J5</f>
        <v>2656.7400000000002</v>
      </c>
      <c r="O5" s="11" t="s">
        <v>67</v>
      </c>
      <c r="Q5" s="3">
        <f>Q4*Q2</f>
        <v>10815.604000000001</v>
      </c>
      <c r="AA5" s="228"/>
      <c r="AD5" s="228"/>
    </row>
    <row r="6" spans="1:30" x14ac:dyDescent="0.25">
      <c r="B6" s="437">
        <v>43140</v>
      </c>
      <c r="C6" s="7">
        <v>20</v>
      </c>
      <c r="D6" s="43">
        <v>253.6</v>
      </c>
      <c r="E6" s="43">
        <v>0</v>
      </c>
      <c r="F6" s="43">
        <f>C6*D6+E6</f>
        <v>5072</v>
      </c>
      <c r="G6" s="437">
        <v>43206</v>
      </c>
      <c r="H6" s="80">
        <v>10</v>
      </c>
      <c r="I6" s="43">
        <v>267.67</v>
      </c>
      <c r="J6" s="43">
        <v>0.06</v>
      </c>
      <c r="K6" s="43">
        <f>H6*I6-J6</f>
        <v>2676.6400000000003</v>
      </c>
      <c r="O6" s="11" t="s">
        <v>64</v>
      </c>
      <c r="Q6" s="2">
        <f>Q3*Q2</f>
        <v>10346</v>
      </c>
    </row>
    <row r="7" spans="1:30" x14ac:dyDescent="0.25">
      <c r="B7" s="477">
        <v>43181</v>
      </c>
      <c r="C7" s="7">
        <v>10</v>
      </c>
      <c r="D7" s="43">
        <v>262.58</v>
      </c>
      <c r="E7" s="43">
        <v>0</v>
      </c>
      <c r="F7" s="43">
        <f>C7*D7+E7</f>
        <v>2625.7999999999997</v>
      </c>
      <c r="G7" s="4"/>
      <c r="H7" s="4"/>
      <c r="I7" s="3"/>
      <c r="J7" s="3"/>
      <c r="K7" s="3"/>
      <c r="O7" s="11" t="s">
        <v>178</v>
      </c>
      <c r="P7"/>
      <c r="Q7" s="790">
        <f>Q10+Q8</f>
        <v>630.43400000000111</v>
      </c>
      <c r="R7" s="29">
        <v>43213</v>
      </c>
      <c r="T7" s="83"/>
      <c r="AA7" s="228"/>
      <c r="AD7" s="228"/>
    </row>
    <row r="8" spans="1:30" x14ac:dyDescent="0.25">
      <c r="B8" s="477">
        <v>43192</v>
      </c>
      <c r="C8" s="7">
        <v>15</v>
      </c>
      <c r="D8" s="43">
        <v>255.38</v>
      </c>
      <c r="E8" s="43">
        <v>0</v>
      </c>
      <c r="F8" s="43">
        <f>C8*D8+E8</f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469.60400000000118</v>
      </c>
    </row>
    <row r="9" spans="1:30" x14ac:dyDescent="0.25">
      <c r="B9" s="477">
        <v>43196</v>
      </c>
      <c r="C9" s="7">
        <v>15</v>
      </c>
      <c r="D9" s="43">
        <v>259.58</v>
      </c>
      <c r="E9" s="43">
        <v>0</v>
      </c>
      <c r="F9" s="43">
        <f>C9*D9+E9</f>
        <v>3893.7</v>
      </c>
      <c r="O9" s="11" t="s">
        <v>210</v>
      </c>
      <c r="P9"/>
      <c r="Q9" s="134">
        <f>IF(Q2=0, 0, Q8/Q6)</f>
        <v>4.5389909143630502E-2</v>
      </c>
      <c r="AA9" s="228"/>
      <c r="AD9" s="228"/>
    </row>
    <row r="10" spans="1:30" ht="12.75" customHeight="1" x14ac:dyDescent="0.25">
      <c r="O10" s="11" t="s">
        <v>209</v>
      </c>
      <c r="Q10" s="20">
        <f>M43</f>
        <v>160.82999999999993</v>
      </c>
    </row>
    <row r="11" spans="1:30" x14ac:dyDescent="0.25">
      <c r="O11" s="11" t="s">
        <v>176</v>
      </c>
      <c r="Q11" s="134">
        <v>1.84E-2</v>
      </c>
      <c r="AA11" s="228"/>
      <c r="AD11" s="228"/>
    </row>
    <row r="13" spans="1:30" x14ac:dyDescent="0.25">
      <c r="O13" s="11" t="s">
        <v>997</v>
      </c>
      <c r="Q13">
        <v>17</v>
      </c>
      <c r="R13" s="22" t="s">
        <v>1003</v>
      </c>
      <c r="AA13" s="228"/>
      <c r="AD13" s="228"/>
    </row>
    <row r="14" spans="1:30" x14ac:dyDescent="0.25">
      <c r="R14" s="33"/>
      <c r="T14" s="82"/>
      <c r="U14" s="11"/>
    </row>
    <row r="15" spans="1:30" x14ac:dyDescent="0.25">
      <c r="R15" s="33"/>
      <c r="AA15" s="228"/>
      <c r="AD15" s="228"/>
    </row>
    <row r="16" spans="1:30" x14ac:dyDescent="0.25">
      <c r="R16" s="33"/>
    </row>
    <row r="17" spans="1:30" ht="20.25" thickBot="1" x14ac:dyDescent="0.35">
      <c r="P17" s="847" t="s">
        <v>78</v>
      </c>
      <c r="Q17" s="847"/>
      <c r="R17" s="33"/>
      <c r="AA17" s="228"/>
      <c r="AD17" s="228"/>
    </row>
    <row r="18" spans="1:30" ht="15.75" thickTop="1" x14ac:dyDescent="0.25">
      <c r="A18" s="31" t="s">
        <v>81</v>
      </c>
      <c r="B18" s="14"/>
      <c r="C18" s="14">
        <f>SUM(C2:C9)</f>
        <v>115</v>
      </c>
      <c r="D18" s="14"/>
      <c r="E18" s="14"/>
      <c r="F18" s="18">
        <f>SUM(F2:F9)</f>
        <v>30173.45</v>
      </c>
      <c r="G18" s="18"/>
      <c r="H18" s="71">
        <f>SUM(H2:H6)</f>
        <v>75</v>
      </c>
      <c r="I18" s="18"/>
      <c r="J18" s="18"/>
      <c r="K18" s="18">
        <f>SUM(K2:K6)</f>
        <v>19827.45</v>
      </c>
      <c r="L18" s="18"/>
      <c r="M18" s="18">
        <f>SUM(M2:M6)</f>
        <v>0</v>
      </c>
      <c r="P18" s="81">
        <v>1.1000000000000001</v>
      </c>
      <c r="Q18" s="81">
        <f>P18*$Q$4</f>
        <v>297.42911000000004</v>
      </c>
      <c r="R18" s="81"/>
    </row>
    <row r="19" spans="1:30" x14ac:dyDescent="0.25">
      <c r="P19" s="81">
        <v>1.0900000000000001</v>
      </c>
      <c r="Q19" s="81">
        <f t="shared" ref="Q19:Q38" si="1">P19*$Q$4</f>
        <v>294.72520900000006</v>
      </c>
      <c r="R19" s="81"/>
      <c r="AA19" s="228"/>
      <c r="AD19" s="228"/>
    </row>
    <row r="20" spans="1:3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J20" s="223" t="s">
        <v>150</v>
      </c>
      <c r="K20" s="223"/>
      <c r="P20" s="81">
        <v>1.08</v>
      </c>
      <c r="Q20" s="81">
        <f t="shared" si="1"/>
        <v>292.02130800000003</v>
      </c>
      <c r="R20" s="81"/>
    </row>
    <row r="21" spans="1:30" x14ac:dyDescent="0.25">
      <c r="B21" s="187">
        <v>43133</v>
      </c>
      <c r="C21" s="10">
        <v>25</v>
      </c>
      <c r="D21" s="39">
        <v>278.18</v>
      </c>
      <c r="E21" s="39">
        <v>275.45</v>
      </c>
      <c r="F21" s="39">
        <f t="shared" ref="F21:F26" si="2">C21*(E21-D21)</f>
        <v>-68.250000000000455</v>
      </c>
      <c r="G21" s="39">
        <f t="shared" ref="G21:G26" si="3">D21*C21</f>
        <v>6954.5</v>
      </c>
      <c r="H21" s="225">
        <f t="shared" ref="H21:H26" si="4">(E21-D21)/D21</f>
        <v>-9.8137896326120425E-3</v>
      </c>
      <c r="I21" s="39"/>
      <c r="J21" s="39"/>
      <c r="K21" s="39"/>
      <c r="P21" s="81">
        <v>1.07</v>
      </c>
      <c r="Q21" s="81">
        <f t="shared" si="1"/>
        <v>289.31740700000006</v>
      </c>
      <c r="R21" s="81"/>
      <c r="AA21" s="228"/>
      <c r="AD21" s="228"/>
    </row>
    <row r="22" spans="1:30" x14ac:dyDescent="0.25">
      <c r="B22" s="187">
        <v>43136</v>
      </c>
      <c r="C22" s="10">
        <v>50</v>
      </c>
      <c r="D22" s="39">
        <v>269.66500000000002</v>
      </c>
      <c r="E22" s="39">
        <v>263.93</v>
      </c>
      <c r="F22" s="39">
        <f t="shared" si="2"/>
        <v>-286.75000000000068</v>
      </c>
      <c r="G22" s="39">
        <f t="shared" si="3"/>
        <v>13483.250000000002</v>
      </c>
      <c r="H22" s="225">
        <f t="shared" si="4"/>
        <v>-2.1267127732557109E-2</v>
      </c>
      <c r="I22" s="39"/>
      <c r="J22" s="39"/>
      <c r="K22" s="39"/>
      <c r="P22" s="81">
        <v>1.06</v>
      </c>
      <c r="Q22" s="81">
        <f t="shared" si="1"/>
        <v>286.61350600000003</v>
      </c>
      <c r="R22" s="81"/>
    </row>
    <row r="23" spans="1:30" x14ac:dyDescent="0.25">
      <c r="B23" s="187">
        <v>43140</v>
      </c>
      <c r="C23" s="7">
        <v>75</v>
      </c>
      <c r="D23" s="43">
        <v>264.31200000000001</v>
      </c>
      <c r="E23" s="39">
        <v>261.5</v>
      </c>
      <c r="F23" s="39">
        <f t="shared" si="2"/>
        <v>-210.90000000000089</v>
      </c>
      <c r="G23" s="39">
        <f t="shared" si="3"/>
        <v>19823.400000000001</v>
      </c>
      <c r="H23" s="225">
        <f t="shared" si="4"/>
        <v>-1.0638941856593767E-2</v>
      </c>
      <c r="I23" s="39"/>
      <c r="J23" s="39"/>
      <c r="K23" s="39"/>
      <c r="P23" s="81">
        <v>1.05</v>
      </c>
      <c r="Q23" s="81">
        <f t="shared" si="1"/>
        <v>283.90960500000006</v>
      </c>
      <c r="R23" s="81"/>
      <c r="AA23" s="228"/>
    </row>
    <row r="24" spans="1:30" x14ac:dyDescent="0.25">
      <c r="B24" s="187">
        <v>43140</v>
      </c>
      <c r="C24" s="10">
        <v>50</v>
      </c>
      <c r="D24" s="39">
        <v>265.11799999999999</v>
      </c>
      <c r="E24" s="39">
        <v>261.5</v>
      </c>
      <c r="F24" s="39">
        <f t="shared" si="2"/>
        <v>-180.89999999999975</v>
      </c>
      <c r="G24" s="39">
        <f t="shared" si="3"/>
        <v>13255.9</v>
      </c>
      <c r="H24" s="225">
        <f t="shared" si="4"/>
        <v>-1.3646753521073616E-2</v>
      </c>
      <c r="I24" s="39"/>
      <c r="J24" s="39"/>
      <c r="K24" s="39"/>
      <c r="P24" s="81">
        <v>1.04</v>
      </c>
      <c r="Q24" s="81">
        <f t="shared" si="1"/>
        <v>281.20570400000003</v>
      </c>
      <c r="R24" s="81"/>
    </row>
    <row r="25" spans="1:30" x14ac:dyDescent="0.25">
      <c r="B25" s="187">
        <v>43178</v>
      </c>
      <c r="C25" s="10">
        <v>50</v>
      </c>
      <c r="D25" s="39">
        <v>265.11799999999999</v>
      </c>
      <c r="E25" s="39">
        <v>270.49</v>
      </c>
      <c r="F25" s="39">
        <f t="shared" si="2"/>
        <v>268.6000000000007</v>
      </c>
      <c r="G25" s="39">
        <f t="shared" si="3"/>
        <v>13255.9</v>
      </c>
      <c r="H25" s="225">
        <f t="shared" si="4"/>
        <v>2.0262675487896009E-2</v>
      </c>
      <c r="I25" s="39"/>
      <c r="J25" s="39"/>
      <c r="K25" s="39"/>
      <c r="P25" s="81">
        <v>1.03</v>
      </c>
      <c r="Q25" s="81">
        <f t="shared" si="1"/>
        <v>278.50180300000005</v>
      </c>
      <c r="R25" s="81"/>
    </row>
    <row r="26" spans="1:30" x14ac:dyDescent="0.25">
      <c r="B26" s="187">
        <v>43181</v>
      </c>
      <c r="C26" s="10">
        <v>60</v>
      </c>
      <c r="D26" s="39">
        <v>264.69499999999999</v>
      </c>
      <c r="E26" s="39">
        <v>263.67</v>
      </c>
      <c r="F26" s="39">
        <f t="shared" si="2"/>
        <v>-61.499999999998636</v>
      </c>
      <c r="G26" s="39">
        <f t="shared" si="3"/>
        <v>15881.699999999999</v>
      </c>
      <c r="H26" s="225">
        <f t="shared" si="4"/>
        <v>-3.8723814201249637E-3</v>
      </c>
      <c r="I26" s="39"/>
      <c r="J26" s="39"/>
      <c r="K26" s="39"/>
      <c r="P26" s="81">
        <v>1.02</v>
      </c>
      <c r="Q26" s="81">
        <f t="shared" si="1"/>
        <v>275.79790200000002</v>
      </c>
      <c r="R26" s="81"/>
    </row>
    <row r="27" spans="1:30" x14ac:dyDescent="0.25">
      <c r="B27" s="187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3" si="5">C27*(E27-D27)</f>
        <v>-245.69999999999823</v>
      </c>
      <c r="G27" s="39">
        <f t="shared" ref="G27:G33" si="6">D27*C27</f>
        <v>15881.699999999999</v>
      </c>
      <c r="H27" s="225">
        <f t="shared" ref="H27:H33" si="7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1"/>
        <v>273.09400100000005</v>
      </c>
      <c r="R27" s="81"/>
    </row>
    <row r="28" spans="1:30" x14ac:dyDescent="0.25">
      <c r="B28" s="187">
        <v>43192</v>
      </c>
      <c r="C28" s="7">
        <v>75</v>
      </c>
      <c r="D28" s="43">
        <v>262.83199999999999</v>
      </c>
      <c r="E28" s="39">
        <v>257.47000000000003</v>
      </c>
      <c r="F28" s="39">
        <f t="shared" si="5"/>
        <v>-402.14999999999748</v>
      </c>
      <c r="G28" s="39">
        <f t="shared" si="6"/>
        <v>19712.399999999998</v>
      </c>
      <c r="H28" s="225">
        <f t="shared" si="7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1"/>
        <v>270.39010000000002</v>
      </c>
      <c r="R28" s="81"/>
    </row>
    <row r="29" spans="1:30" x14ac:dyDescent="0.25">
      <c r="A29">
        <v>35</v>
      </c>
      <c r="B29" s="187">
        <v>43194</v>
      </c>
      <c r="C29" s="10">
        <v>60</v>
      </c>
      <c r="D29" s="39">
        <v>262.49700000000001</v>
      </c>
      <c r="E29" s="39">
        <v>263.56</v>
      </c>
      <c r="F29" s="39">
        <f t="shared" si="5"/>
        <v>63.779999999999291</v>
      </c>
      <c r="G29" s="39">
        <f t="shared" si="6"/>
        <v>15749.820000000002</v>
      </c>
      <c r="H29" s="225">
        <f t="shared" si="7"/>
        <v>4.0495700903247969E-3</v>
      </c>
      <c r="I29" s="39"/>
      <c r="J29" s="39">
        <v>225</v>
      </c>
      <c r="K29" s="39"/>
      <c r="P29" s="81">
        <v>0.99</v>
      </c>
      <c r="Q29" s="81">
        <f t="shared" si="1"/>
        <v>267.68619899999999</v>
      </c>
      <c r="R29" s="81"/>
    </row>
    <row r="30" spans="1:30" x14ac:dyDescent="0.25">
      <c r="A30">
        <v>35</v>
      </c>
      <c r="B30" s="187">
        <v>43196</v>
      </c>
      <c r="C30" s="7">
        <v>75</v>
      </c>
      <c r="D30" s="43">
        <v>261.91300000000001</v>
      </c>
      <c r="E30" s="39">
        <v>259.58</v>
      </c>
      <c r="F30" s="39">
        <f t="shared" si="5"/>
        <v>-174.97500000000201</v>
      </c>
      <c r="G30" s="39">
        <f t="shared" si="6"/>
        <v>19643.475000000002</v>
      </c>
      <c r="H30" s="225">
        <f t="shared" si="7"/>
        <v>-8.9075379992593975E-3</v>
      </c>
      <c r="I30" s="39"/>
      <c r="J30" s="39"/>
      <c r="K30" s="39"/>
      <c r="P30" s="81">
        <v>0.98</v>
      </c>
      <c r="Q30" s="81">
        <f t="shared" si="1"/>
        <v>264.98229800000001</v>
      </c>
      <c r="R30" s="81"/>
    </row>
    <row r="31" spans="1:30" x14ac:dyDescent="0.25">
      <c r="A31">
        <v>20</v>
      </c>
      <c r="B31" s="187">
        <v>43199</v>
      </c>
      <c r="C31" s="10">
        <v>60</v>
      </c>
      <c r="D31" s="39">
        <v>261.32299999999998</v>
      </c>
      <c r="E31" s="39">
        <v>261</v>
      </c>
      <c r="F31" s="39">
        <f t="shared" si="5"/>
        <v>-19.379999999998745</v>
      </c>
      <c r="G31" s="39">
        <f t="shared" si="6"/>
        <v>15679.38</v>
      </c>
      <c r="H31" s="225">
        <f t="shared" si="7"/>
        <v>-1.2360182609260535E-3</v>
      </c>
      <c r="I31" s="39"/>
      <c r="J31" s="39">
        <v>141</v>
      </c>
      <c r="K31" s="39"/>
      <c r="P31" s="81">
        <v>0.97</v>
      </c>
      <c r="Q31" s="81">
        <f t="shared" si="1"/>
        <v>262.27839699999998</v>
      </c>
      <c r="R31" s="81"/>
    </row>
    <row r="32" spans="1:30" x14ac:dyDescent="0.25">
      <c r="A32">
        <v>10</v>
      </c>
      <c r="B32" s="187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5"/>
        <v>234.85000000000014</v>
      </c>
      <c r="G32" s="39">
        <f t="shared" si="6"/>
        <v>13022.649999999998</v>
      </c>
      <c r="H32" s="225">
        <f t="shared" si="7"/>
        <v>1.8033963901356496E-2</v>
      </c>
      <c r="I32" s="39"/>
      <c r="J32" s="39">
        <v>396</v>
      </c>
      <c r="K32" s="39"/>
      <c r="P32" s="81">
        <v>0.96</v>
      </c>
      <c r="Q32" s="81">
        <f t="shared" si="1"/>
        <v>259.57449600000001</v>
      </c>
      <c r="R32" s="81"/>
    </row>
    <row r="33" spans="1:18" x14ac:dyDescent="0.25">
      <c r="A33">
        <v>0</v>
      </c>
      <c r="B33" s="187">
        <v>43206</v>
      </c>
      <c r="C33" s="10">
        <v>40</v>
      </c>
      <c r="D33" s="39">
        <v>258.64999999999998</v>
      </c>
      <c r="E33" s="39">
        <v>267.33</v>
      </c>
      <c r="F33" s="39">
        <f t="shared" si="5"/>
        <v>347.20000000000027</v>
      </c>
      <c r="G33" s="39">
        <f t="shared" si="6"/>
        <v>10346</v>
      </c>
      <c r="H33" s="225">
        <f t="shared" si="7"/>
        <v>3.3558863328822762E-2</v>
      </c>
      <c r="I33" s="39"/>
      <c r="J33" s="39">
        <v>508</v>
      </c>
      <c r="K33" s="39"/>
      <c r="P33" s="81">
        <v>0.95</v>
      </c>
      <c r="Q33" s="81">
        <f t="shared" si="1"/>
        <v>256.87059499999998</v>
      </c>
      <c r="R33" s="81"/>
    </row>
    <row r="34" spans="1:18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P34" s="81">
        <v>0.94</v>
      </c>
      <c r="Q34" s="81">
        <f t="shared" si="1"/>
        <v>254.16669400000001</v>
      </c>
      <c r="R34" s="81"/>
    </row>
    <row r="35" spans="1:18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P35" s="81">
        <v>0.93</v>
      </c>
      <c r="Q35" s="81">
        <f t="shared" si="1"/>
        <v>251.46279300000003</v>
      </c>
      <c r="R35" s="81"/>
    </row>
    <row r="36" spans="1:18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P36" s="81">
        <v>0.92</v>
      </c>
      <c r="Q36" s="81">
        <f t="shared" si="1"/>
        <v>248.75889200000003</v>
      </c>
    </row>
    <row r="37" spans="1:18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P37" s="81">
        <v>0.91</v>
      </c>
      <c r="Q37" s="81">
        <f t="shared" si="1"/>
        <v>246.05499100000003</v>
      </c>
    </row>
    <row r="38" spans="1:18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P38" s="81">
        <v>0.9</v>
      </c>
      <c r="Q38" s="81">
        <f t="shared" si="1"/>
        <v>243.35109000000003</v>
      </c>
    </row>
    <row r="39" spans="1:18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O39" s="11"/>
    </row>
    <row r="40" spans="1:18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O40" s="2"/>
    </row>
    <row r="41" spans="1:18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209</v>
      </c>
      <c r="M43" s="2">
        <f>M61+K61-F61</f>
        <v>160.82999999999993</v>
      </c>
      <c r="O43" s="2"/>
    </row>
    <row r="44" spans="1:18" x14ac:dyDescent="0.25">
      <c r="A44" s="255" t="s">
        <v>1</v>
      </c>
      <c r="B44" s="255" t="s">
        <v>2</v>
      </c>
      <c r="C44" s="255" t="s">
        <v>4</v>
      </c>
      <c r="D44" s="256" t="s">
        <v>5</v>
      </c>
      <c r="E44" s="256" t="s">
        <v>90</v>
      </c>
      <c r="F44" s="256" t="s">
        <v>60</v>
      </c>
      <c r="G44" s="255" t="s">
        <v>3</v>
      </c>
      <c r="H44" s="255" t="s">
        <v>6</v>
      </c>
      <c r="I44" s="256" t="s">
        <v>7</v>
      </c>
      <c r="J44" s="256" t="s">
        <v>89</v>
      </c>
      <c r="K44" s="256" t="s">
        <v>61</v>
      </c>
      <c r="L44" s="255" t="s">
        <v>77</v>
      </c>
      <c r="M44" s="255" t="s">
        <v>38</v>
      </c>
      <c r="O44" s="2"/>
    </row>
    <row r="45" spans="1:18" x14ac:dyDescent="0.25">
      <c r="A45" s="257" t="s">
        <v>175</v>
      </c>
      <c r="B45" s="258">
        <v>42377</v>
      </c>
      <c r="C45" s="253">
        <v>20</v>
      </c>
      <c r="D45" s="254">
        <v>192.9</v>
      </c>
      <c r="E45" s="254">
        <v>0</v>
      </c>
      <c r="F45" s="254">
        <f>C45*D45+E45</f>
        <v>3858</v>
      </c>
      <c r="G45" s="258">
        <v>42398</v>
      </c>
      <c r="H45" s="259">
        <v>20</v>
      </c>
      <c r="I45" s="254">
        <v>192.22</v>
      </c>
      <c r="J45" s="254">
        <v>7.0000000000000007E-2</v>
      </c>
      <c r="K45" s="254">
        <f>H45*I45-J45</f>
        <v>3844.33</v>
      </c>
      <c r="L45" s="258"/>
      <c r="M45" s="254"/>
      <c r="O45" s="2"/>
    </row>
    <row r="46" spans="1:18" x14ac:dyDescent="0.25">
      <c r="A46" s="260" t="s">
        <v>71</v>
      </c>
      <c r="B46" s="258">
        <v>42384</v>
      </c>
      <c r="C46" s="253">
        <v>5</v>
      </c>
      <c r="D46" s="254">
        <v>186.79</v>
      </c>
      <c r="E46" s="254">
        <v>0</v>
      </c>
      <c r="F46" s="254">
        <f>C46*D46+E46</f>
        <v>933.94999999999993</v>
      </c>
      <c r="G46" s="258">
        <v>42416</v>
      </c>
      <c r="H46" s="259">
        <v>10</v>
      </c>
      <c r="I46" s="254">
        <v>189.25</v>
      </c>
      <c r="J46" s="254">
        <v>0.04</v>
      </c>
      <c r="K46" s="254">
        <f>H46*I46-J46</f>
        <v>1892.46</v>
      </c>
      <c r="L46" s="253"/>
      <c r="M46" s="253"/>
      <c r="O46" s="2"/>
    </row>
    <row r="47" spans="1:18" x14ac:dyDescent="0.25">
      <c r="A47" s="253"/>
      <c r="B47" s="258">
        <v>42405</v>
      </c>
      <c r="C47" s="253">
        <v>15</v>
      </c>
      <c r="D47" s="254">
        <v>187.8</v>
      </c>
      <c r="E47" s="254">
        <v>0</v>
      </c>
      <c r="F47" s="254">
        <f>C47*D47+E47</f>
        <v>2817</v>
      </c>
      <c r="G47" s="258">
        <v>42424</v>
      </c>
      <c r="H47" s="259">
        <v>10</v>
      </c>
      <c r="I47" s="254">
        <v>194.3</v>
      </c>
      <c r="J47" s="254">
        <v>0.04</v>
      </c>
      <c r="K47" s="254">
        <f>H47*I47-J47</f>
        <v>1942.96</v>
      </c>
      <c r="L47" s="253"/>
      <c r="M47" s="253"/>
      <c r="O47" s="2"/>
    </row>
    <row r="48" spans="1:18" x14ac:dyDescent="0.25">
      <c r="A48" s="253"/>
      <c r="B48" s="258">
        <v>42408</v>
      </c>
      <c r="C48" s="253">
        <v>5</v>
      </c>
      <c r="D48" s="254">
        <v>183.55</v>
      </c>
      <c r="E48" s="254">
        <v>0</v>
      </c>
      <c r="F48" s="254">
        <f>C48*D48+E48</f>
        <v>917.75</v>
      </c>
      <c r="G48" s="258">
        <v>42440</v>
      </c>
      <c r="H48" s="259">
        <v>5</v>
      </c>
      <c r="I48" s="254">
        <v>201.56</v>
      </c>
      <c r="J48" s="254">
        <v>0.02</v>
      </c>
      <c r="K48" s="254">
        <f>H48*I48-J48</f>
        <v>1007.78</v>
      </c>
      <c r="L48" s="253"/>
      <c r="M48" s="253"/>
      <c r="O48" s="2"/>
    </row>
    <row r="49" spans="1:15" x14ac:dyDescent="0.25">
      <c r="A49" s="253"/>
      <c r="B49" s="253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2"/>
    </row>
    <row r="50" spans="1:15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</row>
    <row r="51" spans="1:15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</row>
    <row r="52" spans="1:15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</row>
    <row r="53" spans="1:15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</row>
    <row r="54" spans="1:15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</row>
    <row r="55" spans="1:15" x14ac:dyDescent="0.25">
      <c r="A55" s="253"/>
      <c r="B55" s="253"/>
      <c r="C55" s="253"/>
      <c r="D55" s="254"/>
      <c r="E55" s="254"/>
      <c r="F55" s="254"/>
      <c r="G55" s="253"/>
      <c r="H55" s="253"/>
      <c r="I55" s="254"/>
      <c r="J55" s="254"/>
      <c r="K55" s="254"/>
      <c r="L55" s="253"/>
      <c r="M55" s="253"/>
      <c r="O55" s="2"/>
    </row>
    <row r="56" spans="1:15" x14ac:dyDescent="0.25">
      <c r="A56" s="253"/>
      <c r="B56" s="253"/>
      <c r="C56" s="253"/>
      <c r="D56" s="254"/>
      <c r="E56" s="254"/>
      <c r="F56" s="254"/>
      <c r="G56" s="253"/>
      <c r="H56" s="253"/>
      <c r="I56" s="254"/>
      <c r="J56" s="254"/>
      <c r="K56" s="254"/>
      <c r="L56" s="253"/>
      <c r="M56" s="253"/>
      <c r="O56" s="2"/>
    </row>
    <row r="57" spans="1:15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</row>
    <row r="58" spans="1:15" x14ac:dyDescent="0.25">
      <c r="A58" s="253"/>
      <c r="B58" s="253"/>
      <c r="C58" s="253"/>
      <c r="D58" s="254"/>
      <c r="E58" s="254"/>
      <c r="F58" s="254"/>
      <c r="G58" s="253"/>
      <c r="H58" s="253"/>
      <c r="I58" s="254"/>
      <c r="J58" s="254"/>
      <c r="K58" s="254"/>
      <c r="L58" s="253"/>
      <c r="M58" s="253"/>
      <c r="O58" s="2"/>
    </row>
    <row r="59" spans="1:15" x14ac:dyDescent="0.25">
      <c r="A59" s="253"/>
      <c r="B59" s="253"/>
      <c r="C59" s="253"/>
      <c r="D59" s="254"/>
      <c r="E59" s="254"/>
      <c r="F59" s="254"/>
      <c r="G59" s="253"/>
      <c r="H59" s="253"/>
      <c r="I59" s="254"/>
      <c r="J59" s="254"/>
      <c r="K59" s="254"/>
      <c r="L59" s="253"/>
      <c r="M59" s="253"/>
      <c r="O59" s="2"/>
    </row>
    <row r="60" spans="1:15" x14ac:dyDescent="0.25">
      <c r="A60" s="253"/>
      <c r="B60" s="253"/>
      <c r="C60" s="253"/>
      <c r="D60" s="254"/>
      <c r="E60" s="254"/>
      <c r="F60" s="254"/>
      <c r="G60" s="253"/>
      <c r="H60" s="253"/>
      <c r="I60" s="254"/>
      <c r="J60" s="254"/>
      <c r="K60" s="254"/>
      <c r="L60" s="253"/>
      <c r="M60" s="253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83" t="s">
        <v>113</v>
      </c>
      <c r="C63" s="783" t="s">
        <v>146</v>
      </c>
      <c r="D63" s="784" t="s">
        <v>145</v>
      </c>
      <c r="E63" s="785" t="s">
        <v>147</v>
      </c>
      <c r="F63" s="785" t="s">
        <v>65</v>
      </c>
      <c r="G63" s="786" t="s">
        <v>151</v>
      </c>
      <c r="H63" s="786" t="s">
        <v>88</v>
      </c>
      <c r="I63" s="786" t="s">
        <v>154</v>
      </c>
    </row>
    <row r="64" spans="1:15" x14ac:dyDescent="0.25">
      <c r="B64" s="639">
        <v>42377</v>
      </c>
      <c r="C64" s="638">
        <v>20</v>
      </c>
      <c r="D64" s="640">
        <v>192.9</v>
      </c>
      <c r="E64" s="640">
        <v>191.92</v>
      </c>
      <c r="F64" s="640">
        <f>C64*(E64-D64)</f>
        <v>-19.600000000000364</v>
      </c>
      <c r="G64" s="640">
        <f>D64*C64</f>
        <v>3858</v>
      </c>
      <c r="H64" s="641">
        <f>(E64-D64)/D64</f>
        <v>-5.0803525142561852E-3</v>
      </c>
      <c r="I64" s="640"/>
    </row>
    <row r="65" spans="2:9" x14ac:dyDescent="0.25">
      <c r="B65" s="639">
        <v>42384</v>
      </c>
      <c r="C65" s="638">
        <v>25</v>
      </c>
      <c r="D65" s="640">
        <v>191.678</v>
      </c>
      <c r="E65" s="640">
        <v>187.81</v>
      </c>
      <c r="F65" s="640">
        <f t="shared" ref="F65:F71" si="8">C65*(E65-D65)</f>
        <v>-96.699999999999875</v>
      </c>
      <c r="G65" s="640">
        <f t="shared" ref="G65:G71" si="9">D65*C65</f>
        <v>4791.95</v>
      </c>
      <c r="H65" s="641">
        <f t="shared" ref="H65:H71" si="10">(E65-D65)/D65</f>
        <v>-2.0179676332182071E-2</v>
      </c>
      <c r="I65" s="640"/>
    </row>
    <row r="66" spans="2:9" x14ac:dyDescent="0.25">
      <c r="B66" s="639">
        <v>42398</v>
      </c>
      <c r="C66" s="638">
        <v>5</v>
      </c>
      <c r="D66" s="640">
        <v>189.52</v>
      </c>
      <c r="E66" s="640">
        <v>191.87</v>
      </c>
      <c r="F66" s="640">
        <f t="shared" si="8"/>
        <v>11.749999999999972</v>
      </c>
      <c r="G66" s="640">
        <f t="shared" si="9"/>
        <v>947.6</v>
      </c>
      <c r="H66" s="641">
        <f t="shared" si="10"/>
        <v>1.2399746728577429E-2</v>
      </c>
      <c r="I66" s="640"/>
    </row>
    <row r="67" spans="2:9" x14ac:dyDescent="0.25">
      <c r="B67" s="639">
        <v>42405</v>
      </c>
      <c r="C67" s="638">
        <v>20</v>
      </c>
      <c r="D67" s="640">
        <v>188.23099999999999</v>
      </c>
      <c r="E67" s="640">
        <v>187.8</v>
      </c>
      <c r="F67" s="640">
        <f t="shared" si="8"/>
        <v>-8.6199999999996635</v>
      </c>
      <c r="G67" s="640">
        <f t="shared" si="9"/>
        <v>3764.62</v>
      </c>
      <c r="H67" s="641">
        <f t="shared" si="10"/>
        <v>-2.2897397346876083E-3</v>
      </c>
      <c r="I67" s="640"/>
    </row>
    <row r="68" spans="2:9" x14ac:dyDescent="0.25">
      <c r="B68" s="639">
        <v>42408</v>
      </c>
      <c r="C68" s="638">
        <v>25</v>
      </c>
      <c r="D68" s="640">
        <v>187.29480000000001</v>
      </c>
      <c r="E68" s="640">
        <v>185.42</v>
      </c>
      <c r="F68" s="640">
        <f t="shared" si="8"/>
        <v>-46.870000000000545</v>
      </c>
      <c r="G68" s="640">
        <f t="shared" si="9"/>
        <v>4682.37</v>
      </c>
      <c r="H68" s="641">
        <f t="shared" si="10"/>
        <v>-1.0009888154930204E-2</v>
      </c>
      <c r="I68" s="640"/>
    </row>
    <row r="69" spans="2:9" x14ac:dyDescent="0.25">
      <c r="B69" s="639">
        <v>42416</v>
      </c>
      <c r="C69" s="638">
        <v>15</v>
      </c>
      <c r="D69" s="640">
        <v>185.994</v>
      </c>
      <c r="E69" s="640">
        <v>189.78</v>
      </c>
      <c r="F69" s="640">
        <f t="shared" si="8"/>
        <v>56.79000000000002</v>
      </c>
      <c r="G69" s="640">
        <f t="shared" si="9"/>
        <v>2789.91</v>
      </c>
      <c r="H69" s="641">
        <f t="shared" si="10"/>
        <v>2.0355495338559317E-2</v>
      </c>
      <c r="I69" s="640"/>
    </row>
    <row r="70" spans="2:9" x14ac:dyDescent="0.25">
      <c r="B70" s="639">
        <v>42424</v>
      </c>
      <c r="C70" s="638">
        <v>5</v>
      </c>
      <c r="D70" s="640">
        <v>169.39</v>
      </c>
      <c r="E70" s="640">
        <v>193.2</v>
      </c>
      <c r="F70" s="640">
        <f t="shared" si="8"/>
        <v>119.05000000000001</v>
      </c>
      <c r="G70" s="640">
        <f t="shared" si="9"/>
        <v>846.94999999999993</v>
      </c>
      <c r="H70" s="641">
        <f t="shared" si="10"/>
        <v>0.1405631973552158</v>
      </c>
      <c r="I70" s="640"/>
    </row>
    <row r="71" spans="2:9" x14ac:dyDescent="0.25">
      <c r="B71" s="639">
        <v>42431</v>
      </c>
      <c r="C71" s="638">
        <v>5</v>
      </c>
      <c r="D71" s="640">
        <v>169.39</v>
      </c>
      <c r="E71" s="640">
        <v>199</v>
      </c>
      <c r="F71" s="640">
        <f t="shared" si="8"/>
        <v>148.05000000000007</v>
      </c>
      <c r="G71" s="640">
        <f t="shared" si="9"/>
        <v>846.94999999999993</v>
      </c>
      <c r="H71" s="641">
        <f t="shared" si="10"/>
        <v>0.17480370742074511</v>
      </c>
      <c r="I71" s="640"/>
    </row>
    <row r="72" spans="2:9" x14ac:dyDescent="0.25">
      <c r="B72" s="639">
        <v>42440</v>
      </c>
      <c r="C72" s="638">
        <v>0</v>
      </c>
      <c r="D72" s="640"/>
      <c r="E72" s="640"/>
      <c r="F72" s="640">
        <v>160.83000000000001</v>
      </c>
      <c r="G72" s="640"/>
      <c r="H72" s="641"/>
      <c r="I72" s="640"/>
    </row>
    <row r="73" spans="2:9" x14ac:dyDescent="0.25">
      <c r="B73" s="639"/>
      <c r="C73" s="638"/>
      <c r="D73" s="640"/>
      <c r="E73" s="640"/>
      <c r="F73" s="640"/>
      <c r="G73" s="640"/>
      <c r="H73" s="641"/>
      <c r="I73" s="640"/>
    </row>
    <row r="74" spans="2:9" x14ac:dyDescent="0.25">
      <c r="B74" s="639"/>
      <c r="C74" s="638"/>
      <c r="D74" s="640"/>
      <c r="E74" s="640"/>
      <c r="F74" s="640"/>
      <c r="G74" s="640"/>
      <c r="H74" s="641"/>
      <c r="I74" s="640"/>
    </row>
    <row r="75" spans="2:9" x14ac:dyDescent="0.25">
      <c r="B75" s="639"/>
      <c r="C75" s="638"/>
      <c r="D75" s="640"/>
      <c r="E75" s="640"/>
      <c r="F75" s="640"/>
      <c r="G75" s="640"/>
      <c r="H75" s="641"/>
      <c r="I75" s="640"/>
    </row>
    <row r="76" spans="2:9" x14ac:dyDescent="0.25">
      <c r="B76" s="639"/>
      <c r="C76" s="638"/>
      <c r="D76" s="640"/>
      <c r="E76" s="640"/>
      <c r="F76" s="640"/>
      <c r="G76" s="640"/>
      <c r="H76" s="641"/>
      <c r="I76" s="640"/>
    </row>
    <row r="77" spans="2:9" x14ac:dyDescent="0.25">
      <c r="B77" s="639"/>
      <c r="C77" s="638"/>
      <c r="D77" s="640"/>
      <c r="E77" s="640"/>
      <c r="F77" s="640"/>
      <c r="G77" s="640"/>
      <c r="H77" s="641"/>
      <c r="I77" s="640"/>
    </row>
    <row r="78" spans="2:9" x14ac:dyDescent="0.25">
      <c r="B78" s="639"/>
      <c r="C78" s="638"/>
      <c r="D78" s="640"/>
      <c r="E78" s="640"/>
      <c r="F78" s="640"/>
      <c r="G78" s="640"/>
      <c r="H78" s="641"/>
      <c r="I78" s="640"/>
    </row>
  </sheetData>
  <mergeCells count="1">
    <mergeCell ref="P17:Q17"/>
  </mergeCells>
  <conditionalFormatting sqref="H40:H42 F40:F42 F25:F33 H25:H33">
    <cfRule type="expression" dxfId="717" priority="41">
      <formula>F25&gt;0</formula>
    </cfRule>
    <cfRule type="expression" dxfId="716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15" priority="29">
      <formula>F21&gt;0</formula>
    </cfRule>
    <cfRule type="expression" dxfId="714" priority="30">
      <formula>F21&lt;0</formula>
    </cfRule>
  </conditionalFormatting>
  <conditionalFormatting sqref="H21:H24">
    <cfRule type="expression" dxfId="713" priority="27">
      <formula>H21&gt;0</formula>
    </cfRule>
    <cfRule type="expression" dxfId="712" priority="28">
      <formula>H21&lt;0</formula>
    </cfRule>
  </conditionalFormatting>
  <conditionalFormatting sqref="Q8">
    <cfRule type="expression" dxfId="711" priority="23">
      <formula>Q8&gt;0</formula>
    </cfRule>
    <cfRule type="expression" dxfId="710" priority="24">
      <formula>Q8&lt;0</formula>
    </cfRule>
  </conditionalFormatting>
  <conditionalFormatting sqref="Q7">
    <cfRule type="expression" dxfId="709" priority="25">
      <formula>Q7&gt;0</formula>
    </cfRule>
    <cfRule type="expression" dxfId="708" priority="26">
      <formula>Q7&lt;0</formula>
    </cfRule>
  </conditionalFormatting>
  <conditionalFormatting sqref="F68:F70">
    <cfRule type="expression" dxfId="707" priority="21">
      <formula>F68&gt;0</formula>
    </cfRule>
    <cfRule type="expression" dxfId="706" priority="22">
      <formula>F68&lt;0</formula>
    </cfRule>
  </conditionalFormatting>
  <conditionalFormatting sqref="F71:F78">
    <cfRule type="expression" dxfId="705" priority="17">
      <formula>F71&gt;0</formula>
    </cfRule>
    <cfRule type="expression" dxfId="704" priority="18">
      <formula>F71&lt;0</formula>
    </cfRule>
  </conditionalFormatting>
  <conditionalFormatting sqref="F71:F78">
    <cfRule type="expression" dxfId="703" priority="19">
      <formula>F71&gt;0</formula>
    </cfRule>
    <cfRule type="expression" dxfId="702" priority="20">
      <formula>F71&lt;0</formula>
    </cfRule>
  </conditionalFormatting>
  <conditionalFormatting sqref="H68:H78">
    <cfRule type="expression" dxfId="701" priority="15">
      <formula>H68&gt;0</formula>
    </cfRule>
    <cfRule type="expression" dxfId="700" priority="16">
      <formula>H68&lt;0</formula>
    </cfRule>
  </conditionalFormatting>
  <conditionalFormatting sqref="F64:F67">
    <cfRule type="expression" dxfId="699" priority="13">
      <formula>F64&gt;0</formula>
    </cfRule>
    <cfRule type="expression" dxfId="698" priority="14">
      <formula>F64&lt;0</formula>
    </cfRule>
  </conditionalFormatting>
  <conditionalFormatting sqref="H64:H67">
    <cfRule type="expression" dxfId="697" priority="11">
      <formula>H64&gt;0</formula>
    </cfRule>
    <cfRule type="expression" dxfId="696" priority="12">
      <formula>H64&lt;0</formula>
    </cfRule>
  </conditionalFormatting>
  <conditionalFormatting sqref="Q10">
    <cfRule type="expression" dxfId="695" priority="9">
      <formula>Q10&gt;0</formula>
    </cfRule>
    <cfRule type="expression" dxfId="694" priority="10">
      <formula>Q10&lt;0</formula>
    </cfRule>
  </conditionalFormatting>
  <conditionalFormatting sqref="J27:J33">
    <cfRule type="expression" dxfId="693" priority="7">
      <formula>J27&gt;0</formula>
    </cfRule>
    <cfRule type="expression" dxfId="692" priority="8">
      <formula>J27&lt;0</formula>
    </cfRule>
  </conditionalFormatting>
  <conditionalFormatting sqref="H38:H39 F38:F39">
    <cfRule type="expression" dxfId="691" priority="5">
      <formula>F38&gt;0</formula>
    </cfRule>
    <cfRule type="expression" dxfId="690" priority="6">
      <formula>F38&lt;0</formula>
    </cfRule>
  </conditionalFormatting>
  <conditionalFormatting sqref="H36:H37 F36:F37">
    <cfRule type="expression" dxfId="689" priority="3">
      <formula>F36&gt;0</formula>
    </cfRule>
    <cfRule type="expression" dxfId="688" priority="4">
      <formula>F36&lt;0</formula>
    </cfRule>
  </conditionalFormatting>
  <conditionalFormatting sqref="H34:H35 F34:F35">
    <cfRule type="expression" dxfId="687" priority="1">
      <formula>F34&gt;0</formula>
    </cfRule>
    <cfRule type="expression" dxfId="686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7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99.63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7">
        <v>99.35</v>
      </c>
      <c r="AD3" s="2">
        <f>Y3-Z3</f>
        <v>2.5600000000000023</v>
      </c>
      <c r="AE3" s="134">
        <f>AC3/AC4-1</f>
        <v>1.6680311092918565E-2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99.63</v>
      </c>
      <c r="R4" s="478">
        <v>2.0500000000000001E-2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7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8"/>
      <c r="AN4" s="228"/>
    </row>
    <row r="5" spans="1:40" x14ac:dyDescent="0.25">
      <c r="B5" s="72"/>
      <c r="C5" s="17"/>
      <c r="D5" s="73"/>
      <c r="E5" s="7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7">
        <v>97.98</v>
      </c>
      <c r="AD5" s="2">
        <f t="shared" si="0"/>
        <v>0.78000000000000114</v>
      </c>
      <c r="AE5" s="134">
        <f t="shared" si="1"/>
        <v>-1.6303240269003316E-3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7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7">
        <v>97.23</v>
      </c>
      <c r="AD7" s="2">
        <f t="shared" si="0"/>
        <v>0.84999999999999432</v>
      </c>
      <c r="AE7" s="134">
        <f t="shared" si="1"/>
        <v>-7.1479628305932685E-3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7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7">
        <v>97.19</v>
      </c>
      <c r="AD9" s="2">
        <f t="shared" si="0"/>
        <v>2.3799999999999955</v>
      </c>
      <c r="AE9" s="134">
        <f t="shared" si="1"/>
        <v>-1.1305241521069043E-3</v>
      </c>
      <c r="AK9" s="228"/>
      <c r="AN9" s="228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7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7">
        <v>96.5</v>
      </c>
      <c r="AD11" s="2">
        <f t="shared" si="0"/>
        <v>1.2600000000000051</v>
      </c>
      <c r="AE11" s="134">
        <f t="shared" si="1"/>
        <v>-2.4808765763902896E-3</v>
      </c>
      <c r="AK11" s="228"/>
      <c r="AN11" s="228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7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7">
        <v>95.52</v>
      </c>
      <c r="AD13" s="2">
        <f t="shared" si="0"/>
        <v>3.2999999999999972</v>
      </c>
      <c r="AE13" s="134">
        <f t="shared" si="1"/>
        <v>-2.7192178429575331E-2</v>
      </c>
      <c r="AK13" s="228"/>
      <c r="AN13" s="228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7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7">
        <v>97.93</v>
      </c>
      <c r="AD15" s="2">
        <f t="shared" si="0"/>
        <v>1.0999999999999943</v>
      </c>
      <c r="AE15" s="134">
        <f t="shared" si="1"/>
        <v>-1.8346753643868619E-3</v>
      </c>
      <c r="AK15" s="228"/>
      <c r="AN15" s="228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7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7">
        <v>99.11</v>
      </c>
      <c r="AD17" s="2">
        <f t="shared" si="0"/>
        <v>1.2599999999999909</v>
      </c>
      <c r="AE17" s="134">
        <f t="shared" si="1"/>
        <v>3.2391942504301774E-3</v>
      </c>
      <c r="AK17" s="228"/>
      <c r="AN17" s="228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7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7">
        <v>99.04</v>
      </c>
      <c r="AD19" s="2">
        <f t="shared" si="0"/>
        <v>1.2800000000000011</v>
      </c>
      <c r="AE19" s="134">
        <f t="shared" si="1"/>
        <v>8.7594214707680251E-3</v>
      </c>
      <c r="AK19" s="228"/>
      <c r="AN19" s="228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7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7">
        <v>97.14</v>
      </c>
      <c r="AD21" s="2">
        <f t="shared" si="0"/>
        <v>2.6099999999999994</v>
      </c>
      <c r="AE21" s="134">
        <f t="shared" si="1"/>
        <v>4.6540490226496534E-3</v>
      </c>
      <c r="AK21" s="228"/>
      <c r="AN21" s="228"/>
    </row>
    <row r="22" spans="1:40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7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7">
        <v>42546</v>
      </c>
      <c r="C23" s="426">
        <v>60</v>
      </c>
      <c r="D23" s="42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5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7">
        <v>95.05</v>
      </c>
      <c r="AD23" s="2">
        <f t="shared" si="0"/>
        <v>1.2800000000000011</v>
      </c>
      <c r="AE23" s="134">
        <f t="shared" si="1"/>
        <v>-4.1906757464641453E-3</v>
      </c>
      <c r="AK23" s="228"/>
    </row>
    <row r="24" spans="1:40" x14ac:dyDescent="0.25">
      <c r="B24" s="187">
        <v>42548</v>
      </c>
      <c r="C24" s="274">
        <v>60</v>
      </c>
      <c r="D24" s="329">
        <v>60.935000000000002</v>
      </c>
      <c r="E24" s="329">
        <v>58.01</v>
      </c>
      <c r="F24" s="39">
        <f t="shared" si="2"/>
        <v>-175.50000000000026</v>
      </c>
      <c r="G24" s="39">
        <f t="shared" si="3"/>
        <v>3656.1000000000004</v>
      </c>
      <c r="H24" s="225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7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7">
        <v>42549</v>
      </c>
      <c r="C25" s="435">
        <v>120</v>
      </c>
      <c r="D25" s="439">
        <v>60.935000000000002</v>
      </c>
      <c r="E25" s="329">
        <v>60.26</v>
      </c>
      <c r="F25" s="39">
        <f t="shared" si="2"/>
        <v>-81.000000000000512</v>
      </c>
      <c r="G25" s="39">
        <f t="shared" si="3"/>
        <v>7312.2000000000007</v>
      </c>
      <c r="H25" s="225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7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7">
        <v>42550</v>
      </c>
      <c r="C26" s="274">
        <v>120</v>
      </c>
      <c r="D26" s="329">
        <v>60.935000000000002</v>
      </c>
      <c r="E26" s="329">
        <v>61.73</v>
      </c>
      <c r="F26" s="39">
        <f t="shared" si="2"/>
        <v>95.399999999999352</v>
      </c>
      <c r="G26" s="39">
        <f t="shared" si="3"/>
        <v>7312.2000000000007</v>
      </c>
      <c r="H26" s="225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7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7">
        <v>42551</v>
      </c>
      <c r="C27" s="423">
        <v>60</v>
      </c>
      <c r="D27" s="430">
        <v>59.007199999999997</v>
      </c>
      <c r="E27" s="329">
        <v>63.28</v>
      </c>
      <c r="F27" s="39">
        <f t="shared" si="2"/>
        <v>256.36800000000022</v>
      </c>
      <c r="G27" s="39">
        <f t="shared" si="3"/>
        <v>3540.4319999999998</v>
      </c>
      <c r="H27" s="225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7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7">
        <v>42552</v>
      </c>
      <c r="C28" s="274">
        <v>60</v>
      </c>
      <c r="D28" s="329">
        <v>59.007199999999997</v>
      </c>
      <c r="E28" s="329">
        <v>62.6</v>
      </c>
      <c r="F28" s="39">
        <f t="shared" si="2"/>
        <v>215.56800000000024</v>
      </c>
      <c r="G28" s="39">
        <f t="shared" si="3"/>
        <v>3540.4319999999998</v>
      </c>
      <c r="H28" s="225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7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7">
        <v>42556</v>
      </c>
      <c r="C29" s="274">
        <v>60</v>
      </c>
      <c r="D29" s="329">
        <v>59.007199999999997</v>
      </c>
      <c r="E29" s="329">
        <v>58.82</v>
      </c>
      <c r="F29" s="39">
        <f t="shared" si="2"/>
        <v>-11.231999999999829</v>
      </c>
      <c r="G29" s="39">
        <f t="shared" si="3"/>
        <v>3540.4319999999998</v>
      </c>
      <c r="H29" s="225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7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7">
        <v>42557</v>
      </c>
      <c r="C30" s="410">
        <v>90</v>
      </c>
      <c r="D30" s="45">
        <v>58.531399999999998</v>
      </c>
      <c r="E30" s="329">
        <v>59.16</v>
      </c>
      <c r="F30" s="39">
        <f t="shared" si="2"/>
        <v>56.573999999999884</v>
      </c>
      <c r="G30" s="39">
        <f t="shared" si="3"/>
        <v>5267.826</v>
      </c>
      <c r="H30" s="225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7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7">
        <v>42562</v>
      </c>
      <c r="C31" s="274">
        <v>90</v>
      </c>
      <c r="D31" s="329">
        <v>58.531399999999998</v>
      </c>
      <c r="E31" s="329">
        <v>64.64</v>
      </c>
      <c r="F31" s="39">
        <f t="shared" si="2"/>
        <v>549.77400000000023</v>
      </c>
      <c r="G31" s="39">
        <f t="shared" si="3"/>
        <v>5267.826</v>
      </c>
      <c r="H31" s="225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7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7">
        <v>42563</v>
      </c>
      <c r="C32" s="274">
        <v>90</v>
      </c>
      <c r="D32" s="329">
        <v>58.531399999999998</v>
      </c>
      <c r="E32" s="329">
        <v>65.8</v>
      </c>
      <c r="F32" s="39">
        <f t="shared" si="2"/>
        <v>654.17399999999998</v>
      </c>
      <c r="G32" s="39">
        <f t="shared" si="3"/>
        <v>5267.826</v>
      </c>
      <c r="H32" s="225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7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7">
        <v>42569</v>
      </c>
      <c r="C33" s="274">
        <v>90</v>
      </c>
      <c r="D33" s="329">
        <v>58.531399999999998</v>
      </c>
      <c r="E33" s="329">
        <v>68.7</v>
      </c>
      <c r="F33" s="39">
        <f t="shared" si="2"/>
        <v>915.17400000000043</v>
      </c>
      <c r="G33" s="39">
        <f t="shared" si="3"/>
        <v>5267.826</v>
      </c>
      <c r="H33" s="225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7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7">
        <v>42570</v>
      </c>
      <c r="C34" s="274">
        <v>90</v>
      </c>
      <c r="D34" s="329">
        <v>58.531399999999998</v>
      </c>
      <c r="E34" s="329">
        <v>68.33</v>
      </c>
      <c r="F34" s="39">
        <f t="shared" si="2"/>
        <v>881.87400000000002</v>
      </c>
      <c r="G34" s="39">
        <f t="shared" si="3"/>
        <v>5267.826</v>
      </c>
      <c r="H34" s="225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7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7">
        <v>42571</v>
      </c>
      <c r="C35" s="274">
        <v>90</v>
      </c>
      <c r="D35" s="329">
        <v>58.531399999999998</v>
      </c>
      <c r="E35" s="329">
        <v>69.489999999999995</v>
      </c>
      <c r="F35" s="39">
        <f t="shared" si="2"/>
        <v>986.27399999999977</v>
      </c>
      <c r="G35" s="39">
        <f t="shared" si="3"/>
        <v>5267.826</v>
      </c>
      <c r="H35" s="225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7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7">
        <v>42572</v>
      </c>
      <c r="C36" s="274">
        <v>90</v>
      </c>
      <c r="D36" s="329">
        <v>58.531399999999998</v>
      </c>
      <c r="E36" s="329">
        <v>70.92</v>
      </c>
      <c r="F36" s="39">
        <f t="shared" si="2"/>
        <v>1114.9740000000004</v>
      </c>
      <c r="G36" s="39">
        <f t="shared" si="3"/>
        <v>5267.826</v>
      </c>
      <c r="H36" s="225">
        <f t="shared" si="4"/>
        <v>0.21165733264538358</v>
      </c>
      <c r="I36" s="39" t="s">
        <v>247</v>
      </c>
      <c r="O36" s="11"/>
      <c r="P36" s="251" t="s">
        <v>78</v>
      </c>
      <c r="Q36" s="251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7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7">
        <v>42575</v>
      </c>
      <c r="C37" s="274">
        <v>110</v>
      </c>
      <c r="D37" s="329">
        <v>59.467500000000001</v>
      </c>
      <c r="E37" s="329">
        <v>64.81</v>
      </c>
      <c r="F37" s="39">
        <f t="shared" si="2"/>
        <v>587.67500000000018</v>
      </c>
      <c r="G37" s="39">
        <f t="shared" si="3"/>
        <v>6541.4250000000002</v>
      </c>
      <c r="H37" s="225">
        <f t="shared" si="4"/>
        <v>8.9838987682347521E-2</v>
      </c>
      <c r="I37" s="39"/>
      <c r="O37" s="2"/>
      <c r="P37" s="81">
        <v>1.1000000000000001</v>
      </c>
      <c r="Q37" s="81">
        <f>P37*$Q$4</f>
        <v>109.593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7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7">
        <v>42577</v>
      </c>
      <c r="C38" s="274">
        <v>110</v>
      </c>
      <c r="D38" s="329">
        <v>59.467500000000001</v>
      </c>
      <c r="E38" s="329">
        <v>65.87</v>
      </c>
      <c r="F38" s="39">
        <f t="shared" si="2"/>
        <v>704.27500000000032</v>
      </c>
      <c r="G38" s="39">
        <f t="shared" si="3"/>
        <v>6541.4250000000002</v>
      </c>
      <c r="H38" s="225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108.5967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7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7">
        <v>42585</v>
      </c>
      <c r="C39" s="274">
        <v>110</v>
      </c>
      <c r="D39" s="329">
        <v>59.467500000000001</v>
      </c>
      <c r="E39" s="329">
        <v>65.040000000000006</v>
      </c>
      <c r="F39" s="39">
        <f t="shared" si="2"/>
        <v>612.97500000000059</v>
      </c>
      <c r="G39" s="39">
        <f t="shared" si="3"/>
        <v>6541.4250000000002</v>
      </c>
      <c r="H39" s="225">
        <f t="shared" si="4"/>
        <v>9.370664648757733E-2</v>
      </c>
      <c r="I39" s="39"/>
      <c r="O39" s="2"/>
      <c r="P39" s="81">
        <v>1.08</v>
      </c>
      <c r="Q39" s="81">
        <f t="shared" si="5"/>
        <v>107.60040000000001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7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7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5">
        <f t="shared" si="4"/>
        <v>0.13390444946793845</v>
      </c>
      <c r="I40" s="39"/>
      <c r="O40" s="2"/>
      <c r="P40" s="81">
        <v>1.07</v>
      </c>
      <c r="Q40" s="81">
        <f t="shared" si="5"/>
        <v>106.6041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7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7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5">
        <f t="shared" si="4"/>
        <v>1.6223446402294079</v>
      </c>
      <c r="I41" s="39"/>
      <c r="O41" s="2"/>
      <c r="P41" s="81">
        <v>1.06</v>
      </c>
      <c r="Q41" s="81">
        <f t="shared" si="5"/>
        <v>105.6078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7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7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5">
        <f t="shared" si="4"/>
        <v>1.7091272686111005</v>
      </c>
      <c r="I42" s="39"/>
      <c r="O42" s="2"/>
      <c r="P42" s="81">
        <v>1.05</v>
      </c>
      <c r="Q42" s="81">
        <f t="shared" si="5"/>
        <v>104.61150000000001</v>
      </c>
      <c r="R42" s="81"/>
      <c r="T42" s="85" t="s">
        <v>99</v>
      </c>
      <c r="U42" s="127" t="s">
        <v>626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7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7">
        <v>42604</v>
      </c>
      <c r="C43" s="10">
        <v>0</v>
      </c>
      <c r="D43" s="39"/>
      <c r="E43" s="39"/>
      <c r="F43" s="39">
        <v>923.51</v>
      </c>
      <c r="G43" s="39"/>
      <c r="H43" s="225"/>
      <c r="I43" s="39"/>
      <c r="O43" s="2"/>
      <c r="P43" s="81">
        <v>1.04</v>
      </c>
      <c r="Q43" s="81">
        <f t="shared" si="5"/>
        <v>103.6152</v>
      </c>
      <c r="R43" s="81"/>
      <c r="T43" s="85" t="s">
        <v>100</v>
      </c>
      <c r="U43" s="127" t="s">
        <v>627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7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O44" s="2"/>
      <c r="P44" s="81">
        <v>1.03</v>
      </c>
      <c r="Q44" s="81">
        <f t="shared" si="5"/>
        <v>102.6189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7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O45" s="2"/>
      <c r="P45" s="81">
        <v>1.02</v>
      </c>
      <c r="Q45" s="81">
        <f t="shared" si="5"/>
        <v>101.62259999999999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7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100.6263</v>
      </c>
      <c r="R46" s="81"/>
      <c r="T46" s="85" t="s">
        <v>121</v>
      </c>
      <c r="U46" s="92" t="s">
        <v>374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7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7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 t="s">
        <v>65</v>
      </c>
      <c r="M48" s="358">
        <f>M74+K74-F74</f>
        <v>1368.9000000000015</v>
      </c>
      <c r="O48" s="2"/>
      <c r="P48" s="81">
        <v>0.99</v>
      </c>
      <c r="Q48" s="81">
        <f t="shared" si="5"/>
        <v>98.63369999999999</v>
      </c>
      <c r="R48" s="81"/>
      <c r="T48" s="85" t="s">
        <v>104</v>
      </c>
      <c r="U48" s="127" t="s">
        <v>628</v>
      </c>
      <c r="W48" s="92">
        <v>42766</v>
      </c>
      <c r="X48" s="10" t="s">
        <v>314</v>
      </c>
      <c r="Y48" s="39"/>
      <c r="Z48" s="39"/>
      <c r="AA48" s="10"/>
      <c r="AB48" s="93"/>
      <c r="AC48" s="237"/>
      <c r="AD48" s="2">
        <f t="shared" si="0"/>
        <v>0</v>
      </c>
      <c r="AE48" s="134">
        <f t="shared" si="1"/>
        <v>-1</v>
      </c>
    </row>
    <row r="49" spans="1:31" x14ac:dyDescent="0.25">
      <c r="A49" s="255" t="s">
        <v>1</v>
      </c>
      <c r="B49" s="255" t="s">
        <v>2</v>
      </c>
      <c r="C49" s="255" t="s">
        <v>4</v>
      </c>
      <c r="D49" s="256" t="s">
        <v>5</v>
      </c>
      <c r="E49" s="256" t="s">
        <v>90</v>
      </c>
      <c r="F49" s="256" t="s">
        <v>60</v>
      </c>
      <c r="G49" s="255" t="s">
        <v>3</v>
      </c>
      <c r="H49" s="255" t="s">
        <v>6</v>
      </c>
      <c r="I49" s="256" t="s">
        <v>7</v>
      </c>
      <c r="J49" s="256" t="s">
        <v>89</v>
      </c>
      <c r="K49" s="256" t="s">
        <v>61</v>
      </c>
      <c r="L49" s="255" t="s">
        <v>77</v>
      </c>
      <c r="M49" s="255" t="s">
        <v>38</v>
      </c>
      <c r="O49" s="2"/>
      <c r="P49" s="81">
        <v>0.98</v>
      </c>
      <c r="Q49" s="81">
        <f t="shared" si="5"/>
        <v>97.6374</v>
      </c>
      <c r="R49" s="81"/>
      <c r="T49" s="85" t="s">
        <v>105</v>
      </c>
      <c r="U49" s="127" t="s">
        <v>629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7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7" t="s">
        <v>170</v>
      </c>
      <c r="B50" s="258">
        <v>42374</v>
      </c>
      <c r="C50" s="253">
        <v>30</v>
      </c>
      <c r="D50" s="254">
        <v>73.8</v>
      </c>
      <c r="E50" s="254">
        <v>0</v>
      </c>
      <c r="F50" s="254">
        <f t="shared" ref="F50:F55" si="6">C50*D50+E50</f>
        <v>2214</v>
      </c>
      <c r="G50" s="258">
        <v>42398</v>
      </c>
      <c r="H50" s="259">
        <v>30</v>
      </c>
      <c r="I50" s="254">
        <v>68.8</v>
      </c>
      <c r="J50" s="254">
        <v>0.04</v>
      </c>
      <c r="K50" s="254">
        <f t="shared" ref="K50:K55" si="7">I50*H50-J50</f>
        <v>2063.96</v>
      </c>
      <c r="L50" s="258">
        <v>42432</v>
      </c>
      <c r="M50" s="254">
        <v>31.2</v>
      </c>
      <c r="O50" s="2"/>
      <c r="P50" s="81">
        <v>0.97</v>
      </c>
      <c r="Q50" s="81">
        <f t="shared" si="5"/>
        <v>96.641099999999994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7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0"/>
      <c r="B51" s="258">
        <v>42375</v>
      </c>
      <c r="C51" s="253">
        <v>30</v>
      </c>
      <c r="D51" s="254">
        <v>69.3</v>
      </c>
      <c r="E51" s="254">
        <v>0</v>
      </c>
      <c r="F51" s="254">
        <f t="shared" si="6"/>
        <v>2079</v>
      </c>
      <c r="G51" s="258">
        <v>42416</v>
      </c>
      <c r="H51" s="253">
        <v>30</v>
      </c>
      <c r="I51" s="254">
        <v>61.3</v>
      </c>
      <c r="J51" s="254">
        <v>0.04</v>
      </c>
      <c r="K51" s="254">
        <f t="shared" si="7"/>
        <v>1838.96</v>
      </c>
      <c r="L51" s="253"/>
      <c r="M51" s="253"/>
      <c r="O51" s="2"/>
      <c r="P51" s="81">
        <v>0.96</v>
      </c>
      <c r="Q51" s="81">
        <f t="shared" si="5"/>
        <v>95.644799999999989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7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3"/>
      <c r="B52" s="258">
        <v>42380</v>
      </c>
      <c r="C52" s="253">
        <v>30</v>
      </c>
      <c r="D52" s="254">
        <v>65.400000000000006</v>
      </c>
      <c r="E52" s="254">
        <v>0</v>
      </c>
      <c r="F52" s="254">
        <f t="shared" si="6"/>
        <v>1962.0000000000002</v>
      </c>
      <c r="G52" s="258">
        <v>42429</v>
      </c>
      <c r="H52" s="259">
        <v>30</v>
      </c>
      <c r="I52" s="254">
        <v>67.5</v>
      </c>
      <c r="J52" s="254">
        <v>0.04</v>
      </c>
      <c r="K52" s="254">
        <f t="shared" si="7"/>
        <v>2024.96</v>
      </c>
      <c r="L52" s="253"/>
      <c r="M52" s="253"/>
      <c r="O52" s="2"/>
      <c r="P52" s="81">
        <v>0.95</v>
      </c>
      <c r="Q52" s="81">
        <f t="shared" si="5"/>
        <v>94.648499999999984</v>
      </c>
      <c r="R52" s="81"/>
      <c r="T52" s="85" t="s">
        <v>107</v>
      </c>
      <c r="U52" s="127" t="s">
        <v>630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7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3"/>
      <c r="B53" s="258">
        <v>42402</v>
      </c>
      <c r="C53" s="267">
        <v>30</v>
      </c>
      <c r="D53" s="357">
        <v>67.2</v>
      </c>
      <c r="E53" s="357">
        <v>0</v>
      </c>
      <c r="F53" s="357">
        <f t="shared" si="6"/>
        <v>2016</v>
      </c>
      <c r="G53" s="258">
        <v>42430</v>
      </c>
      <c r="H53" s="259">
        <v>30</v>
      </c>
      <c r="I53" s="254">
        <v>69.349999999999994</v>
      </c>
      <c r="J53" s="254">
        <v>0.05</v>
      </c>
      <c r="K53" s="254">
        <f t="shared" si="7"/>
        <v>2080.4499999999998</v>
      </c>
      <c r="L53" s="253"/>
      <c r="M53" s="253"/>
      <c r="O53" s="2"/>
      <c r="P53" s="81">
        <v>0.94</v>
      </c>
      <c r="Q53" s="81">
        <f t="shared" si="5"/>
        <v>93.652199999999993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7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3"/>
      <c r="B54" s="258">
        <v>42405</v>
      </c>
      <c r="C54" s="253">
        <v>30</v>
      </c>
      <c r="D54" s="254">
        <v>62.75</v>
      </c>
      <c r="E54" s="254">
        <v>0</v>
      </c>
      <c r="F54" s="254">
        <f t="shared" si="6"/>
        <v>1882.5</v>
      </c>
      <c r="G54" s="258">
        <v>42433</v>
      </c>
      <c r="H54" s="259">
        <v>30</v>
      </c>
      <c r="I54" s="254">
        <v>73.45</v>
      </c>
      <c r="J54" s="254">
        <v>0.05</v>
      </c>
      <c r="K54" s="254">
        <f t="shared" si="7"/>
        <v>2203.4499999999998</v>
      </c>
      <c r="L54" s="253"/>
      <c r="M54" s="253"/>
      <c r="O54" s="2"/>
      <c r="P54" s="81">
        <v>0.93</v>
      </c>
      <c r="Q54" s="81">
        <f t="shared" si="5"/>
        <v>92.655900000000003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7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3"/>
      <c r="B55" s="258">
        <v>42429</v>
      </c>
      <c r="C55" s="253">
        <v>30</v>
      </c>
      <c r="D55" s="254">
        <v>66.75</v>
      </c>
      <c r="E55" s="254">
        <v>0</v>
      </c>
      <c r="F55" s="254">
        <f t="shared" si="6"/>
        <v>2002.5</v>
      </c>
      <c r="G55" s="258">
        <v>42440</v>
      </c>
      <c r="H55" s="259">
        <v>30</v>
      </c>
      <c r="I55" s="254">
        <v>72.55</v>
      </c>
      <c r="J55" s="254">
        <v>0.05</v>
      </c>
      <c r="K55" s="254">
        <f t="shared" si="7"/>
        <v>2176.4499999999998</v>
      </c>
      <c r="L55" s="253"/>
      <c r="M55" s="253"/>
      <c r="O55" s="2"/>
      <c r="P55" s="81">
        <v>0.92</v>
      </c>
      <c r="Q55" s="81">
        <f t="shared" si="5"/>
        <v>91.659599999999998</v>
      </c>
      <c r="R55" s="81"/>
      <c r="T55" s="85" t="s">
        <v>108</v>
      </c>
      <c r="U55" s="127" t="s">
        <v>540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7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3"/>
      <c r="B56" s="258">
        <v>42502</v>
      </c>
      <c r="C56" s="253">
        <v>30</v>
      </c>
      <c r="D56" s="254">
        <v>61.79</v>
      </c>
      <c r="E56" s="254">
        <v>0</v>
      </c>
      <c r="F56" s="254">
        <v>1853.7</v>
      </c>
      <c r="G56" s="253">
        <v>42544</v>
      </c>
      <c r="H56" s="253">
        <v>30</v>
      </c>
      <c r="I56" s="254">
        <v>66.83</v>
      </c>
      <c r="J56" s="254">
        <v>0.04</v>
      </c>
      <c r="K56" s="254">
        <v>2004.86</v>
      </c>
      <c r="L56" s="253"/>
      <c r="M56" s="253"/>
      <c r="O56" s="2"/>
      <c r="P56" s="81">
        <v>0.91</v>
      </c>
      <c r="Q56" s="81">
        <f t="shared" si="5"/>
        <v>90.663299999999992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7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  <c r="P57" s="81">
        <v>0.9</v>
      </c>
      <c r="Q57" s="81">
        <f t="shared" si="5"/>
        <v>89.667000000000002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7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7"/>
      <c r="B58" s="258">
        <v>42545</v>
      </c>
      <c r="C58" s="253">
        <v>60</v>
      </c>
      <c r="D58" s="254">
        <v>63.32</v>
      </c>
      <c r="E58" s="254">
        <v>0</v>
      </c>
      <c r="F58" s="254">
        <f>C58*D58+E58</f>
        <v>3799.2</v>
      </c>
      <c r="G58" s="258">
        <v>42551</v>
      </c>
      <c r="H58" s="259">
        <v>60</v>
      </c>
      <c r="I58" s="254">
        <v>62.98</v>
      </c>
      <c r="J58" s="254">
        <v>7.03</v>
      </c>
      <c r="K58" s="254">
        <f>I58*H58-J58</f>
        <v>3771.7699999999995</v>
      </c>
      <c r="L58" s="258">
        <v>42607</v>
      </c>
      <c r="M58" s="254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7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0"/>
      <c r="B59" s="258">
        <v>42548</v>
      </c>
      <c r="C59" s="253">
        <v>60</v>
      </c>
      <c r="D59" s="254">
        <v>58.55</v>
      </c>
      <c r="E59" s="254">
        <v>0</v>
      </c>
      <c r="F59" s="254">
        <f>C59*D59+E59</f>
        <v>3513</v>
      </c>
      <c r="G59" s="258">
        <v>42587</v>
      </c>
      <c r="H59" s="259">
        <v>20</v>
      </c>
      <c r="I59" s="254">
        <v>65.900000000000006</v>
      </c>
      <c r="J59" s="254">
        <v>0.03</v>
      </c>
      <c r="K59" s="254">
        <f>I59*H59-J59</f>
        <v>1317.97</v>
      </c>
      <c r="L59" s="253"/>
      <c r="M59" s="253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7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3"/>
      <c r="B60" s="258">
        <v>42557</v>
      </c>
      <c r="C60" s="253">
        <v>30</v>
      </c>
      <c r="D60" s="254">
        <v>57.58</v>
      </c>
      <c r="E60" s="254">
        <v>0</v>
      </c>
      <c r="F60" s="254">
        <f>C60*D60+E60</f>
        <v>1727.3999999999999</v>
      </c>
      <c r="G60" s="258">
        <v>42593</v>
      </c>
      <c r="H60" s="259">
        <v>70</v>
      </c>
      <c r="I60" s="254">
        <v>67.05</v>
      </c>
      <c r="J60" s="254">
        <v>0.1</v>
      </c>
      <c r="K60" s="254">
        <f>I60*H60-J60</f>
        <v>4693.3999999999996</v>
      </c>
      <c r="L60" s="253"/>
      <c r="M60" s="253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7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3"/>
      <c r="B61" s="258">
        <v>42573</v>
      </c>
      <c r="C61" s="267">
        <v>20</v>
      </c>
      <c r="D61" s="357">
        <v>63.68</v>
      </c>
      <c r="E61" s="357">
        <v>0</v>
      </c>
      <c r="F61" s="254">
        <f>C61*D61+E61</f>
        <v>1273.5999999999999</v>
      </c>
      <c r="G61" s="258">
        <v>42604</v>
      </c>
      <c r="H61" s="259">
        <v>20</v>
      </c>
      <c r="I61" s="254">
        <v>72.680000000000007</v>
      </c>
      <c r="J61" s="254">
        <v>0.03</v>
      </c>
      <c r="K61" s="254">
        <f>I61*H61-J61</f>
        <v>1453.5700000000002</v>
      </c>
      <c r="L61" s="253"/>
      <c r="M61" s="253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7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3"/>
      <c r="B62" s="258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7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7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7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7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7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7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7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92" t="s">
        <v>120</v>
      </c>
      <c r="X69" s="10"/>
      <c r="Y69" s="39"/>
      <c r="Z69" s="39"/>
      <c r="AA69" s="10"/>
      <c r="AB69" s="93"/>
      <c r="AC69" s="237"/>
      <c r="AD69" s="2" t="e">
        <f>#REF!-#REF!</f>
        <v>#REF!</v>
      </c>
      <c r="AE69" s="134" t="e">
        <f>#REF!/AC69-1</f>
        <v>#REF!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9"/>
      <c r="I70" s="254"/>
      <c r="J70" s="254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3"/>
      <c r="H71" s="259"/>
      <c r="I71" s="254"/>
      <c r="J71" s="254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3"/>
      <c r="H72" s="259"/>
      <c r="I72" s="254"/>
      <c r="J72" s="254"/>
      <c r="K72" s="254"/>
      <c r="L72" s="253"/>
      <c r="M72" s="253"/>
    </row>
    <row r="73" spans="1:31" x14ac:dyDescent="0.25">
      <c r="A73" s="253"/>
      <c r="B73" s="253"/>
      <c r="C73" s="253"/>
      <c r="D73" s="254"/>
      <c r="E73" s="254"/>
      <c r="F73" s="254"/>
      <c r="G73" s="253"/>
      <c r="H73" s="259"/>
      <c r="I73" s="254"/>
      <c r="J73" s="254"/>
      <c r="K73" s="254"/>
      <c r="L73" s="253"/>
      <c r="M73" s="253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2" t="s">
        <v>194</v>
      </c>
      <c r="B75" s="443"/>
      <c r="C75" s="444">
        <f>SumByColor($A$19,C58:C73)</f>
        <v>0</v>
      </c>
      <c r="D75" s="444"/>
      <c r="E75" s="444"/>
      <c r="F75" s="445">
        <f>SumByColor($A$19,F58:F73)</f>
        <v>0</v>
      </c>
      <c r="G75" s="444"/>
      <c r="H75" s="444">
        <f>SumByColor($A$19,H58:H73)</f>
        <v>0</v>
      </c>
      <c r="I75" s="444"/>
      <c r="J75" s="444"/>
      <c r="K75" s="445">
        <f>SumByColor($A$19,K58:K73)</f>
        <v>0</v>
      </c>
      <c r="L75" s="444"/>
      <c r="M75" s="44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85" priority="29">
      <formula>F40&gt;0</formula>
    </cfRule>
    <cfRule type="expression" dxfId="684" priority="30">
      <formula>F40&lt;0</formula>
    </cfRule>
  </conditionalFormatting>
  <conditionalFormatting sqref="F40:F45">
    <cfRule type="expression" dxfId="683" priority="31">
      <formula>F40&gt;0</formula>
    </cfRule>
    <cfRule type="expression" dxfId="682" priority="32">
      <formula>F40&lt;0</formula>
    </cfRule>
  </conditionalFormatting>
  <conditionalFormatting sqref="H40:H45">
    <cfRule type="expression" dxfId="681" priority="27">
      <formula>H40&gt;0</formula>
    </cfRule>
    <cfRule type="expression" dxfId="680" priority="28">
      <formula>H40&lt;0</formula>
    </cfRule>
  </conditionalFormatting>
  <conditionalFormatting sqref="F23:F39">
    <cfRule type="expression" dxfId="679" priority="13">
      <formula>F23&gt;0</formula>
    </cfRule>
    <cfRule type="expression" dxfId="678" priority="14">
      <formula>F23&lt;0</formula>
    </cfRule>
  </conditionalFormatting>
  <conditionalFormatting sqref="H23:H39">
    <cfRule type="expression" dxfId="677" priority="11">
      <formula>H23&gt;0</formula>
    </cfRule>
    <cfRule type="expression" dxfId="676" priority="12">
      <formula>H23&lt;0</formula>
    </cfRule>
  </conditionalFormatting>
  <conditionalFormatting sqref="Q7">
    <cfRule type="expression" dxfId="675" priority="9">
      <formula>Q7&gt;0</formula>
    </cfRule>
    <cfRule type="expression" dxfId="674" priority="10">
      <formula>Q7&lt;0</formula>
    </cfRule>
  </conditionalFormatting>
  <conditionalFormatting sqref="Q8">
    <cfRule type="expression" dxfId="673" priority="7">
      <formula>Q8&gt;0</formula>
    </cfRule>
    <cfRule type="expression" dxfId="672" priority="8">
      <formula>Q8&lt;0</formula>
    </cfRule>
  </conditionalFormatting>
  <conditionalFormatting sqref="Q10">
    <cfRule type="expression" dxfId="671" priority="1">
      <formula>Q10&gt;0</formula>
    </cfRule>
    <cfRule type="expression" dxfId="67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9"/>
      <c r="D2" s="234"/>
      <c r="E2" s="3"/>
      <c r="F2" s="3"/>
      <c r="G2" s="72"/>
      <c r="H2" s="179"/>
      <c r="I2" s="234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9"/>
      <c r="D3" s="234"/>
      <c r="E3" s="3"/>
      <c r="F3" s="3"/>
      <c r="G3" s="72"/>
      <c r="H3" s="179"/>
      <c r="I3" s="234"/>
      <c r="J3" s="3"/>
      <c r="K3" s="3"/>
      <c r="L3" s="4"/>
      <c r="O3" s="11" t="s">
        <v>75</v>
      </c>
      <c r="Q3" s="224">
        <f>IF(Q2=0, Q4, (F18-K18-M18)/Q2)</f>
        <v>73.709999999999994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9"/>
      <c r="AL3" s="228"/>
      <c r="AO3" s="228"/>
    </row>
    <row r="4" spans="1:42" x14ac:dyDescent="0.25">
      <c r="B4" s="72"/>
      <c r="C4" s="179"/>
      <c r="D4" s="234"/>
      <c r="E4" s="3"/>
      <c r="F4" s="3"/>
      <c r="G4" s="72"/>
      <c r="H4" s="179"/>
      <c r="I4" s="234"/>
      <c r="J4" s="3"/>
      <c r="K4" s="3"/>
      <c r="L4" s="4"/>
      <c r="O4" s="11" t="s">
        <v>66</v>
      </c>
      <c r="Q4" s="54">
        <v>73.709999999999994</v>
      </c>
      <c r="R4" s="478">
        <v>3.7000000000000002E-3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8"/>
      <c r="AO4" s="228"/>
    </row>
    <row r="5" spans="1:42" x14ac:dyDescent="0.25">
      <c r="B5" s="72"/>
      <c r="C5" s="179"/>
      <c r="D5" s="234"/>
      <c r="E5" s="3"/>
      <c r="F5" s="3"/>
      <c r="G5" s="72"/>
      <c r="H5" s="179"/>
      <c r="I5" s="234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8"/>
      <c r="AO5" s="228"/>
    </row>
    <row r="6" spans="1:42" x14ac:dyDescent="0.25">
      <c r="B6" s="72"/>
      <c r="C6" s="179"/>
      <c r="D6" s="234"/>
      <c r="E6" s="3"/>
      <c r="F6" s="3"/>
      <c r="G6" s="72"/>
      <c r="H6" s="179"/>
      <c r="I6" s="234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8"/>
      <c r="AO6" s="228"/>
    </row>
    <row r="7" spans="1:42" x14ac:dyDescent="0.25">
      <c r="B7" s="72"/>
      <c r="C7" s="179"/>
      <c r="D7" s="234"/>
      <c r="E7" s="3"/>
      <c r="F7" s="3"/>
      <c r="G7" s="72"/>
      <c r="H7" s="179"/>
      <c r="I7" s="234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8"/>
      <c r="AO7" s="228"/>
    </row>
    <row r="8" spans="1:42" x14ac:dyDescent="0.25">
      <c r="B8" s="72"/>
      <c r="C8" s="179"/>
      <c r="D8" s="234"/>
      <c r="E8" s="3"/>
      <c r="F8" s="3"/>
      <c r="G8" s="72"/>
      <c r="H8" s="179"/>
      <c r="I8" s="234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8"/>
      <c r="AO8" s="228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8"/>
      <c r="AO9" s="228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8"/>
      <c r="AO10" s="228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8"/>
      <c r="AO11" s="228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8"/>
      <c r="AO12" s="228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8"/>
      <c r="AO15" s="228"/>
      <c r="AP15" s="228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8"/>
      <c r="AO17" s="228"/>
      <c r="AP17" s="228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4"/>
      <c r="E19" s="3"/>
      <c r="F19" s="3"/>
      <c r="G19" s="72"/>
      <c r="H19" s="179"/>
      <c r="I19" s="234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8"/>
      <c r="AO19" s="228"/>
    </row>
    <row r="20" spans="1:42" x14ac:dyDescent="0.25">
      <c r="B20" s="72"/>
      <c r="C20" s="4"/>
      <c r="D20" s="234"/>
      <c r="E20" s="3"/>
      <c r="F20" s="3"/>
      <c r="G20" s="72"/>
      <c r="H20" s="179"/>
      <c r="I20" s="234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4"/>
      <c r="E21" s="3"/>
      <c r="F21" s="3"/>
      <c r="G21" s="72"/>
      <c r="H21" s="179"/>
      <c r="I21" s="234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5" t="s">
        <v>113</v>
      </c>
      <c r="C22" s="185" t="s">
        <v>146</v>
      </c>
      <c r="D22" s="193" t="s">
        <v>145</v>
      </c>
      <c r="E22" s="189" t="s">
        <v>147</v>
      </c>
      <c r="F22" s="189" t="s">
        <v>65</v>
      </c>
      <c r="G22" s="223" t="s">
        <v>151</v>
      </c>
      <c r="H22" s="189" t="s">
        <v>88</v>
      </c>
      <c r="I22" s="235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7">
        <v>42375</v>
      </c>
      <c r="C23" s="10">
        <v>40</v>
      </c>
      <c r="D23" s="194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5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7">
        <v>42403</v>
      </c>
      <c r="C24" s="10">
        <v>40</v>
      </c>
      <c r="D24" s="194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5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7">
        <v>42416</v>
      </c>
      <c r="C25" s="10">
        <v>0</v>
      </c>
      <c r="D25" s="194">
        <v>0</v>
      </c>
      <c r="E25" s="39">
        <v>0</v>
      </c>
      <c r="F25" s="39">
        <v>121.95</v>
      </c>
      <c r="G25" s="39"/>
      <c r="H25" s="226"/>
      <c r="I25" s="194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8"/>
      <c r="AO25" s="228"/>
    </row>
    <row r="26" spans="1:42" x14ac:dyDescent="0.25">
      <c r="B26" s="187"/>
      <c r="C26" s="10"/>
      <c r="D26" s="194"/>
      <c r="E26" s="39"/>
      <c r="F26" s="39"/>
      <c r="G26" s="39"/>
      <c r="H26" s="226"/>
      <c r="I26" s="194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7"/>
      <c r="C27" s="10"/>
      <c r="D27" s="194"/>
      <c r="E27" s="39"/>
      <c r="F27" s="39"/>
      <c r="G27" s="39"/>
      <c r="H27" s="226"/>
      <c r="I27" s="194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8"/>
      <c r="AO27" s="228"/>
    </row>
    <row r="28" spans="1:42" x14ac:dyDescent="0.25">
      <c r="B28" s="187"/>
      <c r="C28" s="10"/>
      <c r="D28" s="194"/>
      <c r="E28" s="39"/>
      <c r="F28" s="39"/>
      <c r="G28" s="39"/>
      <c r="H28" s="226"/>
      <c r="I28" s="194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7"/>
      <c r="C29" s="10"/>
      <c r="D29" s="194"/>
      <c r="E29" s="39"/>
      <c r="F29" s="39"/>
      <c r="G29" s="39"/>
      <c r="H29" s="226"/>
      <c r="I29" s="194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7"/>
      <c r="C30" s="10"/>
      <c r="D30" s="194"/>
      <c r="E30" s="39"/>
      <c r="F30" s="39"/>
      <c r="G30" s="39"/>
      <c r="H30" s="226"/>
      <c r="I30" s="194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7"/>
      <c r="C31" s="10"/>
      <c r="D31" s="194"/>
      <c r="E31" s="39"/>
      <c r="F31" s="39"/>
      <c r="G31" s="39"/>
      <c r="H31" s="226"/>
      <c r="I31" s="194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8"/>
      <c r="AO31" s="228"/>
    </row>
    <row r="32" spans="1:42" x14ac:dyDescent="0.25">
      <c r="B32" s="187"/>
      <c r="C32" s="10"/>
      <c r="D32" s="194"/>
      <c r="E32" s="39"/>
      <c r="F32" s="39"/>
      <c r="G32" s="39"/>
      <c r="H32" s="226"/>
      <c r="I32" s="194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4"/>
      <c r="E33" s="3"/>
      <c r="F33" s="3"/>
      <c r="G33" s="3"/>
      <c r="H33" s="227"/>
      <c r="I33" s="234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8"/>
      <c r="AO33" s="228"/>
    </row>
    <row r="34" spans="1:41" x14ac:dyDescent="0.25">
      <c r="B34" s="72"/>
      <c r="C34" s="4"/>
      <c r="D34" s="234"/>
      <c r="E34" s="3"/>
      <c r="F34" s="3"/>
      <c r="G34" s="3"/>
      <c r="H34" s="227"/>
      <c r="I34" s="234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4"/>
      <c r="E35" s="3"/>
      <c r="F35" s="3"/>
      <c r="G35" s="3"/>
      <c r="H35" s="227"/>
      <c r="I35" s="234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8"/>
      <c r="AO35" s="228"/>
    </row>
    <row r="36" spans="1:41" x14ac:dyDescent="0.25">
      <c r="B36" s="72"/>
      <c r="C36" s="4"/>
      <c r="D36" s="234"/>
      <c r="E36" s="3"/>
      <c r="F36" s="3"/>
      <c r="G36" s="3"/>
      <c r="H36" s="227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1" t="s">
        <v>1</v>
      </c>
      <c r="B37" s="371" t="s">
        <v>2</v>
      </c>
      <c r="C37" s="371" t="s">
        <v>4</v>
      </c>
      <c r="D37" s="372" t="s">
        <v>5</v>
      </c>
      <c r="E37" s="373" t="s">
        <v>94</v>
      </c>
      <c r="F37" s="373" t="s">
        <v>60</v>
      </c>
      <c r="G37" s="371" t="s">
        <v>3</v>
      </c>
      <c r="H37" s="371" t="s">
        <v>6</v>
      </c>
      <c r="I37" s="372" t="s">
        <v>7</v>
      </c>
      <c r="J37" s="373" t="s">
        <v>95</v>
      </c>
      <c r="K37" s="37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4" t="s">
        <v>8</v>
      </c>
      <c r="B38" s="364">
        <v>42375</v>
      </c>
      <c r="C38" s="369">
        <v>40</v>
      </c>
      <c r="D38" s="370">
        <v>52.4</v>
      </c>
      <c r="E38" s="366">
        <v>0</v>
      </c>
      <c r="F38" s="366">
        <f>C38*D38+E38</f>
        <v>2096</v>
      </c>
      <c r="G38" s="364">
        <v>42416</v>
      </c>
      <c r="H38" s="369">
        <v>40</v>
      </c>
      <c r="I38" s="370">
        <v>55.45</v>
      </c>
      <c r="J38" s="366">
        <v>0.05</v>
      </c>
      <c r="K38" s="366">
        <f>H38*I38-J38</f>
        <v>2217.9499999999998</v>
      </c>
      <c r="L38" s="365"/>
      <c r="M38" s="36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5"/>
      <c r="B39" s="364"/>
      <c r="C39" s="369"/>
      <c r="D39" s="370"/>
      <c r="E39" s="366"/>
      <c r="F39" s="366"/>
      <c r="G39" s="364"/>
      <c r="H39" s="369"/>
      <c r="I39" s="370"/>
      <c r="J39" s="366"/>
      <c r="K39" s="366"/>
      <c r="L39" s="365"/>
      <c r="M39" s="36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5"/>
      <c r="B40" s="364"/>
      <c r="C40" s="369"/>
      <c r="D40" s="370"/>
      <c r="E40" s="366"/>
      <c r="F40" s="366"/>
      <c r="G40" s="364"/>
      <c r="H40" s="369"/>
      <c r="I40" s="370"/>
      <c r="J40" s="366"/>
      <c r="K40" s="366"/>
      <c r="L40" s="365"/>
      <c r="M40" s="36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5"/>
      <c r="B41" s="364"/>
      <c r="C41" s="369"/>
      <c r="D41" s="370"/>
      <c r="E41" s="366"/>
      <c r="F41" s="366"/>
      <c r="G41" s="364"/>
      <c r="H41" s="369"/>
      <c r="I41" s="370"/>
      <c r="J41" s="366"/>
      <c r="K41" s="366"/>
      <c r="L41" s="365"/>
      <c r="M41" s="36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8"/>
      <c r="AO41" s="228"/>
    </row>
    <row r="42" spans="1:41" ht="20.25" thickBot="1" x14ac:dyDescent="0.35">
      <c r="A42" s="365"/>
      <c r="B42" s="364"/>
      <c r="C42" s="369"/>
      <c r="D42" s="370"/>
      <c r="E42" s="366"/>
      <c r="F42" s="366"/>
      <c r="G42" s="364"/>
      <c r="H42" s="369"/>
      <c r="I42" s="370"/>
      <c r="J42" s="366"/>
      <c r="K42" s="366"/>
      <c r="L42" s="365"/>
      <c r="M42" s="365"/>
      <c r="O42" s="359" t="s">
        <v>78</v>
      </c>
      <c r="P42" s="359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5"/>
      <c r="B43" s="364"/>
      <c r="C43" s="369"/>
      <c r="D43" s="370"/>
      <c r="E43" s="366"/>
      <c r="F43" s="366"/>
      <c r="G43" s="364"/>
      <c r="H43" s="369"/>
      <c r="I43" s="370"/>
      <c r="J43" s="366"/>
      <c r="K43" s="366"/>
      <c r="L43" s="365"/>
      <c r="M43" s="365"/>
      <c r="O43" s="81">
        <v>1.1000000000000001</v>
      </c>
      <c r="P43" s="81">
        <f t="shared" ref="P43:P63" si="2">O43*$Q$4</f>
        <v>81.081000000000003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5"/>
      <c r="B44" s="364"/>
      <c r="C44" s="369"/>
      <c r="D44" s="370"/>
      <c r="E44" s="366"/>
      <c r="F44" s="366"/>
      <c r="G44" s="364"/>
      <c r="H44" s="369"/>
      <c r="I44" s="370"/>
      <c r="J44" s="366"/>
      <c r="K44" s="366"/>
      <c r="L44" s="365"/>
      <c r="M44" s="365"/>
      <c r="O44" s="81">
        <v>1.0900000000000001</v>
      </c>
      <c r="P44" s="81">
        <f t="shared" si="2"/>
        <v>80.343900000000005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5"/>
      <c r="B45" s="365"/>
      <c r="C45" s="365"/>
      <c r="D45" s="370"/>
      <c r="E45" s="366"/>
      <c r="F45" s="366"/>
      <c r="G45" s="365"/>
      <c r="H45" s="365"/>
      <c r="I45" s="370"/>
      <c r="J45" s="366"/>
      <c r="K45" s="366"/>
      <c r="L45" s="365"/>
      <c r="M45" s="365"/>
      <c r="O45" s="81">
        <v>1.08</v>
      </c>
      <c r="P45" s="81">
        <f t="shared" si="2"/>
        <v>79.606799999999993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8"/>
      <c r="AO45" s="228"/>
    </row>
    <row r="46" spans="1:41" x14ac:dyDescent="0.25">
      <c r="A46" s="365"/>
      <c r="B46" s="365"/>
      <c r="C46" s="365"/>
      <c r="D46" s="370"/>
      <c r="E46" s="366"/>
      <c r="F46" s="366"/>
      <c r="G46" s="365"/>
      <c r="H46" s="365"/>
      <c r="I46" s="370"/>
      <c r="J46" s="366"/>
      <c r="K46" s="366"/>
      <c r="L46" s="365"/>
      <c r="M46" s="365"/>
      <c r="O46" s="81">
        <v>1.07</v>
      </c>
      <c r="P46" s="81">
        <f t="shared" si="2"/>
        <v>78.869699999999995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5"/>
      <c r="B47" s="365"/>
      <c r="C47" s="365"/>
      <c r="D47" s="370"/>
      <c r="E47" s="366"/>
      <c r="F47" s="366"/>
      <c r="G47" s="365"/>
      <c r="H47" s="365"/>
      <c r="I47" s="370"/>
      <c r="J47" s="366"/>
      <c r="K47" s="366"/>
      <c r="L47" s="365"/>
      <c r="M47" s="365"/>
      <c r="O47" s="81">
        <v>1.06</v>
      </c>
      <c r="P47" s="81">
        <f t="shared" si="2"/>
        <v>78.132599999999996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5"/>
      <c r="B48" s="365"/>
      <c r="C48" s="365"/>
      <c r="D48" s="370"/>
      <c r="E48" s="366"/>
      <c r="F48" s="366"/>
      <c r="G48" s="365"/>
      <c r="H48" s="365"/>
      <c r="I48" s="370"/>
      <c r="J48" s="366"/>
      <c r="K48" s="366"/>
      <c r="L48" s="365"/>
      <c r="M48" s="365"/>
      <c r="O48" s="81">
        <v>1.05</v>
      </c>
      <c r="P48" s="81">
        <f t="shared" si="2"/>
        <v>77.395499999999998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5"/>
      <c r="B49" s="365"/>
      <c r="C49" s="365"/>
      <c r="D49" s="370"/>
      <c r="E49" s="366"/>
      <c r="F49" s="366"/>
      <c r="G49" s="365"/>
      <c r="H49" s="365"/>
      <c r="I49" s="370"/>
      <c r="J49" s="366"/>
      <c r="K49" s="366"/>
      <c r="L49" s="365"/>
      <c r="M49" s="365"/>
      <c r="O49" s="81">
        <v>1.04</v>
      </c>
      <c r="P49" s="81">
        <f t="shared" si="2"/>
        <v>76.6584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5"/>
      <c r="B50" s="365"/>
      <c r="C50" s="365"/>
      <c r="D50" s="370"/>
      <c r="E50" s="366"/>
      <c r="F50" s="366"/>
      <c r="G50" s="365"/>
      <c r="H50" s="365"/>
      <c r="I50" s="370"/>
      <c r="J50" s="366"/>
      <c r="K50" s="366"/>
      <c r="L50" s="365"/>
      <c r="M50" s="365"/>
      <c r="O50" s="81">
        <v>1.03</v>
      </c>
      <c r="P50" s="81">
        <f t="shared" si="2"/>
        <v>75.921300000000002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5"/>
      <c r="B51" s="365"/>
      <c r="C51" s="365"/>
      <c r="D51" s="370"/>
      <c r="E51" s="366"/>
      <c r="F51" s="366"/>
      <c r="G51" s="365"/>
      <c r="H51" s="365"/>
      <c r="I51" s="370"/>
      <c r="J51" s="366"/>
      <c r="K51" s="366"/>
      <c r="L51" s="365"/>
      <c r="M51" s="365"/>
      <c r="O51" s="81">
        <v>1.02</v>
      </c>
      <c r="P51" s="81">
        <f t="shared" si="2"/>
        <v>75.18419999999999</v>
      </c>
      <c r="Q51" s="2"/>
      <c r="T51" s="106" t="s">
        <v>104</v>
      </c>
      <c r="U51" s="104" t="s">
        <v>631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5"/>
      <c r="B52" s="365"/>
      <c r="C52" s="365"/>
      <c r="D52" s="370"/>
      <c r="E52" s="366"/>
      <c r="F52" s="366"/>
      <c r="G52" s="365"/>
      <c r="H52" s="365"/>
      <c r="I52" s="370"/>
      <c r="J52" s="366"/>
      <c r="K52" s="366"/>
      <c r="L52" s="365"/>
      <c r="M52" s="365"/>
      <c r="O52" s="81">
        <v>1.01</v>
      </c>
      <c r="P52" s="81">
        <f t="shared" si="2"/>
        <v>74.447099999999992</v>
      </c>
      <c r="Q52" s="2"/>
      <c r="T52" s="106" t="s">
        <v>105</v>
      </c>
      <c r="U52" s="104" t="s">
        <v>632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5"/>
      <c r="B53" s="365"/>
      <c r="C53" s="365"/>
      <c r="D53" s="370"/>
      <c r="E53" s="366"/>
      <c r="F53" s="366"/>
      <c r="G53" s="365"/>
      <c r="H53" s="365"/>
      <c r="I53" s="370"/>
      <c r="J53" s="366"/>
      <c r="K53" s="366"/>
      <c r="L53" s="365"/>
      <c r="M53" s="365"/>
      <c r="O53" s="81">
        <v>1</v>
      </c>
      <c r="P53" s="81">
        <f t="shared" si="2"/>
        <v>73.709999999999994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8"/>
      <c r="AO53" s="228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72.972899999999996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72.235799999999998</v>
      </c>
      <c r="T55" s="106" t="s">
        <v>107</v>
      </c>
      <c r="U55" s="104" t="s">
        <v>633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71.498699999999985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70.761599999999987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8"/>
      <c r="AO57" s="228"/>
    </row>
    <row r="58" spans="1:42" x14ac:dyDescent="0.25">
      <c r="O58" s="81">
        <v>0.95</v>
      </c>
      <c r="P58" s="81">
        <f t="shared" si="2"/>
        <v>70.024499999999989</v>
      </c>
      <c r="T58" s="106" t="s">
        <v>108</v>
      </c>
      <c r="U58" s="104" t="s">
        <v>525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69.287399999999991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8"/>
    </row>
    <row r="60" spans="1:42" x14ac:dyDescent="0.25">
      <c r="O60" s="81">
        <v>0.93</v>
      </c>
      <c r="P60" s="81">
        <f t="shared" si="2"/>
        <v>68.550299999999993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67.813199999999995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8"/>
      <c r="AO61" s="228"/>
    </row>
    <row r="62" spans="1:42" x14ac:dyDescent="0.25">
      <c r="O62" s="81">
        <v>0.91</v>
      </c>
      <c r="P62" s="81">
        <f t="shared" si="2"/>
        <v>67.076099999999997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66.338999999999999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8"/>
      <c r="AO63" s="228"/>
      <c r="AP63" s="228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8"/>
      <c r="AO65" s="228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8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69" priority="39">
      <formula>Q12&gt;0</formula>
    </cfRule>
    <cfRule type="expression" dxfId="66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67" priority="33">
      <formula>F25&gt;0</formula>
    </cfRule>
    <cfRule type="expression" dxfId="666" priority="34">
      <formula>F25&lt;0</formula>
    </cfRule>
  </conditionalFormatting>
  <conditionalFormatting sqref="F30">
    <cfRule type="expression" dxfId="665" priority="31">
      <formula>F30&gt;0</formula>
    </cfRule>
    <cfRule type="expression" dxfId="664" priority="32">
      <formula>F30&lt;0</formula>
    </cfRule>
  </conditionalFormatting>
  <conditionalFormatting sqref="F31">
    <cfRule type="expression" dxfId="663" priority="29">
      <formula>F31&gt;0</formula>
    </cfRule>
    <cfRule type="expression" dxfId="662" priority="30">
      <formula>F31&lt;0</formula>
    </cfRule>
  </conditionalFormatting>
  <conditionalFormatting sqref="F32:F34">
    <cfRule type="expression" dxfId="661" priority="27">
      <formula>F32&gt;0</formula>
    </cfRule>
    <cfRule type="expression" dxfId="660" priority="28">
      <formula>F32&lt;0</formula>
    </cfRule>
  </conditionalFormatting>
  <conditionalFormatting sqref="H25:H29">
    <cfRule type="expression" dxfId="659" priority="25">
      <formula>H25&gt;0</formula>
    </cfRule>
    <cfRule type="expression" dxfId="658" priority="26">
      <formula>H25&lt;0</formula>
    </cfRule>
  </conditionalFormatting>
  <conditionalFormatting sqref="H30">
    <cfRule type="expression" dxfId="657" priority="23">
      <formula>H30&gt;0</formula>
    </cfRule>
    <cfRule type="expression" dxfId="656" priority="24">
      <formula>H30&lt;0</formula>
    </cfRule>
  </conditionalFormatting>
  <conditionalFormatting sqref="H31">
    <cfRule type="expression" dxfId="655" priority="21">
      <formula>H31&gt;0</formula>
    </cfRule>
    <cfRule type="expression" dxfId="654" priority="22">
      <formula>H31&lt;0</formula>
    </cfRule>
  </conditionalFormatting>
  <conditionalFormatting sqref="H32:H34">
    <cfRule type="expression" dxfId="653" priority="19">
      <formula>H32&gt;0</formula>
    </cfRule>
    <cfRule type="expression" dxfId="652" priority="20">
      <formula>H32&lt;0</formula>
    </cfRule>
  </conditionalFormatting>
  <conditionalFormatting sqref="F35">
    <cfRule type="expression" dxfId="651" priority="17">
      <formula>F35&gt;0</formula>
    </cfRule>
    <cfRule type="expression" dxfId="650" priority="18">
      <formula>F35&lt;0</formula>
    </cfRule>
  </conditionalFormatting>
  <conditionalFormatting sqref="H35">
    <cfRule type="expression" dxfId="649" priority="15">
      <formula>H35&gt;0</formula>
    </cfRule>
    <cfRule type="expression" dxfId="648" priority="16">
      <formula>H35&lt;0</formula>
    </cfRule>
  </conditionalFormatting>
  <conditionalFormatting sqref="F36">
    <cfRule type="expression" dxfId="647" priority="13">
      <formula>F36&gt;0</formula>
    </cfRule>
    <cfRule type="expression" dxfId="646" priority="14">
      <formula>F36&lt;0</formula>
    </cfRule>
  </conditionalFormatting>
  <conditionalFormatting sqref="H36">
    <cfRule type="expression" dxfId="645" priority="11">
      <formula>H36&gt;0</formula>
    </cfRule>
    <cfRule type="expression" dxfId="644" priority="12">
      <formula>H36&lt;0</formula>
    </cfRule>
  </conditionalFormatting>
  <conditionalFormatting sqref="H23:H24">
    <cfRule type="expression" dxfId="643" priority="5">
      <formula>H23&gt;0</formula>
    </cfRule>
    <cfRule type="expression" dxfId="642" priority="6">
      <formula>H23&lt;0</formula>
    </cfRule>
  </conditionalFormatting>
  <conditionalFormatting sqref="F23:F24">
    <cfRule type="expression" dxfId="641" priority="7">
      <formula>F23&gt;0</formula>
    </cfRule>
    <cfRule type="expression" dxfId="640" priority="8">
      <formula>F23&lt;0</formula>
    </cfRule>
  </conditionalFormatting>
  <conditionalFormatting sqref="Q7">
    <cfRule type="expression" dxfId="639" priority="3">
      <formula>Q7&gt;0</formula>
    </cfRule>
    <cfRule type="expression" dxfId="638" priority="4">
      <formula>Q7&lt;0</formula>
    </cfRule>
  </conditionalFormatting>
  <conditionalFormatting sqref="Q8">
    <cfRule type="expression" dxfId="637" priority="1">
      <formula>Q8&gt;0</formula>
    </cfRule>
    <cfRule type="expression" dxfId="63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7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7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2"/>
      <c r="X2" s="134"/>
    </row>
    <row r="3" spans="1:33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9"/>
      <c r="I3" s="3"/>
      <c r="J3" s="3"/>
      <c r="K3" s="3"/>
      <c r="L3" s="72">
        <v>43160</v>
      </c>
      <c r="M3" s="43">
        <v>31.2</v>
      </c>
      <c r="O3" s="11" t="s">
        <v>58</v>
      </c>
      <c r="Q3" s="224">
        <f>IF(Q2=0, Q4, (F18-K18-M18)/Q2)</f>
        <v>52.874250000000004</v>
      </c>
      <c r="T3" s="118"/>
      <c r="W3" s="2"/>
      <c r="X3" s="134"/>
      <c r="AG3" s="228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9"/>
      <c r="I4" s="3"/>
      <c r="J4" s="3"/>
      <c r="K4" s="3"/>
      <c r="L4" s="72"/>
      <c r="M4" s="4"/>
      <c r="O4" s="11" t="s">
        <v>66</v>
      </c>
      <c r="Q4" s="54">
        <v>50.39</v>
      </c>
      <c r="R4" s="478">
        <v>-3.5999999999999999E-3</v>
      </c>
      <c r="T4" s="833">
        <v>43203</v>
      </c>
      <c r="U4" t="s">
        <v>1030</v>
      </c>
      <c r="W4" s="2"/>
      <c r="X4" s="134"/>
      <c r="AD4" s="228"/>
      <c r="AG4" s="228"/>
    </row>
    <row r="5" spans="1:33" x14ac:dyDescent="0.25">
      <c r="B5" s="477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7"/>
      <c r="I5" s="73"/>
      <c r="J5" s="73"/>
      <c r="K5" s="3"/>
      <c r="L5" s="4"/>
      <c r="M5" s="4"/>
      <c r="O5" s="11" t="s">
        <v>67</v>
      </c>
      <c r="Q5" s="3">
        <f>Q4*Q2</f>
        <v>10078</v>
      </c>
      <c r="U5" t="s">
        <v>1034</v>
      </c>
      <c r="W5" s="2"/>
      <c r="X5" s="134"/>
      <c r="AD5" s="228"/>
      <c r="AG5" s="228"/>
    </row>
    <row r="6" spans="1:33" x14ac:dyDescent="0.25">
      <c r="B6" s="72"/>
      <c r="C6" s="4"/>
      <c r="D6" s="3"/>
      <c r="E6" s="3"/>
      <c r="F6" s="3"/>
      <c r="G6" s="72"/>
      <c r="H6" s="179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9"/>
      <c r="I7" s="3"/>
      <c r="J7" s="3"/>
      <c r="K7" s="73"/>
      <c r="L7" s="4"/>
      <c r="M7" s="4"/>
      <c r="O7" s="11" t="s">
        <v>178</v>
      </c>
      <c r="P7"/>
      <c r="Q7" s="2">
        <f>Q10+Q8</f>
        <v>1107.7300000000014</v>
      </c>
      <c r="R7">
        <v>120</v>
      </c>
      <c r="T7" s="83"/>
      <c r="W7" s="2"/>
      <c r="X7" s="134"/>
      <c r="AD7" s="228"/>
      <c r="AG7" s="228"/>
    </row>
    <row r="8" spans="1:33" x14ac:dyDescent="0.25">
      <c r="G8" s="72"/>
      <c r="H8" s="179"/>
      <c r="I8" s="3"/>
      <c r="J8" s="3"/>
      <c r="K8" s="3"/>
      <c r="L8" s="4"/>
      <c r="M8" s="4"/>
      <c r="O8" s="11" t="s">
        <v>180</v>
      </c>
      <c r="Q8" s="2">
        <f>K18+M18-F18+Q2*Q4</f>
        <v>-496.85000000000036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P9"/>
      <c r="Q9" s="134">
        <f>IF(Q2=0, 0, Q8/Q6)</f>
        <v>-4.698411797803282E-2</v>
      </c>
      <c r="W9" s="2"/>
      <c r="X9" s="134"/>
      <c r="AD9" s="228"/>
      <c r="AG9" s="228"/>
    </row>
    <row r="10" spans="1:33" x14ac:dyDescent="0.25">
      <c r="B10" s="72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Q11" s="134">
        <f>0.39*4/Q4</f>
        <v>3.095852351657075E-2</v>
      </c>
      <c r="R11">
        <v>0.39</v>
      </c>
      <c r="W11" s="2"/>
      <c r="X11" s="134"/>
      <c r="AD11" s="228"/>
      <c r="AG11" s="228"/>
    </row>
    <row r="12" spans="1:33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O12" s="11" t="s">
        <v>968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2"/>
      <c r="X13" s="134"/>
      <c r="AD13" s="228"/>
      <c r="AG13" s="228"/>
    </row>
    <row r="14" spans="1:33" x14ac:dyDescent="0.25">
      <c r="B14" s="4"/>
      <c r="C14" s="4"/>
      <c r="D14" s="3"/>
      <c r="E14" s="3"/>
      <c r="F14" s="3"/>
      <c r="G14" s="4"/>
      <c r="H14" s="179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8"/>
      <c r="AG15" s="228"/>
    </row>
    <row r="16" spans="1:33" ht="20.25" thickBot="1" x14ac:dyDescent="0.35">
      <c r="H16" s="70"/>
      <c r="P16" s="832" t="s">
        <v>78</v>
      </c>
      <c r="Q16" s="832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55.429000000000002</v>
      </c>
      <c r="W17" s="2"/>
      <c r="X17" s="134"/>
      <c r="AD17" s="228"/>
      <c r="AG17" s="228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54.925100000000008</v>
      </c>
      <c r="W18" s="2"/>
      <c r="X18" s="134"/>
    </row>
    <row r="19" spans="1:33" ht="15.75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2151</v>
      </c>
      <c r="G19" s="346"/>
      <c r="H19" s="346">
        <f>SumByColor($A$19,H2:H17)</f>
        <v>40</v>
      </c>
      <c r="I19" s="346"/>
      <c r="J19" s="346"/>
      <c r="K19" s="347">
        <f>SumByColor($A$19,K2:K17)</f>
        <v>2291</v>
      </c>
      <c r="L19" s="346"/>
      <c r="M19" s="347">
        <f>SumByColor($A$19,M2:M17)</f>
        <v>78</v>
      </c>
      <c r="P19" s="81">
        <v>1.08</v>
      </c>
      <c r="Q19" s="81">
        <f t="shared" si="0"/>
        <v>54.421200000000006</v>
      </c>
      <c r="W19" s="2"/>
      <c r="X19" s="134"/>
      <c r="AD19" s="228"/>
      <c r="AG19" s="228"/>
    </row>
    <row r="20" spans="1:33" x14ac:dyDescent="0.25">
      <c r="P20" s="81">
        <v>1.07</v>
      </c>
      <c r="Q20" s="81">
        <f t="shared" si="0"/>
        <v>53.917300000000004</v>
      </c>
      <c r="W20" s="2"/>
      <c r="X20" s="134"/>
    </row>
    <row r="21" spans="1:33" x14ac:dyDescent="0.25">
      <c r="P21" s="81">
        <v>1.06</v>
      </c>
      <c r="Q21" s="81">
        <f t="shared" si="0"/>
        <v>53.413400000000003</v>
      </c>
      <c r="W21" s="2"/>
      <c r="X21" s="134"/>
      <c r="AD21" s="228"/>
      <c r="AG21" s="228"/>
    </row>
    <row r="22" spans="1:33" x14ac:dyDescent="0.25">
      <c r="P22" s="81">
        <v>1.05</v>
      </c>
      <c r="Q22" s="81">
        <f t="shared" si="0"/>
        <v>52.909500000000001</v>
      </c>
      <c r="W22" s="2"/>
      <c r="X22" s="134"/>
    </row>
    <row r="23" spans="1:33" x14ac:dyDescent="0.25">
      <c r="A23" s="10"/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K23" s="223" t="s">
        <v>504</v>
      </c>
      <c r="L23" s="10"/>
      <c r="M23" s="10"/>
      <c r="P23" s="81">
        <v>1.04</v>
      </c>
      <c r="Q23" s="81">
        <f t="shared" si="0"/>
        <v>52.4056</v>
      </c>
      <c r="W23" s="2"/>
      <c r="X23" s="134"/>
      <c r="AD23" s="228"/>
    </row>
    <row r="24" spans="1:33" x14ac:dyDescent="0.25">
      <c r="A24" s="10"/>
      <c r="B24" s="187">
        <v>43014</v>
      </c>
      <c r="C24" s="10">
        <v>40</v>
      </c>
      <c r="D24" s="194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5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51.901700000000005</v>
      </c>
      <c r="W24" s="2"/>
      <c r="X24" s="134"/>
    </row>
    <row r="25" spans="1:33" x14ac:dyDescent="0.25">
      <c r="A25" s="10"/>
      <c r="B25" s="187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5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51.397800000000004</v>
      </c>
      <c r="W25" s="2"/>
      <c r="X25" s="134"/>
    </row>
    <row r="26" spans="1:33" x14ac:dyDescent="0.25">
      <c r="A26" s="10"/>
      <c r="B26" s="187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5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50.893900000000002</v>
      </c>
      <c r="W26" s="2"/>
      <c r="X26" s="134"/>
    </row>
    <row r="27" spans="1:33" x14ac:dyDescent="0.25">
      <c r="A27" s="10">
        <v>80</v>
      </c>
      <c r="B27" s="187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5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50.39</v>
      </c>
      <c r="W27" s="2"/>
      <c r="X27" s="134"/>
    </row>
    <row r="28" spans="1:33" x14ac:dyDescent="0.25">
      <c r="A28" s="10">
        <v>80</v>
      </c>
      <c r="B28" s="187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5">
        <f t="shared" ref="H28" si="15">(E28-D28)/D28</f>
        <v>0.10901498946238426</v>
      </c>
      <c r="I28" s="39" t="s">
        <v>787</v>
      </c>
      <c r="J28" s="39">
        <v>2047</v>
      </c>
      <c r="K28" s="39"/>
      <c r="L28" s="10"/>
      <c r="M28" s="10"/>
      <c r="P28" s="81">
        <v>0.99</v>
      </c>
      <c r="Q28" s="81">
        <f t="shared" si="0"/>
        <v>49.886099999999999</v>
      </c>
      <c r="W28" s="2"/>
      <c r="X28" s="134"/>
    </row>
    <row r="29" spans="1:33" x14ac:dyDescent="0.25">
      <c r="A29" s="10">
        <v>80</v>
      </c>
      <c r="B29" s="187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5">
        <f t="shared" ref="H29" si="18">(E29-D29)/D29</f>
        <v>0.22425782822502341</v>
      </c>
      <c r="I29" s="39" t="s">
        <v>874</v>
      </c>
      <c r="J29" s="39">
        <v>2514</v>
      </c>
      <c r="K29" s="39"/>
      <c r="L29" s="10"/>
      <c r="M29" s="10"/>
      <c r="P29" s="81">
        <v>0.98</v>
      </c>
      <c r="Q29" s="81">
        <f t="shared" si="0"/>
        <v>49.382199999999997</v>
      </c>
      <c r="W29" s="2"/>
      <c r="X29" s="134"/>
    </row>
    <row r="30" spans="1:33" x14ac:dyDescent="0.25">
      <c r="A30" s="10">
        <v>80</v>
      </c>
      <c r="B30" s="187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5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48.878299999999996</v>
      </c>
      <c r="W30" s="2"/>
      <c r="X30" s="134"/>
    </row>
    <row r="31" spans="1:33" x14ac:dyDescent="0.25">
      <c r="A31" s="10">
        <v>80</v>
      </c>
      <c r="B31" s="187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5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48.374400000000001</v>
      </c>
      <c r="W31" s="2"/>
      <c r="X31" s="134"/>
    </row>
    <row r="32" spans="1:33" x14ac:dyDescent="0.25">
      <c r="A32" s="10">
        <v>120</v>
      </c>
      <c r="B32" s="187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5">
        <f t="shared" ref="H32" si="27">(E32-D32)/D32</f>
        <v>5.0956620572078004E-2</v>
      </c>
      <c r="I32" s="39" t="s">
        <v>985</v>
      </c>
      <c r="J32" s="39">
        <v>1927</v>
      </c>
      <c r="K32" s="39"/>
      <c r="L32" s="10"/>
      <c r="M32" s="10"/>
      <c r="P32" s="81">
        <v>0.95</v>
      </c>
      <c r="Q32" s="81">
        <f t="shared" si="0"/>
        <v>47.8705</v>
      </c>
      <c r="W32" s="2"/>
      <c r="X32" s="134"/>
    </row>
    <row r="33" spans="1:24" x14ac:dyDescent="0.25">
      <c r="A33" s="10">
        <v>120</v>
      </c>
      <c r="B33" s="187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5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47.366599999999998</v>
      </c>
      <c r="W33" s="2"/>
      <c r="X33" s="134"/>
    </row>
    <row r="34" spans="1:24" x14ac:dyDescent="0.25">
      <c r="A34" s="10">
        <v>120</v>
      </c>
      <c r="B34" s="187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5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46.862700000000004</v>
      </c>
      <c r="W34" s="2"/>
      <c r="X34" s="134"/>
    </row>
    <row r="35" spans="1:24" x14ac:dyDescent="0.25">
      <c r="A35" s="10">
        <v>120</v>
      </c>
      <c r="B35" s="187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5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46.358800000000002</v>
      </c>
      <c r="W35" s="2"/>
      <c r="X35" s="134"/>
    </row>
    <row r="36" spans="1:24" x14ac:dyDescent="0.25">
      <c r="A36" s="10">
        <v>120</v>
      </c>
      <c r="B36" s="187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5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45.854900000000001</v>
      </c>
      <c r="W36" s="2"/>
      <c r="X36" s="134"/>
    </row>
    <row r="37" spans="1:24" x14ac:dyDescent="0.25">
      <c r="A37" s="10">
        <v>120</v>
      </c>
      <c r="B37" s="187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5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45.350999999999999</v>
      </c>
      <c r="W37" s="2"/>
      <c r="X37" s="134"/>
    </row>
    <row r="38" spans="1:24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2"/>
      <c r="X38" s="134"/>
    </row>
    <row r="39" spans="1:24" x14ac:dyDescent="0.2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O44" s="2"/>
      <c r="R44" s="81"/>
      <c r="W44" s="2"/>
      <c r="X44" s="134"/>
    </row>
    <row r="45" spans="1:24" x14ac:dyDescent="0.25">
      <c r="O45" s="2"/>
      <c r="R45" s="81"/>
      <c r="W45" s="2"/>
      <c r="X45" s="134"/>
    </row>
    <row r="46" spans="1:24" x14ac:dyDescent="0.25">
      <c r="O46" s="2"/>
      <c r="R46" s="81"/>
      <c r="W46" s="2"/>
      <c r="X46" s="134"/>
    </row>
    <row r="47" spans="1:24" x14ac:dyDescent="0.25"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5" t="s">
        <v>1</v>
      </c>
      <c r="B51" s="255" t="s">
        <v>2</v>
      </c>
      <c r="C51" s="255" t="s">
        <v>4</v>
      </c>
      <c r="D51" s="256" t="s">
        <v>5</v>
      </c>
      <c r="E51" s="256" t="s">
        <v>90</v>
      </c>
      <c r="F51" s="256" t="s">
        <v>60</v>
      </c>
      <c r="G51" s="255" t="s">
        <v>3</v>
      </c>
      <c r="H51" s="255" t="s">
        <v>6</v>
      </c>
      <c r="I51" s="256" t="s">
        <v>7</v>
      </c>
      <c r="J51" s="256" t="s">
        <v>89</v>
      </c>
      <c r="K51" s="256" t="s">
        <v>61</v>
      </c>
      <c r="L51" s="255" t="s">
        <v>77</v>
      </c>
      <c r="M51" s="255" t="s">
        <v>38</v>
      </c>
      <c r="O51" s="2"/>
      <c r="R51" s="81"/>
      <c r="X51" s="134"/>
    </row>
    <row r="52" spans="1:24" x14ac:dyDescent="0.25">
      <c r="A52" s="257" t="s">
        <v>173</v>
      </c>
      <c r="B52" s="258">
        <v>42376</v>
      </c>
      <c r="C52" s="253">
        <v>40</v>
      </c>
      <c r="D52" s="254">
        <v>50.5</v>
      </c>
      <c r="E52" s="254">
        <v>0</v>
      </c>
      <c r="F52" s="254">
        <f t="shared" ref="F52:F60" si="43">C52*D52+E52</f>
        <v>2020</v>
      </c>
      <c r="G52" s="253"/>
      <c r="H52" s="253"/>
      <c r="I52" s="254"/>
      <c r="J52" s="254"/>
      <c r="K52" s="254"/>
      <c r="L52" s="258">
        <v>42430</v>
      </c>
      <c r="M52" s="254">
        <v>15</v>
      </c>
      <c r="O52" s="2"/>
      <c r="R52" s="81"/>
      <c r="X52" s="134"/>
    </row>
    <row r="53" spans="1:24" x14ac:dyDescent="0.25">
      <c r="A53" s="260" t="s">
        <v>71</v>
      </c>
      <c r="B53" s="258">
        <v>42466</v>
      </c>
      <c r="C53" s="253">
        <v>40</v>
      </c>
      <c r="D53" s="254">
        <v>47.38</v>
      </c>
      <c r="E53" s="254">
        <v>0</v>
      </c>
      <c r="F53" s="254">
        <f t="shared" si="43"/>
        <v>1895.2</v>
      </c>
      <c r="G53" s="258">
        <v>42473</v>
      </c>
      <c r="H53" s="259">
        <v>40</v>
      </c>
      <c r="I53" s="254">
        <v>48.91</v>
      </c>
      <c r="J53" s="254">
        <v>0.04</v>
      </c>
      <c r="K53" s="254">
        <f t="shared" ref="K53:K59" si="44">I53*H53-J53</f>
        <v>1956.36</v>
      </c>
      <c r="L53" s="258">
        <v>42522</v>
      </c>
      <c r="M53" s="254">
        <v>30.4</v>
      </c>
      <c r="O53" s="2"/>
      <c r="R53" s="81"/>
      <c r="X53" s="134"/>
    </row>
    <row r="54" spans="1:24" x14ac:dyDescent="0.25">
      <c r="A54" s="253"/>
      <c r="B54" s="258">
        <v>42474</v>
      </c>
      <c r="C54" s="253">
        <v>40</v>
      </c>
      <c r="D54" s="254">
        <v>48.55</v>
      </c>
      <c r="E54" s="254">
        <v>0</v>
      </c>
      <c r="F54" s="254">
        <f t="shared" si="43"/>
        <v>1942</v>
      </c>
      <c r="G54" s="258">
        <v>42487</v>
      </c>
      <c r="H54" s="259">
        <v>40</v>
      </c>
      <c r="I54" s="254">
        <v>50.97</v>
      </c>
      <c r="J54" s="254">
        <v>0.04</v>
      </c>
      <c r="K54" s="254">
        <f t="shared" si="44"/>
        <v>2038.76</v>
      </c>
      <c r="L54" s="258">
        <v>42614</v>
      </c>
      <c r="M54" s="254">
        <v>41.8</v>
      </c>
      <c r="O54" s="2"/>
      <c r="R54" s="81"/>
      <c r="X54" s="134"/>
    </row>
    <row r="55" spans="1:24" x14ac:dyDescent="0.25">
      <c r="A55" s="253"/>
      <c r="B55" s="258">
        <v>42489</v>
      </c>
      <c r="C55" s="253">
        <v>40</v>
      </c>
      <c r="D55" s="254">
        <v>50.01</v>
      </c>
      <c r="E55" s="254">
        <v>0</v>
      </c>
      <c r="F55" s="254">
        <f t="shared" si="43"/>
        <v>2000.3999999999999</v>
      </c>
      <c r="G55" s="258">
        <v>42514</v>
      </c>
      <c r="H55" s="395">
        <v>40</v>
      </c>
      <c r="I55" s="357">
        <v>49.29</v>
      </c>
      <c r="J55" s="357">
        <v>0.04</v>
      </c>
      <c r="K55" s="357">
        <f t="shared" si="44"/>
        <v>1971.56</v>
      </c>
      <c r="L55" s="253"/>
      <c r="M55" s="253"/>
      <c r="O55" s="2"/>
      <c r="R55" s="81"/>
      <c r="X55" s="134"/>
    </row>
    <row r="56" spans="1:24" x14ac:dyDescent="0.25">
      <c r="A56" s="253"/>
      <c r="B56" s="258">
        <v>42503</v>
      </c>
      <c r="C56" s="253">
        <v>10</v>
      </c>
      <c r="D56" s="254">
        <v>48.2</v>
      </c>
      <c r="E56" s="254">
        <v>0</v>
      </c>
      <c r="F56" s="254">
        <f t="shared" si="43"/>
        <v>482</v>
      </c>
      <c r="G56" s="258">
        <v>42517</v>
      </c>
      <c r="H56" s="259">
        <v>20</v>
      </c>
      <c r="I56" s="254">
        <v>50.72</v>
      </c>
      <c r="J56" s="254">
        <v>0.02</v>
      </c>
      <c r="K56" s="357">
        <f t="shared" si="44"/>
        <v>1014.38</v>
      </c>
      <c r="L56" s="253"/>
      <c r="M56" s="253"/>
      <c r="O56" s="2"/>
      <c r="R56" s="81"/>
      <c r="X56" s="134"/>
    </row>
    <row r="57" spans="1:24" x14ac:dyDescent="0.25">
      <c r="A57" s="253"/>
      <c r="B57" s="258">
        <v>42503</v>
      </c>
      <c r="C57" s="253">
        <v>20</v>
      </c>
      <c r="D57" s="254">
        <v>48.2</v>
      </c>
      <c r="E57" s="254">
        <v>0</v>
      </c>
      <c r="F57" s="254">
        <f t="shared" si="43"/>
        <v>964</v>
      </c>
      <c r="G57" s="258">
        <v>42527</v>
      </c>
      <c r="H57" s="259">
        <v>30</v>
      </c>
      <c r="I57" s="254">
        <v>50.59</v>
      </c>
      <c r="J57" s="254">
        <v>0.03</v>
      </c>
      <c r="K57" s="357">
        <f t="shared" si="44"/>
        <v>1517.67</v>
      </c>
      <c r="L57" s="253"/>
      <c r="M57" s="253"/>
      <c r="O57" s="2"/>
      <c r="R57" s="81"/>
      <c r="X57" s="134"/>
    </row>
    <row r="58" spans="1:24" x14ac:dyDescent="0.25">
      <c r="A58" s="253"/>
      <c r="B58" s="258">
        <v>42524</v>
      </c>
      <c r="C58" s="253">
        <v>30</v>
      </c>
      <c r="D58" s="254">
        <v>50.01</v>
      </c>
      <c r="E58" s="254">
        <v>0</v>
      </c>
      <c r="F58" s="254">
        <f t="shared" si="43"/>
        <v>1500.3</v>
      </c>
      <c r="G58" s="258">
        <v>42587</v>
      </c>
      <c r="H58" s="259">
        <v>30</v>
      </c>
      <c r="I58" s="254">
        <v>48.68</v>
      </c>
      <c r="J58" s="254">
        <v>0.03</v>
      </c>
      <c r="K58" s="254">
        <f t="shared" si="44"/>
        <v>1460.3700000000001</v>
      </c>
      <c r="L58" s="253"/>
      <c r="M58" s="253"/>
      <c r="O58" s="2"/>
      <c r="R58" s="81"/>
      <c r="X58" s="134"/>
    </row>
    <row r="59" spans="1:24" x14ac:dyDescent="0.25">
      <c r="A59" s="253"/>
      <c r="B59" s="258">
        <v>42531</v>
      </c>
      <c r="C59" s="253">
        <v>30</v>
      </c>
      <c r="D59" s="254">
        <v>48.51</v>
      </c>
      <c r="E59" s="254">
        <v>0</v>
      </c>
      <c r="F59" s="254">
        <f t="shared" si="43"/>
        <v>1455.3</v>
      </c>
      <c r="G59" s="258">
        <v>42611</v>
      </c>
      <c r="H59" s="259">
        <v>80</v>
      </c>
      <c r="I59" s="254">
        <v>49.71</v>
      </c>
      <c r="J59" s="254">
        <v>0.09</v>
      </c>
      <c r="K59" s="254">
        <f t="shared" si="44"/>
        <v>3976.71</v>
      </c>
      <c r="L59" s="253"/>
      <c r="M59" s="253"/>
      <c r="O59" s="2"/>
      <c r="R59" s="81"/>
      <c r="X59" s="134"/>
    </row>
    <row r="60" spans="1:24" x14ac:dyDescent="0.25">
      <c r="A60" s="253"/>
      <c r="B60" s="258">
        <v>42566</v>
      </c>
      <c r="C60" s="253">
        <v>30</v>
      </c>
      <c r="D60" s="254">
        <v>47.58</v>
      </c>
      <c r="E60" s="254">
        <v>0</v>
      </c>
      <c r="F60" s="254">
        <f t="shared" si="43"/>
        <v>1427.3999999999999</v>
      </c>
      <c r="G60" s="253"/>
      <c r="H60" s="253"/>
      <c r="I60" s="254"/>
      <c r="J60" s="254"/>
      <c r="K60" s="254"/>
      <c r="L60" s="253"/>
      <c r="M60" s="253"/>
      <c r="O60" s="2"/>
      <c r="R60" s="81"/>
      <c r="X60" s="134"/>
    </row>
    <row r="61" spans="1:24" x14ac:dyDescent="0.25">
      <c r="A61" s="253"/>
      <c r="B61" s="258">
        <v>42627</v>
      </c>
      <c r="C61" s="253">
        <v>40</v>
      </c>
      <c r="D61" s="254">
        <v>46.47</v>
      </c>
      <c r="E61" s="254">
        <v>0</v>
      </c>
      <c r="F61" s="254">
        <f>D61*C61+E61</f>
        <v>1858.8</v>
      </c>
      <c r="G61" s="258">
        <v>42670</v>
      </c>
      <c r="H61" s="259">
        <v>40</v>
      </c>
      <c r="I61" s="254">
        <v>46.48</v>
      </c>
      <c r="J61" s="254">
        <v>0.04</v>
      </c>
      <c r="K61" s="254">
        <f>I61*H61-J61</f>
        <v>1859.1599999999999</v>
      </c>
      <c r="L61" s="258">
        <v>42705</v>
      </c>
      <c r="M61" s="254">
        <v>15.2</v>
      </c>
      <c r="X61" s="134"/>
    </row>
    <row r="62" spans="1:24" x14ac:dyDescent="0.25">
      <c r="A62" s="253"/>
      <c r="B62" s="258">
        <v>42639</v>
      </c>
      <c r="C62" s="253">
        <v>40</v>
      </c>
      <c r="D62" s="254">
        <v>44.8</v>
      </c>
      <c r="E62" s="254">
        <v>0</v>
      </c>
      <c r="F62" s="254">
        <f>D62*C62+E62</f>
        <v>1792</v>
      </c>
      <c r="G62" s="258">
        <v>42683</v>
      </c>
      <c r="H62" s="259">
        <v>40</v>
      </c>
      <c r="I62" s="254">
        <v>46.58</v>
      </c>
      <c r="J62" s="254">
        <v>0.04</v>
      </c>
      <c r="K62" s="254">
        <f>I62*H62-J62</f>
        <v>1863.1599999999999</v>
      </c>
      <c r="L62" s="258"/>
      <c r="M62" s="254"/>
      <c r="X62" s="134"/>
    </row>
    <row r="63" spans="1:24" x14ac:dyDescent="0.25">
      <c r="A63" s="253"/>
      <c r="B63" s="258">
        <v>42678</v>
      </c>
      <c r="C63" s="253">
        <v>40</v>
      </c>
      <c r="D63" s="254">
        <v>44.95</v>
      </c>
      <c r="E63" s="254">
        <v>0</v>
      </c>
      <c r="F63" s="254">
        <f>D63*C63+E63</f>
        <v>1798</v>
      </c>
      <c r="G63" s="258">
        <v>42710</v>
      </c>
      <c r="H63" s="259">
        <v>40</v>
      </c>
      <c r="I63" s="254">
        <v>55.08</v>
      </c>
      <c r="J63" s="254">
        <v>0.05</v>
      </c>
      <c r="K63" s="254">
        <f>I63*H63-J63</f>
        <v>2203.1499999999996</v>
      </c>
      <c r="L63" s="258"/>
      <c r="M63" s="253"/>
      <c r="X63" s="134"/>
    </row>
    <row r="64" spans="1:24" x14ac:dyDescent="0.25">
      <c r="A64" s="253"/>
      <c r="B64" s="258"/>
      <c r="C64" s="253"/>
      <c r="D64" s="254"/>
      <c r="E64" s="254"/>
      <c r="F64" s="254"/>
      <c r="G64" s="258"/>
      <c r="H64" s="395"/>
      <c r="I64" s="357"/>
      <c r="J64" s="357"/>
      <c r="K64" s="357"/>
      <c r="L64" s="253"/>
      <c r="M64" s="253"/>
      <c r="X64" s="134"/>
    </row>
    <row r="65" spans="1:24" x14ac:dyDescent="0.25">
      <c r="A65" s="253"/>
      <c r="B65" s="437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7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3"/>
      <c r="M65" s="253"/>
      <c r="X65" s="134"/>
    </row>
    <row r="66" spans="1:24" x14ac:dyDescent="0.25">
      <c r="A66" s="253"/>
      <c r="B66" s="437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3"/>
      <c r="M66" s="253"/>
      <c r="X66" s="134"/>
    </row>
    <row r="67" spans="1:24" x14ac:dyDescent="0.25">
      <c r="A67" s="253"/>
      <c r="B67" s="437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7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3"/>
      <c r="M67" s="253"/>
      <c r="X67" s="134"/>
    </row>
    <row r="68" spans="1:24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4"/>
      <c r="K68" s="357"/>
      <c r="L68" s="253"/>
      <c r="M68" s="253"/>
      <c r="X68" s="134"/>
    </row>
    <row r="69" spans="1:24" x14ac:dyDescent="0.25">
      <c r="A69" s="253"/>
      <c r="B69" s="437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7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3"/>
      <c r="B70" s="258"/>
      <c r="C70" s="253"/>
      <c r="D70" s="254"/>
      <c r="E70" s="254"/>
      <c r="F70" s="254"/>
      <c r="G70" s="258"/>
      <c r="H70" s="259"/>
      <c r="I70" s="254"/>
      <c r="J70" s="254"/>
      <c r="K70" s="357"/>
      <c r="L70" s="253"/>
      <c r="M70" s="253"/>
    </row>
    <row r="71" spans="1:24" x14ac:dyDescent="0.25">
      <c r="A71" s="253"/>
      <c r="B71" s="437">
        <v>42782</v>
      </c>
      <c r="C71" s="7">
        <v>40</v>
      </c>
      <c r="D71" s="43">
        <v>57.85</v>
      </c>
      <c r="E71" s="43">
        <v>0</v>
      </c>
      <c r="F71" s="43">
        <f t="shared" ref="F71:F76" si="45">C71*D71+E71</f>
        <v>2314</v>
      </c>
      <c r="G71" s="437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3"/>
      <c r="B72" s="437">
        <v>42815</v>
      </c>
      <c r="C72" s="7">
        <v>40</v>
      </c>
      <c r="D72" s="43">
        <v>57.28</v>
      </c>
      <c r="E72" s="43">
        <v>0</v>
      </c>
      <c r="F72" s="43">
        <f t="shared" si="45"/>
        <v>2291.1999999999998</v>
      </c>
      <c r="G72" s="437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3"/>
      <c r="B73" s="437">
        <v>42836</v>
      </c>
      <c r="C73" s="7">
        <v>40</v>
      </c>
      <c r="D73" s="43">
        <v>53.6</v>
      </c>
      <c r="E73" s="43">
        <v>0</v>
      </c>
      <c r="F73" s="43">
        <f t="shared" si="45"/>
        <v>2144</v>
      </c>
      <c r="G73" s="437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3"/>
      <c r="B74" s="437">
        <v>42886</v>
      </c>
      <c r="C74" s="7">
        <v>80</v>
      </c>
      <c r="D74" s="43">
        <v>50.88</v>
      </c>
      <c r="E74" s="43">
        <v>0</v>
      </c>
      <c r="F74" s="43">
        <f t="shared" si="45"/>
        <v>4070.4</v>
      </c>
      <c r="G74" s="437">
        <v>43006</v>
      </c>
      <c r="H74" s="73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3"/>
      <c r="B75" s="437">
        <v>42944</v>
      </c>
      <c r="C75" s="7">
        <v>40</v>
      </c>
      <c r="D75" s="43">
        <v>53.37</v>
      </c>
      <c r="E75" s="43">
        <v>-0.1</v>
      </c>
      <c r="F75" s="43">
        <f t="shared" si="45"/>
        <v>2134.6999999999998</v>
      </c>
      <c r="G75" s="437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3"/>
      <c r="B76" s="437">
        <v>42951</v>
      </c>
      <c r="C76" s="7">
        <v>80</v>
      </c>
      <c r="D76" s="43">
        <v>52.61</v>
      </c>
      <c r="E76" s="43">
        <v>0</v>
      </c>
      <c r="F76" s="43">
        <f t="shared" si="45"/>
        <v>4208.8</v>
      </c>
      <c r="G76" s="72"/>
      <c r="H76" s="179"/>
      <c r="I76" s="3"/>
      <c r="J76" s="3"/>
      <c r="K76" s="73"/>
      <c r="L76" s="4"/>
      <c r="M76" s="4"/>
    </row>
    <row r="77" spans="1:24" x14ac:dyDescent="0.25">
      <c r="A77" s="253"/>
      <c r="B77" s="258"/>
      <c r="C77" s="253"/>
      <c r="D77" s="254"/>
      <c r="E77" s="254"/>
      <c r="F77" s="254"/>
      <c r="G77" s="258"/>
      <c r="H77" s="259"/>
      <c r="I77" s="254"/>
      <c r="J77" s="254"/>
      <c r="K77" s="357"/>
      <c r="L77" s="253"/>
      <c r="M77" s="253"/>
    </row>
    <row r="78" spans="1:24" x14ac:dyDescent="0.25">
      <c r="A78" s="253"/>
      <c r="B78" s="258"/>
      <c r="C78" s="253"/>
      <c r="D78" s="254"/>
      <c r="E78" s="254"/>
      <c r="F78" s="254"/>
      <c r="G78" s="258"/>
      <c r="H78" s="259"/>
      <c r="I78" s="254"/>
      <c r="J78" s="254"/>
      <c r="K78" s="357"/>
      <c r="L78" s="253"/>
      <c r="M78" s="253"/>
    </row>
    <row r="79" spans="1:24" x14ac:dyDescent="0.25">
      <c r="A79" s="253"/>
      <c r="B79" s="258"/>
      <c r="C79" s="253"/>
      <c r="D79" s="254"/>
      <c r="E79" s="254"/>
      <c r="F79" s="254"/>
      <c r="G79" s="258"/>
      <c r="H79" s="259"/>
      <c r="I79" s="254"/>
      <c r="J79" s="254"/>
      <c r="K79" s="357"/>
      <c r="L79" s="253"/>
      <c r="M79" s="253"/>
    </row>
    <row r="80" spans="1:24" x14ac:dyDescent="0.25">
      <c r="A80" s="253"/>
      <c r="B80" s="258"/>
      <c r="C80" s="253"/>
      <c r="D80" s="254"/>
      <c r="E80" s="254"/>
      <c r="F80" s="254"/>
      <c r="G80" s="258"/>
      <c r="H80" s="259"/>
      <c r="I80" s="254"/>
      <c r="J80" s="254"/>
      <c r="K80" s="357"/>
      <c r="L80" s="253"/>
      <c r="M80" s="253"/>
    </row>
    <row r="81" spans="1:13" x14ac:dyDescent="0.25">
      <c r="A81" s="253"/>
      <c r="B81" s="258"/>
      <c r="C81" s="253"/>
      <c r="D81" s="254"/>
      <c r="E81" s="254"/>
      <c r="F81" s="254"/>
      <c r="G81" s="258"/>
      <c r="H81" s="259"/>
      <c r="I81" s="254"/>
      <c r="J81" s="254"/>
      <c r="K81" s="357"/>
      <c r="L81" s="253"/>
      <c r="M81" s="253"/>
    </row>
    <row r="82" spans="1:13" x14ac:dyDescent="0.25">
      <c r="A82" s="253"/>
      <c r="B82" s="258"/>
      <c r="C82" s="253"/>
      <c r="D82" s="254"/>
      <c r="E82" s="254"/>
      <c r="F82" s="254"/>
      <c r="G82" s="258"/>
      <c r="H82" s="259"/>
      <c r="I82" s="254"/>
      <c r="J82" s="254"/>
      <c r="K82" s="357"/>
      <c r="L82" s="253"/>
      <c r="M82" s="253"/>
    </row>
    <row r="83" spans="1:13" x14ac:dyDescent="0.25">
      <c r="A83" s="253"/>
      <c r="B83" s="258"/>
      <c r="C83" s="253"/>
      <c r="D83" s="254"/>
      <c r="E83" s="254"/>
      <c r="F83" s="254"/>
      <c r="G83" s="258"/>
      <c r="H83" s="259"/>
      <c r="I83" s="254"/>
      <c r="J83" s="254"/>
      <c r="K83" s="357"/>
      <c r="L83" s="253"/>
      <c r="M83" s="253"/>
    </row>
    <row r="84" spans="1:13" x14ac:dyDescent="0.25">
      <c r="A84" s="253"/>
      <c r="B84" s="258"/>
      <c r="C84" s="253"/>
      <c r="D84" s="254"/>
      <c r="E84" s="254"/>
      <c r="F84" s="254"/>
      <c r="G84" s="258"/>
      <c r="H84" s="259"/>
      <c r="I84" s="254"/>
      <c r="J84" s="254"/>
      <c r="K84" s="357"/>
      <c r="L84" s="253"/>
      <c r="M84" s="253"/>
    </row>
    <row r="85" spans="1:13" x14ac:dyDescent="0.25">
      <c r="A85" s="253"/>
      <c r="B85" s="258"/>
      <c r="C85" s="253"/>
      <c r="D85" s="254"/>
      <c r="E85" s="254"/>
      <c r="F85" s="254"/>
      <c r="G85" s="258"/>
      <c r="H85" s="259"/>
      <c r="I85" s="254"/>
      <c r="J85" s="254"/>
      <c r="K85" s="357"/>
      <c r="L85" s="253"/>
      <c r="M85" s="253"/>
    </row>
    <row r="86" spans="1:13" x14ac:dyDescent="0.25">
      <c r="A86" s="253"/>
      <c r="B86" s="258"/>
      <c r="C86" s="253"/>
      <c r="D86" s="254"/>
      <c r="E86" s="254"/>
      <c r="F86" s="254"/>
      <c r="G86" s="258"/>
      <c r="H86" s="259"/>
      <c r="I86" s="254"/>
      <c r="J86" s="254"/>
      <c r="K86" s="357"/>
      <c r="L86" s="253"/>
      <c r="M86" s="253"/>
    </row>
    <row r="87" spans="1:13" x14ac:dyDescent="0.25">
      <c r="A87" s="253"/>
      <c r="B87" s="258"/>
      <c r="C87" s="253"/>
      <c r="D87" s="254"/>
      <c r="E87" s="254"/>
      <c r="F87" s="254"/>
      <c r="G87" s="258"/>
      <c r="H87" s="259"/>
      <c r="I87" s="254"/>
      <c r="J87" s="254"/>
      <c r="K87" s="357"/>
      <c r="L87" s="253"/>
      <c r="M87" s="253"/>
    </row>
    <row r="88" spans="1:13" x14ac:dyDescent="0.25">
      <c r="A88" s="253"/>
      <c r="B88" s="258"/>
      <c r="C88" s="253"/>
      <c r="D88" s="254"/>
      <c r="E88" s="254"/>
      <c r="F88" s="254"/>
      <c r="G88" s="258"/>
      <c r="H88" s="259"/>
      <c r="I88" s="254"/>
      <c r="J88" s="254"/>
      <c r="K88" s="357"/>
      <c r="L88" s="253"/>
      <c r="M88" s="253"/>
    </row>
    <row r="89" spans="1:13" x14ac:dyDescent="0.25">
      <c r="A89" s="253"/>
      <c r="B89" s="258"/>
      <c r="C89" s="253"/>
      <c r="D89" s="254"/>
      <c r="E89" s="254"/>
      <c r="F89" s="254"/>
      <c r="G89" s="258"/>
      <c r="H89" s="259"/>
      <c r="I89" s="254"/>
      <c r="J89" s="254"/>
      <c r="K89" s="357"/>
      <c r="L89" s="253"/>
      <c r="M89" s="253"/>
    </row>
    <row r="90" spans="1:13" x14ac:dyDescent="0.25">
      <c r="A90" s="253"/>
      <c r="B90" s="253"/>
      <c r="C90" s="253"/>
      <c r="D90" s="254"/>
      <c r="E90" s="254"/>
      <c r="F90" s="254"/>
      <c r="G90" s="253"/>
      <c r="H90" s="259"/>
      <c r="I90" s="254"/>
      <c r="J90" s="254"/>
      <c r="K90" s="254"/>
      <c r="L90" s="253"/>
      <c r="M90" s="253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2" t="s">
        <v>194</v>
      </c>
      <c r="B92" s="443"/>
      <c r="C92" s="444">
        <f>SumByColor($A$19,C52:C90)</f>
        <v>480</v>
      </c>
      <c r="D92" s="444"/>
      <c r="E92" s="444"/>
      <c r="F92" s="445">
        <f>SumByColor($A$19,F52:F90)</f>
        <v>25980</v>
      </c>
      <c r="G92" s="444"/>
      <c r="H92" s="444">
        <f>SumByColor($A$19,H52:H90)</f>
        <v>480</v>
      </c>
      <c r="I92" s="444"/>
      <c r="J92" s="444"/>
      <c r="K92" s="445">
        <f>SumByColor($A$19,K52:K90)</f>
        <v>26619</v>
      </c>
      <c r="L92" s="444"/>
      <c r="M92" s="445">
        <f>SumByColor($A$19,M52:M90)</f>
        <v>138</v>
      </c>
    </row>
  </sheetData>
  <conditionalFormatting sqref="P17:P3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35" priority="55">
      <formula>Q8&gt;0</formula>
    </cfRule>
    <cfRule type="expression" dxfId="634" priority="56">
      <formula>Q8&lt;0</formula>
    </cfRule>
  </conditionalFormatting>
  <conditionalFormatting sqref="Q7">
    <cfRule type="expression" dxfId="633" priority="57">
      <formula>Q7&gt;0</formula>
    </cfRule>
    <cfRule type="expression" dxfId="632" priority="58">
      <formula>Q7&lt;0</formula>
    </cfRule>
  </conditionalFormatting>
  <conditionalFormatting sqref="M50">
    <cfRule type="expression" dxfId="631" priority="45">
      <formula>M50&gt;0</formula>
    </cfRule>
    <cfRule type="expression" dxfId="630" priority="46">
      <formula>M50&lt;0</formula>
    </cfRule>
  </conditionalFormatting>
  <conditionalFormatting sqref="M50">
    <cfRule type="expression" dxfId="629" priority="47">
      <formula>M50&gt;0</formula>
    </cfRule>
    <cfRule type="expression" dxfId="628" priority="48">
      <formula>M50&lt;0</formula>
    </cfRule>
  </conditionalFormatting>
  <conditionalFormatting sqref="F24:F37">
    <cfRule type="expression" dxfId="627" priority="33">
      <formula>F24&gt;0</formula>
    </cfRule>
    <cfRule type="expression" dxfId="626" priority="34">
      <formula>F24&lt;0</formula>
    </cfRule>
  </conditionalFormatting>
  <conditionalFormatting sqref="F24:F37">
    <cfRule type="expression" dxfId="625" priority="35">
      <formula>F24&gt;0</formula>
    </cfRule>
    <cfRule type="expression" dxfId="624" priority="36">
      <formula>F24&lt;0</formula>
    </cfRule>
  </conditionalFormatting>
  <conditionalFormatting sqref="H24:H37">
    <cfRule type="expression" dxfId="623" priority="31">
      <formula>H24&gt;0</formula>
    </cfRule>
    <cfRule type="expression" dxfId="622" priority="32">
      <formula>H24&lt;0</formula>
    </cfRule>
  </conditionalFormatting>
  <conditionalFormatting sqref="J27:J37">
    <cfRule type="expression" dxfId="621" priority="1">
      <formula>J27&gt;0</formula>
    </cfRule>
    <cfRule type="expression" dxfId="620" priority="2">
      <formula>J27&lt;0</formula>
    </cfRule>
  </conditionalFormatting>
  <conditionalFormatting sqref="J27:J37">
    <cfRule type="expression" dxfId="619" priority="3">
      <formula>J27&gt;0</formula>
    </cfRule>
    <cfRule type="expression" dxfId="618" priority="4">
      <formula>J27&lt;0</formula>
    </cfRule>
  </conditionalFormatting>
  <conditionalFormatting sqref="W1:W46">
    <cfRule type="dataBar" priority="8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9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0"/>
      <c r="C3" s="269"/>
      <c r="D3" s="270"/>
      <c r="E3" s="270"/>
      <c r="F3" s="73"/>
      <c r="G3" s="1"/>
      <c r="H3" s="179"/>
      <c r="I3" s="3"/>
      <c r="J3" s="3"/>
      <c r="K3" s="3"/>
      <c r="L3" s="250"/>
      <c r="M3" s="3"/>
      <c r="O3" s="11" t="s">
        <v>58</v>
      </c>
      <c r="Q3" s="224">
        <f>IF(Q2=0, Q4, (F18-K18-M18)/Q2)</f>
        <v>46.92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8"/>
    </row>
    <row r="4" spans="1:40" x14ac:dyDescent="0.25">
      <c r="B4" s="250"/>
      <c r="C4" s="269"/>
      <c r="D4" s="270"/>
      <c r="E4" s="270"/>
      <c r="F4" s="73"/>
      <c r="G4" s="250"/>
      <c r="H4" s="271"/>
      <c r="I4" s="270"/>
      <c r="J4" s="270"/>
      <c r="K4" s="270"/>
      <c r="L4" s="269"/>
      <c r="O4" s="11" t="s">
        <v>66</v>
      </c>
      <c r="Q4" s="195">
        <v>46.92</v>
      </c>
      <c r="R4" s="478">
        <v>3.4599999999999999E-2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8"/>
      <c r="AN4" s="228"/>
    </row>
    <row r="5" spans="1:40" x14ac:dyDescent="0.25">
      <c r="B5" s="250"/>
      <c r="C5" s="269"/>
      <c r="D5" s="270"/>
      <c r="E5" s="270"/>
      <c r="F5" s="270"/>
      <c r="G5" s="250"/>
      <c r="H5" s="271"/>
      <c r="I5" s="270"/>
      <c r="J5" s="270"/>
      <c r="K5" s="270"/>
      <c r="L5" s="269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8"/>
      <c r="AN5" s="228"/>
    </row>
    <row r="6" spans="1:40" x14ac:dyDescent="0.25">
      <c r="B6" s="250"/>
      <c r="C6" s="269"/>
      <c r="D6" s="270"/>
      <c r="E6" s="270"/>
      <c r="F6" s="270"/>
      <c r="G6" s="250"/>
      <c r="H6" s="271"/>
      <c r="I6" s="270"/>
      <c r="J6" s="270"/>
      <c r="K6" s="270"/>
      <c r="L6" s="269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0"/>
      <c r="C7" s="269"/>
      <c r="D7" s="270"/>
      <c r="E7" s="270"/>
      <c r="F7" s="270"/>
      <c r="G7" s="250"/>
      <c r="H7" s="271"/>
      <c r="I7" s="270"/>
      <c r="J7" s="270"/>
      <c r="K7" s="270"/>
      <c r="L7" s="269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8"/>
      <c r="AN7" s="228"/>
    </row>
    <row r="8" spans="1:40" x14ac:dyDescent="0.25">
      <c r="B8" s="250"/>
      <c r="C8" s="269"/>
      <c r="D8" s="270"/>
      <c r="E8" s="270"/>
      <c r="F8" s="270"/>
      <c r="G8" s="250"/>
      <c r="H8" s="271"/>
      <c r="I8" s="270"/>
      <c r="J8" s="270"/>
      <c r="K8" s="270"/>
      <c r="L8" s="269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8"/>
      <c r="AN9" s="228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8"/>
      <c r="AN11" s="228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8"/>
      <c r="AN13" s="228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8"/>
      <c r="AN15" s="228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8"/>
      <c r="AN19" s="228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230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7"/>
      <c r="C39" s="10"/>
      <c r="D39" s="39"/>
      <c r="E39" s="39"/>
      <c r="F39" s="39"/>
      <c r="G39" s="39"/>
      <c r="H39" s="225"/>
      <c r="I39" s="39"/>
      <c r="O39" s="11"/>
      <c r="P39" s="847" t="s">
        <v>78</v>
      </c>
      <c r="Q39" s="84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0"/>
      <c r="C40" s="271"/>
      <c r="D40" s="270"/>
      <c r="E40" s="270"/>
      <c r="F40" s="270"/>
      <c r="G40" s="250"/>
      <c r="H40" s="271"/>
      <c r="I40" s="270"/>
      <c r="J40" s="270"/>
      <c r="K40" s="270"/>
      <c r="L40" s="269"/>
      <c r="O40" s="2"/>
      <c r="P40" s="81">
        <v>1.1000000000000001</v>
      </c>
      <c r="Q40" s="81">
        <f>P40*$Q$4</f>
        <v>51.612000000000009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2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51.142800000000008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3"/>
      <c r="B42" s="253"/>
      <c r="C42" s="253"/>
      <c r="D42" s="254"/>
      <c r="E42" s="254"/>
      <c r="F42" s="254"/>
      <c r="G42" s="253"/>
      <c r="H42" s="253"/>
      <c r="I42" s="254"/>
      <c r="J42" s="254"/>
      <c r="K42" s="255" t="s">
        <v>130</v>
      </c>
      <c r="L42" s="253"/>
      <c r="M42" s="254">
        <f>K85+M85-F85</f>
        <v>1128.3800000000047</v>
      </c>
      <c r="N42" s="253"/>
      <c r="O42" s="2"/>
      <c r="P42" s="81">
        <v>1.08</v>
      </c>
      <c r="Q42" s="81">
        <f t="shared" si="2"/>
        <v>50.673600000000008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5" t="s">
        <v>1</v>
      </c>
      <c r="B43" s="255" t="s">
        <v>2</v>
      </c>
      <c r="C43" s="255" t="s">
        <v>4</v>
      </c>
      <c r="D43" s="256" t="s">
        <v>5</v>
      </c>
      <c r="E43" s="256" t="s">
        <v>90</v>
      </c>
      <c r="F43" s="256" t="s">
        <v>60</v>
      </c>
      <c r="G43" s="255" t="s">
        <v>3</v>
      </c>
      <c r="H43" s="255" t="s">
        <v>6</v>
      </c>
      <c r="I43" s="256" t="s">
        <v>7</v>
      </c>
      <c r="J43" s="256" t="s">
        <v>89</v>
      </c>
      <c r="K43" s="256" t="s">
        <v>61</v>
      </c>
      <c r="L43" s="255" t="s">
        <v>77</v>
      </c>
      <c r="M43" s="255" t="s">
        <v>38</v>
      </c>
      <c r="N43" s="255"/>
      <c r="O43" s="2"/>
      <c r="P43" s="81">
        <v>1.07</v>
      </c>
      <c r="Q43" s="81">
        <f t="shared" si="2"/>
        <v>50.204400000000007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7" t="s">
        <v>10</v>
      </c>
      <c r="B44" s="258">
        <v>42146</v>
      </c>
      <c r="C44" s="253">
        <v>100</v>
      </c>
      <c r="D44" s="254">
        <v>13.1</v>
      </c>
      <c r="E44" s="254">
        <v>0</v>
      </c>
      <c r="F44" s="254">
        <f>C44*D44+E44</f>
        <v>1310</v>
      </c>
      <c r="G44" s="258">
        <v>42199</v>
      </c>
      <c r="H44" s="253">
        <v>52</v>
      </c>
      <c r="I44" s="254">
        <v>10.7</v>
      </c>
      <c r="J44" s="254">
        <v>0.01</v>
      </c>
      <c r="K44" s="254">
        <f t="shared" ref="K44:K67" si="3">H44*I44-J44</f>
        <v>556.39</v>
      </c>
      <c r="L44" s="258">
        <v>42241</v>
      </c>
      <c r="M44" s="254">
        <v>12</v>
      </c>
      <c r="N44" s="253"/>
      <c r="O44" s="2"/>
      <c r="P44" s="81">
        <v>1.06</v>
      </c>
      <c r="Q44" s="81">
        <f t="shared" si="2"/>
        <v>49.735200000000006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0" t="s">
        <v>71</v>
      </c>
      <c r="B45" s="258">
        <v>42151</v>
      </c>
      <c r="C45" s="253">
        <v>102</v>
      </c>
      <c r="D45" s="254">
        <v>12.99</v>
      </c>
      <c r="E45" s="254">
        <v>0</v>
      </c>
      <c r="F45" s="254">
        <f t="shared" ref="F45:F79" si="4">C45*D45+E45</f>
        <v>1324.98</v>
      </c>
      <c r="G45" s="258">
        <v>42235</v>
      </c>
      <c r="H45" s="253">
        <v>150</v>
      </c>
      <c r="I45" s="254">
        <v>9.41</v>
      </c>
      <c r="J45" s="254">
        <v>0.03</v>
      </c>
      <c r="K45" s="254">
        <f t="shared" si="3"/>
        <v>1411.47</v>
      </c>
      <c r="L45" s="258">
        <v>42333</v>
      </c>
      <c r="M45" s="254">
        <v>111</v>
      </c>
      <c r="N45" s="253"/>
      <c r="O45" s="2"/>
      <c r="P45" s="81">
        <v>1.05</v>
      </c>
      <c r="Q45" s="81">
        <f t="shared" si="2"/>
        <v>49.266000000000005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3"/>
      <c r="B46" s="258">
        <v>42152</v>
      </c>
      <c r="C46" s="253">
        <v>50</v>
      </c>
      <c r="D46" s="254">
        <v>12.94</v>
      </c>
      <c r="E46" s="254">
        <v>0</v>
      </c>
      <c r="F46" s="254">
        <f t="shared" si="4"/>
        <v>647</v>
      </c>
      <c r="G46" s="258">
        <v>42256</v>
      </c>
      <c r="H46" s="259">
        <v>300</v>
      </c>
      <c r="I46" s="254">
        <v>9.6999999999999993</v>
      </c>
      <c r="J46" s="254">
        <v>0.05</v>
      </c>
      <c r="K46" s="254">
        <f t="shared" si="3"/>
        <v>2909.95</v>
      </c>
      <c r="L46" s="258">
        <v>42425</v>
      </c>
      <c r="M46" s="254">
        <v>15</v>
      </c>
      <c r="N46" s="253"/>
      <c r="O46" s="2"/>
      <c r="P46" s="81">
        <v>1.04</v>
      </c>
      <c r="Q46" s="81">
        <f t="shared" si="2"/>
        <v>48.796800000000005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3"/>
      <c r="B47" s="258">
        <v>42166</v>
      </c>
      <c r="C47" s="253">
        <v>48</v>
      </c>
      <c r="D47" s="254">
        <v>12.3</v>
      </c>
      <c r="E47" s="254">
        <v>0</v>
      </c>
      <c r="F47" s="254">
        <f t="shared" si="4"/>
        <v>590.40000000000009</v>
      </c>
      <c r="G47" s="258">
        <v>42285</v>
      </c>
      <c r="H47" s="259">
        <v>300</v>
      </c>
      <c r="I47" s="254">
        <v>9.85</v>
      </c>
      <c r="J47" s="254">
        <v>0.05</v>
      </c>
      <c r="K47" s="254">
        <f t="shared" si="3"/>
        <v>2954.95</v>
      </c>
      <c r="L47" s="253"/>
      <c r="M47" s="254"/>
      <c r="N47" s="253"/>
      <c r="O47" s="2"/>
      <c r="P47" s="81">
        <v>1.03</v>
      </c>
      <c r="Q47" s="81">
        <f t="shared" si="2"/>
        <v>48.327600000000004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3"/>
      <c r="B48" s="258">
        <v>42180</v>
      </c>
      <c r="C48" s="253">
        <v>50</v>
      </c>
      <c r="D48" s="254">
        <v>11.7</v>
      </c>
      <c r="E48" s="254">
        <v>0</v>
      </c>
      <c r="F48" s="254">
        <f t="shared" si="4"/>
        <v>585</v>
      </c>
      <c r="G48" s="258">
        <v>42285</v>
      </c>
      <c r="H48" s="259">
        <v>100</v>
      </c>
      <c r="I48" s="254">
        <v>9.98</v>
      </c>
      <c r="J48" s="254">
        <v>0.02</v>
      </c>
      <c r="K48" s="254">
        <f t="shared" si="3"/>
        <v>997.98</v>
      </c>
      <c r="L48" s="253"/>
      <c r="M48" s="254"/>
      <c r="N48" s="253"/>
      <c r="O48" s="2"/>
      <c r="P48" s="81">
        <v>1.02</v>
      </c>
      <c r="Q48" s="81">
        <f t="shared" si="2"/>
        <v>47.858400000000003</v>
      </c>
      <c r="R48" s="81"/>
      <c r="T48" s="85" t="s">
        <v>104</v>
      </c>
      <c r="U48" s="86" t="s">
        <v>634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3"/>
      <c r="B49" s="258">
        <v>42198</v>
      </c>
      <c r="C49" s="253">
        <v>50</v>
      </c>
      <c r="D49" s="254">
        <v>10.5</v>
      </c>
      <c r="E49" s="254">
        <v>0</v>
      </c>
      <c r="F49" s="254">
        <f t="shared" si="4"/>
        <v>525</v>
      </c>
      <c r="G49" s="258">
        <v>42304</v>
      </c>
      <c r="H49" s="259">
        <v>1400</v>
      </c>
      <c r="I49" s="254">
        <v>9.4600000000000009</v>
      </c>
      <c r="J49" s="254">
        <v>0.24</v>
      </c>
      <c r="K49" s="254">
        <f t="shared" si="3"/>
        <v>13243.760000000002</v>
      </c>
      <c r="L49" s="253"/>
      <c r="M49" s="254"/>
      <c r="N49" s="253"/>
      <c r="O49" s="2"/>
      <c r="P49" s="81">
        <v>1.01</v>
      </c>
      <c r="Q49" s="81">
        <f t="shared" si="2"/>
        <v>47.389200000000002</v>
      </c>
      <c r="R49" s="81"/>
      <c r="T49" s="85" t="s">
        <v>105</v>
      </c>
      <c r="U49" s="86" t="s">
        <v>430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3"/>
      <c r="B50" s="258">
        <v>42205</v>
      </c>
      <c r="C50" s="253">
        <v>20</v>
      </c>
      <c r="D50" s="254">
        <v>10.56</v>
      </c>
      <c r="E50" s="254">
        <v>0</v>
      </c>
      <c r="F50" s="254">
        <f t="shared" si="4"/>
        <v>211.20000000000002</v>
      </c>
      <c r="G50" s="258">
        <v>42310</v>
      </c>
      <c r="H50" s="259">
        <v>3400</v>
      </c>
      <c r="I50" s="254">
        <v>9.1199999999999992</v>
      </c>
      <c r="J50" s="254">
        <v>7.52</v>
      </c>
      <c r="K50" s="254">
        <f t="shared" si="3"/>
        <v>31000.479999999996</v>
      </c>
      <c r="L50" s="253"/>
      <c r="M50" s="254"/>
      <c r="N50" s="253"/>
      <c r="O50" s="2"/>
      <c r="P50" s="81">
        <v>1</v>
      </c>
      <c r="Q50" s="81">
        <f t="shared" si="2"/>
        <v>46.92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3"/>
      <c r="B51" s="258">
        <v>42208</v>
      </c>
      <c r="C51" s="253">
        <v>32</v>
      </c>
      <c r="D51" s="254">
        <v>10.220000000000001</v>
      </c>
      <c r="E51" s="254">
        <v>0</v>
      </c>
      <c r="F51" s="254">
        <f t="shared" si="4"/>
        <v>327.04000000000002</v>
      </c>
      <c r="G51" s="258">
        <v>42314</v>
      </c>
      <c r="H51" s="259">
        <v>1400</v>
      </c>
      <c r="I51" s="254">
        <v>9.42</v>
      </c>
      <c r="J51" s="254">
        <v>0.24</v>
      </c>
      <c r="K51" s="254">
        <f t="shared" si="3"/>
        <v>13187.76</v>
      </c>
      <c r="L51" s="253"/>
      <c r="M51" s="254"/>
      <c r="N51" s="253"/>
      <c r="O51" s="2"/>
      <c r="P51" s="81">
        <v>0.99</v>
      </c>
      <c r="Q51" s="81">
        <f t="shared" si="2"/>
        <v>46.450800000000001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3"/>
      <c r="B52" s="258">
        <v>42230</v>
      </c>
      <c r="C52" s="253">
        <v>100</v>
      </c>
      <c r="D52" s="254">
        <v>9.58</v>
      </c>
      <c r="E52" s="254">
        <v>0</v>
      </c>
      <c r="F52" s="254">
        <f t="shared" si="4"/>
        <v>958</v>
      </c>
      <c r="G52" s="258">
        <v>42331</v>
      </c>
      <c r="H52" s="259">
        <v>1400</v>
      </c>
      <c r="I52" s="254">
        <v>8.41</v>
      </c>
      <c r="J52" s="254">
        <v>0.22</v>
      </c>
      <c r="K52" s="254">
        <f t="shared" si="3"/>
        <v>11773.78</v>
      </c>
      <c r="L52" s="254"/>
      <c r="M52" s="254"/>
      <c r="N52" s="253"/>
      <c r="O52" s="2"/>
      <c r="P52" s="81">
        <v>0.98</v>
      </c>
      <c r="Q52" s="81">
        <f t="shared" si="2"/>
        <v>45.9816</v>
      </c>
      <c r="R52" s="81"/>
      <c r="T52" s="85" t="s">
        <v>107</v>
      </c>
      <c r="U52" s="86" t="s">
        <v>635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3"/>
      <c r="B53" s="258">
        <v>42233</v>
      </c>
      <c r="C53" s="253">
        <v>150</v>
      </c>
      <c r="D53" s="254">
        <v>9.3000000000000007</v>
      </c>
      <c r="E53" s="254">
        <v>0</v>
      </c>
      <c r="F53" s="254">
        <f t="shared" si="4"/>
        <v>1395</v>
      </c>
      <c r="G53" s="258">
        <v>42331</v>
      </c>
      <c r="H53" s="259">
        <v>65</v>
      </c>
      <c r="I53" s="254">
        <v>8.41</v>
      </c>
      <c r="J53" s="254">
        <v>0.01</v>
      </c>
      <c r="K53" s="254">
        <f t="shared" si="3"/>
        <v>546.64</v>
      </c>
      <c r="L53" s="253"/>
      <c r="M53" s="253"/>
      <c r="N53" s="253"/>
      <c r="O53" s="2"/>
      <c r="P53" s="81">
        <v>0.97</v>
      </c>
      <c r="Q53" s="81">
        <f t="shared" si="2"/>
        <v>45.5124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3"/>
      <c r="B54" s="258">
        <v>42240</v>
      </c>
      <c r="C54" s="253">
        <v>200</v>
      </c>
      <c r="D54" s="254">
        <v>9.2100000000000009</v>
      </c>
      <c r="E54" s="254">
        <v>0</v>
      </c>
      <c r="F54" s="254">
        <f t="shared" si="4"/>
        <v>1842.0000000000002</v>
      </c>
      <c r="G54" s="258">
        <v>42332</v>
      </c>
      <c r="H54" s="259">
        <v>2235</v>
      </c>
      <c r="I54" s="254">
        <v>8.5</v>
      </c>
      <c r="J54" s="254">
        <v>0.35</v>
      </c>
      <c r="K54" s="254">
        <f t="shared" si="3"/>
        <v>18997.150000000001</v>
      </c>
      <c r="L54" s="253"/>
      <c r="M54" s="253"/>
      <c r="N54" s="253"/>
      <c r="O54" s="2"/>
      <c r="P54" s="81">
        <v>0.96</v>
      </c>
      <c r="Q54" s="81">
        <f t="shared" si="2"/>
        <v>45.043199999999999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3"/>
      <c r="B55" s="258">
        <v>42272</v>
      </c>
      <c r="C55" s="253">
        <v>100</v>
      </c>
      <c r="D55" s="254">
        <v>9.4499999999999993</v>
      </c>
      <c r="E55" s="254">
        <v>0</v>
      </c>
      <c r="F55" s="254">
        <f t="shared" si="4"/>
        <v>944.99999999999989</v>
      </c>
      <c r="G55" s="258">
        <v>42332</v>
      </c>
      <c r="H55" s="259">
        <v>600</v>
      </c>
      <c r="I55" s="254">
        <v>8.75</v>
      </c>
      <c r="J55" s="254">
        <v>0.1</v>
      </c>
      <c r="K55" s="254">
        <f t="shared" si="3"/>
        <v>5249.9</v>
      </c>
      <c r="L55" s="253"/>
      <c r="M55" s="253"/>
      <c r="N55" s="253"/>
      <c r="O55" s="2"/>
      <c r="P55" s="81">
        <v>0.95</v>
      </c>
      <c r="Q55" s="81">
        <f t="shared" si="2"/>
        <v>44.573999999999998</v>
      </c>
      <c r="R55" s="81"/>
      <c r="T55" s="85" t="s">
        <v>108</v>
      </c>
      <c r="U55" s="86" t="s">
        <v>515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3"/>
      <c r="B56" s="258">
        <v>42275</v>
      </c>
      <c r="C56" s="253">
        <v>100</v>
      </c>
      <c r="D56" s="254">
        <v>9.3000000000000007</v>
      </c>
      <c r="E56" s="254">
        <v>0</v>
      </c>
      <c r="F56" s="254">
        <f t="shared" si="4"/>
        <v>930.00000000000011</v>
      </c>
      <c r="G56" s="258">
        <v>42335</v>
      </c>
      <c r="H56" s="259">
        <v>500</v>
      </c>
      <c r="I56" s="254">
        <v>9.1</v>
      </c>
      <c r="J56" s="254">
        <v>0.08</v>
      </c>
      <c r="K56" s="254">
        <f t="shared" si="3"/>
        <v>4549.92</v>
      </c>
      <c r="L56" s="253"/>
      <c r="M56" s="253"/>
      <c r="N56" s="253"/>
      <c r="O56" s="2"/>
      <c r="P56" s="81">
        <v>0.94</v>
      </c>
      <c r="Q56" s="81">
        <f t="shared" si="2"/>
        <v>44.104799999999997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3"/>
      <c r="B57" s="258">
        <v>42290</v>
      </c>
      <c r="C57" s="253">
        <v>400</v>
      </c>
      <c r="D57" s="254">
        <v>10.79</v>
      </c>
      <c r="E57" s="254">
        <v>0</v>
      </c>
      <c r="F57" s="254">
        <f t="shared" si="4"/>
        <v>4316</v>
      </c>
      <c r="G57" s="258">
        <v>42339</v>
      </c>
      <c r="H57" s="259">
        <v>400</v>
      </c>
      <c r="I57" s="254">
        <v>9.35</v>
      </c>
      <c r="J57" s="254">
        <v>7.0000000000000007E-2</v>
      </c>
      <c r="K57" s="254">
        <f t="shared" si="3"/>
        <v>3739.93</v>
      </c>
      <c r="L57" s="253"/>
      <c r="M57" s="253"/>
      <c r="N57" s="253"/>
      <c r="O57" s="2"/>
      <c r="P57" s="81">
        <v>0.93</v>
      </c>
      <c r="Q57" s="81">
        <f t="shared" si="2"/>
        <v>43.635600000000004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3"/>
      <c r="B58" s="258">
        <v>42291</v>
      </c>
      <c r="C58" s="253">
        <v>150</v>
      </c>
      <c r="D58" s="254">
        <v>10.46</v>
      </c>
      <c r="E58" s="254">
        <v>0</v>
      </c>
      <c r="F58" s="254">
        <f t="shared" si="4"/>
        <v>1569.0000000000002</v>
      </c>
      <c r="G58" s="258">
        <v>42342</v>
      </c>
      <c r="H58" s="259">
        <v>500</v>
      </c>
      <c r="I58" s="254">
        <v>9.52</v>
      </c>
      <c r="J58" s="254">
        <v>0.09</v>
      </c>
      <c r="K58" s="254">
        <f t="shared" si="3"/>
        <v>4759.91</v>
      </c>
      <c r="L58" s="253"/>
      <c r="M58" s="253"/>
      <c r="N58" s="253"/>
      <c r="O58" s="2"/>
      <c r="P58" s="81">
        <v>0.92</v>
      </c>
      <c r="Q58" s="81">
        <f t="shared" si="2"/>
        <v>43.166400000000003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3"/>
      <c r="B59" s="258">
        <v>42292</v>
      </c>
      <c r="C59" s="253">
        <v>150</v>
      </c>
      <c r="D59" s="254">
        <v>10.3</v>
      </c>
      <c r="E59" s="254">
        <v>0</v>
      </c>
      <c r="F59" s="254">
        <f t="shared" si="4"/>
        <v>1545</v>
      </c>
      <c r="G59" s="258">
        <v>42347</v>
      </c>
      <c r="H59" s="259">
        <v>1500</v>
      </c>
      <c r="I59" s="254">
        <v>9.31</v>
      </c>
      <c r="J59" s="254">
        <v>0.26</v>
      </c>
      <c r="K59" s="254">
        <f t="shared" si="3"/>
        <v>13964.74</v>
      </c>
      <c r="L59" s="253"/>
      <c r="M59" s="253"/>
      <c r="N59" s="253"/>
      <c r="O59" s="2"/>
      <c r="P59" s="81">
        <v>0.91</v>
      </c>
      <c r="Q59" s="81">
        <f t="shared" si="2"/>
        <v>42.697200000000002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3"/>
      <c r="B60" s="258">
        <v>42297</v>
      </c>
      <c r="C60" s="259">
        <v>200</v>
      </c>
      <c r="D60" s="254">
        <v>9.8000000000000007</v>
      </c>
      <c r="E60" s="254">
        <v>0</v>
      </c>
      <c r="F60" s="254">
        <f t="shared" si="4"/>
        <v>1960.0000000000002</v>
      </c>
      <c r="G60" s="258">
        <v>42353</v>
      </c>
      <c r="H60" s="259">
        <v>200</v>
      </c>
      <c r="I60" s="254">
        <v>9.2899999999999991</v>
      </c>
      <c r="J60" s="254">
        <v>0.03</v>
      </c>
      <c r="K60" s="254">
        <f t="shared" si="3"/>
        <v>1857.9699999999998</v>
      </c>
      <c r="L60" s="253"/>
      <c r="M60" s="253"/>
      <c r="N60" s="253"/>
      <c r="O60" s="2"/>
      <c r="P60" s="81">
        <v>0.9</v>
      </c>
      <c r="Q60" s="81">
        <f t="shared" si="2"/>
        <v>42.228000000000002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3"/>
      <c r="B61" s="258">
        <v>42297</v>
      </c>
      <c r="C61" s="259">
        <v>900</v>
      </c>
      <c r="D61" s="254">
        <v>9.74</v>
      </c>
      <c r="E61" s="254">
        <v>0</v>
      </c>
      <c r="F61" s="254">
        <f t="shared" si="4"/>
        <v>8766</v>
      </c>
      <c r="G61" s="258">
        <v>42354</v>
      </c>
      <c r="H61" s="259">
        <v>500</v>
      </c>
      <c r="I61" s="254">
        <v>8.93</v>
      </c>
      <c r="J61" s="254">
        <v>0.08</v>
      </c>
      <c r="K61" s="254">
        <f t="shared" si="3"/>
        <v>4464.92</v>
      </c>
      <c r="L61" s="253"/>
      <c r="M61" s="253"/>
      <c r="N61" s="253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3"/>
      <c r="B62" s="258">
        <v>42299</v>
      </c>
      <c r="C62" s="253">
        <v>1000</v>
      </c>
      <c r="D62" s="254">
        <v>9.3800000000000008</v>
      </c>
      <c r="E62" s="254">
        <v>0</v>
      </c>
      <c r="F62" s="254">
        <f t="shared" si="4"/>
        <v>9380</v>
      </c>
      <c r="G62" s="258">
        <v>42366</v>
      </c>
      <c r="H62" s="259">
        <v>2000</v>
      </c>
      <c r="I62" s="254">
        <v>9.4499999999999993</v>
      </c>
      <c r="J62" s="254">
        <v>0.35</v>
      </c>
      <c r="K62" s="254">
        <f t="shared" si="3"/>
        <v>18899.650000000001</v>
      </c>
      <c r="L62" s="253"/>
      <c r="M62" s="253"/>
      <c r="N62" s="253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3"/>
      <c r="B63" s="258">
        <v>42303</v>
      </c>
      <c r="C63" s="253">
        <v>400</v>
      </c>
      <c r="D63" s="254">
        <v>9.1999999999999993</v>
      </c>
      <c r="E63" s="254">
        <v>0</v>
      </c>
      <c r="F63" s="254">
        <f t="shared" si="4"/>
        <v>3679.9999999999995</v>
      </c>
      <c r="G63" s="258">
        <v>42367</v>
      </c>
      <c r="H63" s="259">
        <v>1000</v>
      </c>
      <c r="I63" s="254">
        <v>9.89</v>
      </c>
      <c r="J63" s="254">
        <v>0.18</v>
      </c>
      <c r="K63" s="254">
        <f t="shared" si="3"/>
        <v>9889.82</v>
      </c>
      <c r="L63" s="253"/>
      <c r="M63" s="253"/>
      <c r="N63" s="253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3"/>
      <c r="B64" s="273">
        <v>42304</v>
      </c>
      <c r="C64" s="253">
        <v>900</v>
      </c>
      <c r="D64" s="254">
        <v>9.32</v>
      </c>
      <c r="E64" s="254">
        <v>0</v>
      </c>
      <c r="F64" s="254">
        <f t="shared" si="4"/>
        <v>8388</v>
      </c>
      <c r="G64" s="258">
        <v>42398</v>
      </c>
      <c r="H64" s="259">
        <v>100</v>
      </c>
      <c r="I64" s="254">
        <v>7.21</v>
      </c>
      <c r="J64" s="254">
        <v>0.01</v>
      </c>
      <c r="K64" s="254">
        <f t="shared" si="3"/>
        <v>720.99</v>
      </c>
      <c r="L64" s="253"/>
      <c r="M64" s="253"/>
      <c r="N64" s="253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3"/>
      <c r="B65" s="273"/>
      <c r="C65" s="253">
        <v>500</v>
      </c>
      <c r="D65" s="254">
        <v>9.32</v>
      </c>
      <c r="E65" s="254">
        <v>0</v>
      </c>
      <c r="F65" s="254">
        <f t="shared" si="4"/>
        <v>4660</v>
      </c>
      <c r="G65" s="258">
        <v>42403</v>
      </c>
      <c r="H65" s="259">
        <v>100</v>
      </c>
      <c r="I65" s="254">
        <v>7.42</v>
      </c>
      <c r="J65" s="254">
        <v>0.01</v>
      </c>
      <c r="K65" s="254">
        <f t="shared" si="3"/>
        <v>741.99</v>
      </c>
      <c r="L65" s="254"/>
      <c r="M65" s="253"/>
      <c r="N65" s="253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3"/>
      <c r="B66" s="258">
        <v>42306</v>
      </c>
      <c r="C66" s="253">
        <v>300</v>
      </c>
      <c r="D66" s="254">
        <v>8.7200000000000006</v>
      </c>
      <c r="E66" s="254">
        <v>6.95</v>
      </c>
      <c r="F66" s="254">
        <f t="shared" si="4"/>
        <v>2622.95</v>
      </c>
      <c r="G66" s="258">
        <v>42404</v>
      </c>
      <c r="H66" s="259">
        <v>100</v>
      </c>
      <c r="I66" s="254">
        <v>8.02</v>
      </c>
      <c r="J66" s="254">
        <v>0.01</v>
      </c>
      <c r="K66" s="254">
        <f t="shared" si="3"/>
        <v>801.99</v>
      </c>
      <c r="L66" s="253"/>
      <c r="M66" s="253"/>
      <c r="N66" s="253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3"/>
      <c r="B67" s="258">
        <v>42310</v>
      </c>
      <c r="C67" s="253">
        <v>3400</v>
      </c>
      <c r="D67" s="254">
        <v>9.0299999999999994</v>
      </c>
      <c r="E67" s="254">
        <v>6.95</v>
      </c>
      <c r="F67" s="254">
        <f t="shared" si="4"/>
        <v>30708.949999999997</v>
      </c>
      <c r="G67" s="258">
        <v>42416</v>
      </c>
      <c r="H67" s="259">
        <v>300</v>
      </c>
      <c r="I67" s="254">
        <v>7.98</v>
      </c>
      <c r="J67" s="254">
        <v>0.05</v>
      </c>
      <c r="K67" s="254">
        <f t="shared" si="3"/>
        <v>2393.9499999999998</v>
      </c>
      <c r="L67" s="253"/>
      <c r="M67" s="253"/>
      <c r="N67" s="253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3"/>
      <c r="B68" s="258">
        <v>42314</v>
      </c>
      <c r="C68" s="253">
        <v>1400</v>
      </c>
      <c r="D68" s="254">
        <v>9.35</v>
      </c>
      <c r="E68" s="254">
        <v>0</v>
      </c>
      <c r="F68" s="254">
        <f t="shared" si="4"/>
        <v>13090</v>
      </c>
      <c r="G68" s="258">
        <v>42444</v>
      </c>
      <c r="H68" s="253">
        <v>200</v>
      </c>
      <c r="I68" s="254">
        <v>9.49</v>
      </c>
      <c r="J68" s="254">
        <v>0.04</v>
      </c>
      <c r="K68" s="254">
        <v>1897.96</v>
      </c>
      <c r="L68" s="253"/>
      <c r="M68" s="253"/>
      <c r="N68" s="253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3"/>
      <c r="B69" s="258">
        <v>42324</v>
      </c>
      <c r="C69" s="267">
        <v>3700</v>
      </c>
      <c r="D69" s="254">
        <v>8.2899999999999991</v>
      </c>
      <c r="E69" s="254">
        <v>0</v>
      </c>
      <c r="F69" s="254">
        <f t="shared" si="4"/>
        <v>30672.999999999996</v>
      </c>
      <c r="G69" s="258"/>
      <c r="H69" s="259"/>
      <c r="I69" s="254"/>
      <c r="J69" s="254"/>
      <c r="K69" s="254"/>
      <c r="L69" s="253"/>
      <c r="M69" s="253"/>
      <c r="N69" s="253"/>
      <c r="AD69" s="2"/>
      <c r="AE69" s="134"/>
    </row>
    <row r="70" spans="1:31" x14ac:dyDescent="0.25">
      <c r="A70" s="253"/>
      <c r="B70" s="258">
        <v>42324</v>
      </c>
      <c r="C70" s="267">
        <v>600</v>
      </c>
      <c r="D70" s="254">
        <v>8.14</v>
      </c>
      <c r="E70" s="254">
        <v>0</v>
      </c>
      <c r="F70" s="254">
        <f t="shared" si="4"/>
        <v>4884</v>
      </c>
      <c r="G70" s="258"/>
      <c r="H70" s="259"/>
      <c r="I70" s="254"/>
      <c r="J70" s="254"/>
      <c r="K70" s="254"/>
      <c r="L70" s="253"/>
      <c r="M70" s="253"/>
      <c r="N70" s="253"/>
    </row>
    <row r="71" spans="1:31" x14ac:dyDescent="0.25">
      <c r="A71" s="253"/>
      <c r="B71" s="258">
        <v>42335</v>
      </c>
      <c r="C71" s="253">
        <v>500</v>
      </c>
      <c r="D71" s="254">
        <v>9.06</v>
      </c>
      <c r="E71" s="254">
        <v>0</v>
      </c>
      <c r="F71" s="254">
        <f t="shared" si="4"/>
        <v>4530</v>
      </c>
      <c r="G71" s="253"/>
      <c r="H71" s="259"/>
      <c r="I71" s="254"/>
      <c r="J71" s="254"/>
      <c r="K71" s="254"/>
      <c r="L71" s="253"/>
      <c r="M71" s="253"/>
      <c r="N71" s="253"/>
    </row>
    <row r="72" spans="1:31" x14ac:dyDescent="0.25">
      <c r="A72" s="253"/>
      <c r="B72" s="258">
        <v>42345</v>
      </c>
      <c r="C72" s="253">
        <v>200</v>
      </c>
      <c r="D72" s="254">
        <v>9.35</v>
      </c>
      <c r="E72" s="254">
        <v>0</v>
      </c>
      <c r="F72" s="254">
        <f t="shared" si="4"/>
        <v>1870</v>
      </c>
      <c r="G72" s="253"/>
      <c r="H72" s="259"/>
      <c r="I72" s="254"/>
      <c r="J72" s="254"/>
      <c r="K72" s="254"/>
      <c r="L72" s="253"/>
      <c r="M72" s="253"/>
      <c r="N72" s="253"/>
    </row>
    <row r="73" spans="1:31" x14ac:dyDescent="0.25">
      <c r="A73" s="253"/>
      <c r="B73" s="258">
        <v>42347</v>
      </c>
      <c r="C73" s="253">
        <v>1500</v>
      </c>
      <c r="D73" s="254">
        <v>9.2759999999999998</v>
      </c>
      <c r="E73" s="254">
        <v>0</v>
      </c>
      <c r="F73" s="254">
        <f t="shared" si="4"/>
        <v>13914</v>
      </c>
      <c r="G73" s="253"/>
      <c r="H73" s="259"/>
      <c r="I73" s="254"/>
      <c r="J73" s="254"/>
      <c r="K73" s="254"/>
      <c r="L73" s="253"/>
      <c r="M73" s="253"/>
      <c r="N73" s="253"/>
    </row>
    <row r="74" spans="1:31" x14ac:dyDescent="0.25">
      <c r="A74" s="253"/>
      <c r="B74" s="258">
        <v>42348</v>
      </c>
      <c r="C74" s="253">
        <v>100</v>
      </c>
      <c r="D74" s="254">
        <v>8.9499999999999993</v>
      </c>
      <c r="E74" s="254">
        <v>0</v>
      </c>
      <c r="F74" s="254">
        <f t="shared" si="4"/>
        <v>894.99999999999989</v>
      </c>
      <c r="G74" s="253"/>
      <c r="H74" s="259"/>
      <c r="I74" s="254"/>
      <c r="J74" s="254"/>
      <c r="K74" s="254"/>
      <c r="L74" s="253"/>
      <c r="M74" s="253"/>
      <c r="N74" s="253"/>
    </row>
    <row r="75" spans="1:31" x14ac:dyDescent="0.25">
      <c r="A75" s="253"/>
      <c r="B75" s="258">
        <v>42353</v>
      </c>
      <c r="C75" s="253">
        <v>100</v>
      </c>
      <c r="D75" s="254">
        <v>9.2200000000000006</v>
      </c>
      <c r="E75" s="254">
        <v>0</v>
      </c>
      <c r="F75" s="254">
        <f t="shared" si="4"/>
        <v>922.00000000000011</v>
      </c>
      <c r="G75" s="253"/>
      <c r="H75" s="259"/>
      <c r="I75" s="254"/>
      <c r="J75" s="254"/>
      <c r="K75" s="254"/>
      <c r="L75" s="253"/>
      <c r="M75" s="253"/>
      <c r="N75" s="253"/>
    </row>
    <row r="76" spans="1:31" x14ac:dyDescent="0.25">
      <c r="A76" s="253"/>
      <c r="B76" s="258">
        <v>42354</v>
      </c>
      <c r="C76" s="253">
        <v>500</v>
      </c>
      <c r="D76" s="254">
        <v>8.85</v>
      </c>
      <c r="E76" s="254">
        <v>0</v>
      </c>
      <c r="F76" s="254">
        <f t="shared" si="4"/>
        <v>4425</v>
      </c>
      <c r="G76" s="253"/>
      <c r="H76" s="259"/>
      <c r="I76" s="254"/>
      <c r="J76" s="254"/>
      <c r="K76" s="254"/>
      <c r="L76" s="253"/>
      <c r="M76" s="253"/>
      <c r="N76" s="253"/>
    </row>
    <row r="77" spans="1:31" x14ac:dyDescent="0.25">
      <c r="A77" s="253"/>
      <c r="B77" s="258">
        <v>42377</v>
      </c>
      <c r="C77" s="253">
        <v>400</v>
      </c>
      <c r="D77" s="254">
        <v>8.0399999999999991</v>
      </c>
      <c r="E77" s="254">
        <v>0</v>
      </c>
      <c r="F77" s="254">
        <f t="shared" si="4"/>
        <v>3215.9999999999995</v>
      </c>
      <c r="G77" s="253"/>
      <c r="H77" s="253"/>
      <c r="I77" s="254"/>
      <c r="J77" s="254"/>
      <c r="K77" s="254"/>
      <c r="L77" s="253"/>
      <c r="M77" s="253"/>
      <c r="N77" s="253"/>
    </row>
    <row r="78" spans="1:31" x14ac:dyDescent="0.25">
      <c r="A78" s="253"/>
      <c r="B78" s="258">
        <v>42389</v>
      </c>
      <c r="C78" s="253">
        <v>100</v>
      </c>
      <c r="D78" s="254">
        <v>6.45</v>
      </c>
      <c r="E78" s="254">
        <v>0</v>
      </c>
      <c r="F78" s="254">
        <f t="shared" si="4"/>
        <v>645</v>
      </c>
      <c r="G78" s="253"/>
      <c r="H78" s="253"/>
      <c r="I78" s="254"/>
      <c r="J78" s="254"/>
      <c r="K78" s="254"/>
      <c r="L78" s="253"/>
      <c r="M78" s="253"/>
      <c r="N78" s="253"/>
    </row>
    <row r="79" spans="1:31" x14ac:dyDescent="0.25">
      <c r="A79" s="253"/>
      <c r="B79" s="258">
        <v>42402</v>
      </c>
      <c r="C79" s="253">
        <v>100</v>
      </c>
      <c r="D79" s="254">
        <v>6.95</v>
      </c>
      <c r="E79" s="254">
        <v>0</v>
      </c>
      <c r="F79" s="254">
        <f t="shared" si="4"/>
        <v>695</v>
      </c>
      <c r="G79" s="253"/>
      <c r="H79" s="253"/>
      <c r="I79" s="254"/>
      <c r="J79" s="254"/>
      <c r="K79" s="254"/>
      <c r="L79" s="253"/>
      <c r="M79" s="253"/>
      <c r="N79" s="253"/>
    </row>
    <row r="80" spans="1:31" x14ac:dyDescent="0.25">
      <c r="A80" s="253"/>
      <c r="B80" s="258">
        <v>42444</v>
      </c>
      <c r="C80" s="253">
        <v>200</v>
      </c>
      <c r="D80" s="254">
        <v>9.4499999999999993</v>
      </c>
      <c r="E80" s="254">
        <v>0</v>
      </c>
      <c r="F80" s="254">
        <v>1889.9999999999998</v>
      </c>
      <c r="G80" s="253"/>
      <c r="H80" s="253"/>
      <c r="I80" s="254"/>
      <c r="J80" s="254"/>
      <c r="K80" s="254"/>
      <c r="L80" s="253"/>
      <c r="M80" s="253"/>
      <c r="N80" s="253"/>
    </row>
    <row r="81" spans="1:14" x14ac:dyDescent="0.25">
      <c r="A81" s="365"/>
      <c r="B81" s="365"/>
      <c r="C81" s="365"/>
      <c r="D81" s="366"/>
      <c r="E81" s="366"/>
      <c r="F81" s="366"/>
      <c r="G81" s="365"/>
      <c r="H81" s="365"/>
      <c r="I81" s="366"/>
      <c r="J81" s="366"/>
      <c r="K81" s="366"/>
      <c r="L81" s="365"/>
      <c r="M81" s="365"/>
      <c r="N81" s="365"/>
    </row>
    <row r="82" spans="1:14" x14ac:dyDescent="0.25">
      <c r="A82" s="365"/>
      <c r="B82" s="364">
        <v>42545</v>
      </c>
      <c r="C82" s="365">
        <v>250</v>
      </c>
      <c r="D82" s="366">
        <v>9.36</v>
      </c>
      <c r="E82" s="366">
        <v>0</v>
      </c>
      <c r="F82" s="366">
        <f>D82*C82+E82</f>
        <v>2340</v>
      </c>
      <c r="G82" s="365">
        <v>42577</v>
      </c>
      <c r="H82" s="369">
        <v>150</v>
      </c>
      <c r="I82" s="366">
        <v>10.58</v>
      </c>
      <c r="J82" s="366">
        <v>0.03</v>
      </c>
      <c r="K82" s="366">
        <f>H82*I82-J82</f>
        <v>1586.97</v>
      </c>
      <c r="L82" s="365"/>
      <c r="M82" s="365"/>
      <c r="N82" s="365"/>
    </row>
    <row r="83" spans="1:14" x14ac:dyDescent="0.25">
      <c r="A83" s="365"/>
      <c r="B83" s="364"/>
      <c r="C83" s="365"/>
      <c r="D83" s="366"/>
      <c r="E83" s="366"/>
      <c r="F83" s="366"/>
      <c r="G83" s="365">
        <v>42577</v>
      </c>
      <c r="H83" s="369">
        <v>100</v>
      </c>
      <c r="I83" s="366">
        <v>10.65</v>
      </c>
      <c r="J83" s="366">
        <v>0.02</v>
      </c>
      <c r="K83" s="366">
        <f>H83*I83-J83</f>
        <v>1064.98</v>
      </c>
      <c r="L83" s="365"/>
      <c r="M83" s="365"/>
      <c r="N83" s="365"/>
    </row>
    <row r="84" spans="1:14" x14ac:dyDescent="0.25">
      <c r="A84" s="365"/>
      <c r="B84" s="365"/>
      <c r="C84" s="365"/>
      <c r="D84" s="366"/>
      <c r="E84" s="366"/>
      <c r="F84" s="366"/>
      <c r="G84" s="365"/>
      <c r="H84" s="365"/>
      <c r="I84" s="366"/>
      <c r="J84" s="366"/>
      <c r="K84" s="366"/>
      <c r="L84" s="365"/>
      <c r="M84" s="365"/>
      <c r="N84" s="36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3"/>
    </row>
    <row r="86" spans="1:14" x14ac:dyDescent="0.25">
      <c r="A86" s="253"/>
      <c r="B86" s="253"/>
      <c r="C86" s="253"/>
      <c r="D86" s="254"/>
      <c r="E86" s="254"/>
      <c r="F86" s="254"/>
      <c r="G86" s="253"/>
      <c r="H86" s="253"/>
      <c r="I86" s="254"/>
      <c r="J86" s="254"/>
      <c r="K86" s="254"/>
      <c r="L86" s="253"/>
      <c r="M86" s="253"/>
      <c r="N86" s="253"/>
    </row>
    <row r="87" spans="1:14" x14ac:dyDescent="0.25">
      <c r="A87" s="253"/>
      <c r="B87" s="253"/>
      <c r="C87" s="253"/>
      <c r="D87" s="254"/>
      <c r="E87" s="254"/>
      <c r="F87" s="254"/>
      <c r="G87" s="253"/>
      <c r="H87" s="253"/>
      <c r="I87" s="254"/>
      <c r="J87" s="254"/>
      <c r="K87" s="254"/>
      <c r="L87" s="253"/>
      <c r="M87" s="253"/>
      <c r="N87" s="253"/>
    </row>
    <row r="88" spans="1:14" x14ac:dyDescent="0.25">
      <c r="A88" s="253"/>
      <c r="B88" s="261" t="s">
        <v>113</v>
      </c>
      <c r="C88" s="261" t="s">
        <v>146</v>
      </c>
      <c r="D88" s="262" t="s">
        <v>145</v>
      </c>
      <c r="E88" s="263" t="s">
        <v>147</v>
      </c>
      <c r="F88" s="263" t="s">
        <v>65</v>
      </c>
      <c r="G88" s="265" t="s">
        <v>151</v>
      </c>
      <c r="H88" s="265" t="s">
        <v>88</v>
      </c>
      <c r="I88" s="265" t="s">
        <v>154</v>
      </c>
      <c r="J88" s="254"/>
      <c r="K88" s="254"/>
      <c r="L88" s="253"/>
      <c r="M88" s="253"/>
      <c r="N88" s="253"/>
    </row>
    <row r="89" spans="1:14" x14ac:dyDescent="0.25">
      <c r="A89" s="253"/>
      <c r="B89" s="258">
        <v>42304</v>
      </c>
      <c r="C89" s="253">
        <v>3700</v>
      </c>
      <c r="D89" s="254">
        <v>9.84</v>
      </c>
      <c r="E89" s="254">
        <v>8.73</v>
      </c>
      <c r="F89" s="254">
        <f>C89*(E89-D89)</f>
        <v>-4106.9999999999982</v>
      </c>
      <c r="G89" s="254">
        <f>D89*C89</f>
        <v>36408</v>
      </c>
      <c r="H89" s="268">
        <f>(E89-D89)/D89</f>
        <v>-0.11280487804878044</v>
      </c>
      <c r="I89" s="254"/>
      <c r="J89" s="254"/>
      <c r="K89" s="254"/>
      <c r="L89" s="253"/>
      <c r="M89" s="253"/>
      <c r="N89" s="253"/>
    </row>
    <row r="90" spans="1:14" x14ac:dyDescent="0.25">
      <c r="A90" s="253"/>
      <c r="B90" s="258">
        <v>42305</v>
      </c>
      <c r="C90" s="253">
        <v>3700</v>
      </c>
      <c r="D90" s="254">
        <v>9.76</v>
      </c>
      <c r="E90" s="254">
        <v>8.99</v>
      </c>
      <c r="F90" s="254">
        <f t="shared" ref="F90:F107" si="5">C90*(E90-D90)</f>
        <v>-2848.9999999999986</v>
      </c>
      <c r="G90" s="254">
        <f t="shared" ref="G90:G107" si="6">D90*C90</f>
        <v>36112</v>
      </c>
      <c r="H90" s="268">
        <f t="shared" ref="H90:H96" si="7">(E90-D90)/D90</f>
        <v>-7.8893442622950782E-2</v>
      </c>
      <c r="I90" s="254"/>
      <c r="J90" s="254"/>
      <c r="K90" s="254"/>
      <c r="L90" s="253"/>
      <c r="M90" s="253"/>
      <c r="N90" s="253"/>
    </row>
    <row r="91" spans="1:14" x14ac:dyDescent="0.25">
      <c r="A91" s="253"/>
      <c r="B91" s="258">
        <v>42311</v>
      </c>
      <c r="C91" s="253">
        <v>3700</v>
      </c>
      <c r="D91" s="254">
        <v>9.73</v>
      </c>
      <c r="E91" s="254">
        <v>9.3800000000000008</v>
      </c>
      <c r="F91" s="254">
        <f t="shared" si="5"/>
        <v>-1294.9999999999986</v>
      </c>
      <c r="G91" s="254">
        <f t="shared" si="6"/>
        <v>36001</v>
      </c>
      <c r="H91" s="268">
        <f t="shared" si="7"/>
        <v>-3.5971223021582698E-2</v>
      </c>
      <c r="I91" s="254"/>
      <c r="J91" s="254"/>
      <c r="K91" s="254"/>
      <c r="L91" s="253"/>
      <c r="M91" s="253"/>
      <c r="N91" s="253"/>
    </row>
    <row r="92" spans="1:14" x14ac:dyDescent="0.25">
      <c r="A92" s="253"/>
      <c r="B92" s="258">
        <v>42320</v>
      </c>
      <c r="C92" s="253">
        <v>7400</v>
      </c>
      <c r="D92" s="254">
        <v>9.01</v>
      </c>
      <c r="E92" s="254">
        <v>7.82</v>
      </c>
      <c r="F92" s="254">
        <f t="shared" si="5"/>
        <v>-8805.9999999999964</v>
      </c>
      <c r="G92" s="254">
        <f t="shared" si="6"/>
        <v>66674</v>
      </c>
      <c r="H92" s="268">
        <f t="shared" si="7"/>
        <v>-0.13207547169811315</v>
      </c>
      <c r="I92" s="254"/>
      <c r="J92" s="254"/>
      <c r="K92" s="254"/>
      <c r="L92" s="253"/>
      <c r="M92" s="253"/>
      <c r="N92" s="253"/>
    </row>
    <row r="93" spans="1:14" x14ac:dyDescent="0.25">
      <c r="A93" s="253"/>
      <c r="B93" s="258">
        <v>42320</v>
      </c>
      <c r="C93" s="253">
        <v>8000</v>
      </c>
      <c r="D93" s="254">
        <v>8.94</v>
      </c>
      <c r="E93" s="254">
        <v>7.82</v>
      </c>
      <c r="F93" s="254">
        <f t="shared" si="5"/>
        <v>-8959.9999999999945</v>
      </c>
      <c r="G93" s="254">
        <f t="shared" si="6"/>
        <v>71520</v>
      </c>
      <c r="H93" s="268">
        <f t="shared" si="7"/>
        <v>-0.12527964205816547</v>
      </c>
      <c r="I93" s="254"/>
      <c r="J93" s="254"/>
      <c r="K93" s="254"/>
      <c r="L93" s="253"/>
      <c r="M93" s="253"/>
      <c r="N93" s="253"/>
    </row>
    <row r="94" spans="1:14" x14ac:dyDescent="0.25">
      <c r="A94" s="253"/>
      <c r="B94" s="258">
        <v>42326</v>
      </c>
      <c r="C94" s="253">
        <v>6600</v>
      </c>
      <c r="D94" s="254">
        <v>9.0582999999999991</v>
      </c>
      <c r="E94" s="254">
        <v>8.41</v>
      </c>
      <c r="F94" s="254">
        <f t="shared" si="5"/>
        <v>-4278.7799999999934</v>
      </c>
      <c r="G94" s="254">
        <f t="shared" si="6"/>
        <v>59784.779999999992</v>
      </c>
      <c r="H94" s="268">
        <f t="shared" si="7"/>
        <v>-7.1569720587748145E-2</v>
      </c>
      <c r="I94" s="254"/>
      <c r="J94" s="254"/>
      <c r="K94" s="254"/>
      <c r="L94" s="253"/>
      <c r="M94" s="253"/>
      <c r="N94" s="253"/>
    </row>
    <row r="95" spans="1:14" x14ac:dyDescent="0.25">
      <c r="A95" s="253"/>
      <c r="B95" s="258">
        <v>42326</v>
      </c>
      <c r="C95" s="253">
        <v>6535</v>
      </c>
      <c r="D95" s="254">
        <v>9.0648</v>
      </c>
      <c r="E95" s="254">
        <v>8.41</v>
      </c>
      <c r="F95" s="254">
        <f t="shared" si="5"/>
        <v>-4279.1179999999986</v>
      </c>
      <c r="G95" s="254">
        <f t="shared" si="6"/>
        <v>59238.468000000001</v>
      </c>
      <c r="H95" s="268">
        <f t="shared" si="7"/>
        <v>-7.2235460241814473E-2</v>
      </c>
      <c r="I95" s="254"/>
      <c r="J95" s="254"/>
      <c r="K95" s="254"/>
      <c r="L95" s="253"/>
      <c r="M95" s="253"/>
      <c r="N95" s="253"/>
    </row>
    <row r="96" spans="1:14" x14ac:dyDescent="0.25">
      <c r="A96" s="253"/>
      <c r="B96" s="258">
        <v>42327</v>
      </c>
      <c r="C96" s="253">
        <v>4300</v>
      </c>
      <c r="D96" s="254">
        <v>9.3583999999999996</v>
      </c>
      <c r="E96" s="254">
        <v>8.76</v>
      </c>
      <c r="F96" s="254">
        <f t="shared" si="5"/>
        <v>-2573.1199999999994</v>
      </c>
      <c r="G96" s="254">
        <f t="shared" si="6"/>
        <v>40241.119999999995</v>
      </c>
      <c r="H96" s="268">
        <f t="shared" si="7"/>
        <v>-6.3942554282783365E-2</v>
      </c>
      <c r="I96" s="254"/>
      <c r="J96" s="254"/>
      <c r="K96" s="254"/>
      <c r="L96" s="253"/>
      <c r="M96" s="253"/>
      <c r="N96" s="253"/>
    </row>
    <row r="97" spans="1:14" x14ac:dyDescent="0.25">
      <c r="A97" s="253"/>
      <c r="B97" s="258">
        <v>42327</v>
      </c>
      <c r="C97" s="253">
        <v>3700</v>
      </c>
      <c r="D97" s="254">
        <v>9.4571000000000005</v>
      </c>
      <c r="E97" s="254">
        <v>8.76</v>
      </c>
      <c r="F97" s="254">
        <f t="shared" si="5"/>
        <v>-2579.2700000000027</v>
      </c>
      <c r="G97" s="254">
        <f t="shared" si="6"/>
        <v>34991.270000000004</v>
      </c>
      <c r="H97" s="268">
        <f>(E97-D97)/D97</f>
        <v>-7.371181440399284E-2</v>
      </c>
      <c r="I97" s="254"/>
      <c r="J97" s="254"/>
      <c r="K97" s="254"/>
      <c r="L97" s="253"/>
      <c r="M97" s="253"/>
      <c r="N97" s="253"/>
    </row>
    <row r="98" spans="1:14" x14ac:dyDescent="0.25">
      <c r="A98" s="253"/>
      <c r="B98" s="258">
        <v>42331</v>
      </c>
      <c r="C98" s="253">
        <v>3700</v>
      </c>
      <c r="D98" s="254">
        <v>9.4499999999999993</v>
      </c>
      <c r="E98" s="254">
        <v>9.07</v>
      </c>
      <c r="F98" s="254">
        <f t="shared" si="5"/>
        <v>-1405.9999999999964</v>
      </c>
      <c r="G98" s="254">
        <f t="shared" si="6"/>
        <v>34965</v>
      </c>
      <c r="H98" s="268">
        <f t="shared" ref="H98:H107" si="8">(E98-D98)/D98</f>
        <v>-4.0211640211640108E-2</v>
      </c>
      <c r="I98" s="254"/>
      <c r="J98" s="254"/>
      <c r="K98" s="254"/>
      <c r="L98" s="253"/>
      <c r="M98" s="253"/>
      <c r="N98" s="253"/>
    </row>
    <row r="99" spans="1:14" x14ac:dyDescent="0.25">
      <c r="A99" s="253"/>
      <c r="B99" s="258">
        <v>42333</v>
      </c>
      <c r="C99" s="253">
        <v>3300</v>
      </c>
      <c r="D99" s="254">
        <v>9.4304000000000006</v>
      </c>
      <c r="E99" s="254">
        <v>9.41</v>
      </c>
      <c r="F99" s="254">
        <f t="shared" si="5"/>
        <v>-67.320000000001386</v>
      </c>
      <c r="G99" s="254">
        <f t="shared" si="6"/>
        <v>31120.320000000003</v>
      </c>
      <c r="H99" s="268">
        <f t="shared" si="8"/>
        <v>-2.1632168306753071E-3</v>
      </c>
      <c r="I99" s="254"/>
      <c r="J99" s="254"/>
      <c r="K99" s="254"/>
      <c r="L99" s="253"/>
      <c r="M99" s="253"/>
      <c r="N99" s="253"/>
    </row>
    <row r="100" spans="1:14" x14ac:dyDescent="0.25">
      <c r="A100" s="253"/>
      <c r="B100" s="258">
        <v>42339</v>
      </c>
      <c r="C100" s="253">
        <v>2800</v>
      </c>
      <c r="D100" s="254">
        <v>9.4145000000000003</v>
      </c>
      <c r="E100" s="254">
        <v>9.48</v>
      </c>
      <c r="F100" s="254">
        <f t="shared" si="5"/>
        <v>183.40000000000032</v>
      </c>
      <c r="G100" s="254">
        <f t="shared" si="6"/>
        <v>26360.600000000002</v>
      </c>
      <c r="H100" s="268">
        <f t="shared" si="8"/>
        <v>6.9573530192787838E-3</v>
      </c>
      <c r="I100" s="254"/>
      <c r="J100" s="254"/>
      <c r="K100" s="254"/>
      <c r="L100" s="253"/>
      <c r="M100" s="253"/>
      <c r="N100" s="253"/>
    </row>
    <row r="101" spans="1:14" x14ac:dyDescent="0.25">
      <c r="A101" s="253"/>
      <c r="B101" s="258">
        <v>42340</v>
      </c>
      <c r="C101" s="253">
        <v>3000</v>
      </c>
      <c r="D101" s="254">
        <v>9.41</v>
      </c>
      <c r="E101" s="254">
        <v>9.35</v>
      </c>
      <c r="F101" s="254">
        <f t="shared" si="5"/>
        <v>-180.00000000000148</v>
      </c>
      <c r="G101" s="254">
        <f t="shared" si="6"/>
        <v>28230</v>
      </c>
      <c r="H101" s="268">
        <f t="shared" si="8"/>
        <v>-6.3761955366631769E-3</v>
      </c>
      <c r="I101" s="254"/>
      <c r="J101" s="254"/>
      <c r="K101" s="254"/>
      <c r="L101" s="253"/>
      <c r="M101" s="253"/>
      <c r="N101" s="253"/>
    </row>
    <row r="102" spans="1:14" x14ac:dyDescent="0.25">
      <c r="A102" s="253"/>
      <c r="B102" s="258">
        <v>42342</v>
      </c>
      <c r="C102" s="253">
        <v>1500</v>
      </c>
      <c r="D102" s="254">
        <v>9.51</v>
      </c>
      <c r="E102" s="254">
        <v>9.34</v>
      </c>
      <c r="F102" s="254">
        <f t="shared" si="5"/>
        <v>-254.99999999999989</v>
      </c>
      <c r="G102" s="254">
        <f t="shared" si="6"/>
        <v>14265</v>
      </c>
      <c r="H102" s="268">
        <f t="shared" si="8"/>
        <v>-1.787592008412197E-2</v>
      </c>
      <c r="I102" s="254"/>
      <c r="J102" s="254"/>
      <c r="K102" s="254"/>
      <c r="L102" s="253"/>
      <c r="M102" s="253"/>
      <c r="N102" s="253"/>
    </row>
    <row r="103" spans="1:14" x14ac:dyDescent="0.25">
      <c r="A103" s="253"/>
      <c r="B103" s="258">
        <v>42342</v>
      </c>
      <c r="C103" s="253">
        <v>3000</v>
      </c>
      <c r="D103" s="254">
        <v>9.3933</v>
      </c>
      <c r="E103" s="254">
        <v>9.34</v>
      </c>
      <c r="F103" s="254">
        <f t="shared" si="5"/>
        <v>-159.90000000000038</v>
      </c>
      <c r="G103" s="254">
        <f t="shared" si="6"/>
        <v>28179.9</v>
      </c>
      <c r="H103" s="268">
        <f t="shared" si="8"/>
        <v>-5.6742571833115225E-3</v>
      </c>
      <c r="I103" s="254"/>
      <c r="J103" s="254"/>
      <c r="K103" s="254"/>
      <c r="L103" s="253"/>
      <c r="M103" s="253"/>
      <c r="N103" s="253"/>
    </row>
    <row r="104" spans="1:14" x14ac:dyDescent="0.25">
      <c r="A104" s="253"/>
      <c r="B104" s="258">
        <v>42345</v>
      </c>
      <c r="C104" s="253">
        <v>3100</v>
      </c>
      <c r="D104" s="254">
        <v>9.3789999999999996</v>
      </c>
      <c r="E104" s="254">
        <v>9.0399999999999991</v>
      </c>
      <c r="F104" s="254">
        <f t="shared" si="5"/>
        <v>-1050.9000000000012</v>
      </c>
      <c r="G104" s="254">
        <f t="shared" si="6"/>
        <v>29074.899999999998</v>
      </c>
      <c r="H104" s="268">
        <f t="shared" si="8"/>
        <v>-3.6144578313253059E-2</v>
      </c>
      <c r="I104" s="254"/>
      <c r="J104" s="254"/>
      <c r="K104" s="254"/>
      <c r="L104" s="253"/>
      <c r="M104" s="253"/>
      <c r="N104" s="253"/>
    </row>
    <row r="105" spans="1:14" x14ac:dyDescent="0.25">
      <c r="A105" s="253"/>
      <c r="B105" s="258">
        <v>42348</v>
      </c>
      <c r="C105" s="253">
        <v>3000</v>
      </c>
      <c r="D105" s="254">
        <v>9.3800000000000008</v>
      </c>
      <c r="E105" s="254">
        <v>9.17</v>
      </c>
      <c r="F105" s="254">
        <f t="shared" si="5"/>
        <v>-630.0000000000025</v>
      </c>
      <c r="G105" s="254">
        <f t="shared" si="6"/>
        <v>28140.000000000004</v>
      </c>
      <c r="H105" s="268">
        <f t="shared" si="8"/>
        <v>-2.2388059701492626E-2</v>
      </c>
      <c r="I105" s="254"/>
      <c r="J105" s="254"/>
      <c r="K105" s="254"/>
      <c r="L105" s="253"/>
      <c r="M105" s="253"/>
      <c r="N105" s="253"/>
    </row>
    <row r="106" spans="1:14" x14ac:dyDescent="0.25">
      <c r="A106" s="253"/>
      <c r="B106" s="258">
        <v>42349</v>
      </c>
      <c r="C106" s="253">
        <v>3000</v>
      </c>
      <c r="D106" s="254">
        <v>9.3659999999999997</v>
      </c>
      <c r="E106" s="254">
        <v>8.86</v>
      </c>
      <c r="F106" s="254">
        <f t="shared" si="5"/>
        <v>-1518.0000000000007</v>
      </c>
      <c r="G106" s="254">
        <f t="shared" si="6"/>
        <v>28098</v>
      </c>
      <c r="H106" s="268">
        <f t="shared" si="8"/>
        <v>-5.4025197522955398E-2</v>
      </c>
      <c r="I106" s="254"/>
      <c r="J106" s="254"/>
      <c r="K106" s="254"/>
      <c r="L106" s="253"/>
      <c r="M106" s="253"/>
      <c r="N106" s="253"/>
    </row>
    <row r="107" spans="1:14" x14ac:dyDescent="0.25">
      <c r="A107" s="253"/>
      <c r="B107" s="258">
        <v>42360</v>
      </c>
      <c r="C107" s="253">
        <v>1000</v>
      </c>
      <c r="D107" s="254">
        <v>9.1999999999999993</v>
      </c>
      <c r="E107" s="254">
        <v>9.56</v>
      </c>
      <c r="F107" s="254">
        <f t="shared" si="5"/>
        <v>360.00000000000119</v>
      </c>
      <c r="G107" s="254">
        <f t="shared" si="6"/>
        <v>9200</v>
      </c>
      <c r="H107" s="268">
        <f t="shared" si="8"/>
        <v>3.9130434782608831E-2</v>
      </c>
      <c r="I107" s="254"/>
      <c r="J107" s="254"/>
      <c r="K107" s="254"/>
      <c r="L107" s="253"/>
      <c r="M107" s="253"/>
      <c r="N107" s="253"/>
    </row>
    <row r="108" spans="1:14" x14ac:dyDescent="0.25">
      <c r="A108" s="253"/>
      <c r="B108" s="258">
        <v>42361</v>
      </c>
      <c r="C108" s="253">
        <v>0</v>
      </c>
      <c r="D108" s="254">
        <v>0</v>
      </c>
      <c r="E108" s="254">
        <v>10.19</v>
      </c>
      <c r="F108" s="254">
        <v>360</v>
      </c>
      <c r="G108" s="254"/>
      <c r="H108" s="268"/>
      <c r="I108" s="254"/>
      <c r="J108" s="254"/>
      <c r="K108" s="254"/>
      <c r="L108" s="253"/>
      <c r="M108" s="253"/>
      <c r="N108" s="253"/>
    </row>
    <row r="109" spans="1:14" x14ac:dyDescent="0.25">
      <c r="A109" s="253"/>
      <c r="B109" s="258">
        <v>42377</v>
      </c>
      <c r="C109" s="253">
        <v>400</v>
      </c>
      <c r="D109" s="254">
        <v>6.31</v>
      </c>
      <c r="E109" s="254">
        <v>8.07</v>
      </c>
      <c r="F109" s="254">
        <f t="shared" ref="F109:F114" si="9">C109*(E109-D109)</f>
        <v>704.00000000000023</v>
      </c>
      <c r="G109" s="254">
        <f t="shared" ref="G109:G114" si="10">D109*C109</f>
        <v>2524</v>
      </c>
      <c r="H109" s="268">
        <f t="shared" ref="H109:H114" si="11">(E109-D109)/D109</f>
        <v>0.27892234548335987</v>
      </c>
      <c r="I109" s="254"/>
      <c r="J109" s="254"/>
      <c r="K109" s="254"/>
      <c r="L109" s="253"/>
      <c r="M109" s="253"/>
      <c r="N109" s="253"/>
    </row>
    <row r="110" spans="1:14" x14ac:dyDescent="0.25">
      <c r="A110" s="253"/>
      <c r="B110" s="258">
        <v>42389</v>
      </c>
      <c r="C110" s="253">
        <v>500</v>
      </c>
      <c r="D110" s="254">
        <v>6.34</v>
      </c>
      <c r="E110" s="254">
        <v>6.74</v>
      </c>
      <c r="F110" s="254">
        <f t="shared" si="9"/>
        <v>200.00000000000017</v>
      </c>
      <c r="G110" s="254">
        <f t="shared" si="10"/>
        <v>3170</v>
      </c>
      <c r="H110" s="268">
        <f t="shared" si="11"/>
        <v>6.3091482649842323E-2</v>
      </c>
      <c r="I110" s="254"/>
      <c r="J110" s="254"/>
      <c r="K110" s="254"/>
      <c r="L110" s="253"/>
      <c r="M110" s="253"/>
      <c r="N110" s="253"/>
    </row>
    <row r="111" spans="1:14" x14ac:dyDescent="0.25">
      <c r="A111" s="253"/>
      <c r="B111" s="258">
        <v>42398</v>
      </c>
      <c r="C111" s="253">
        <v>400</v>
      </c>
      <c r="D111" s="254">
        <v>6.12</v>
      </c>
      <c r="E111" s="254">
        <v>7.14</v>
      </c>
      <c r="F111" s="254">
        <f t="shared" si="9"/>
        <v>407.99999999999983</v>
      </c>
      <c r="G111" s="254">
        <f t="shared" si="10"/>
        <v>2448</v>
      </c>
      <c r="H111" s="268">
        <f t="shared" si="11"/>
        <v>0.1666666666666666</v>
      </c>
      <c r="I111" s="254"/>
      <c r="J111" s="254"/>
      <c r="K111" s="254"/>
      <c r="L111" s="253"/>
      <c r="M111" s="253"/>
      <c r="N111" s="253"/>
    </row>
    <row r="112" spans="1:14" x14ac:dyDescent="0.25">
      <c r="A112" s="253"/>
      <c r="B112" s="258">
        <v>42402</v>
      </c>
      <c r="C112" s="253">
        <v>500</v>
      </c>
      <c r="D112" s="254">
        <v>6.2888999999999999</v>
      </c>
      <c r="E112" s="254">
        <v>6.97</v>
      </c>
      <c r="F112" s="254">
        <f t="shared" si="9"/>
        <v>340.5499999999999</v>
      </c>
      <c r="G112" s="254">
        <f t="shared" si="10"/>
        <v>3144.45</v>
      </c>
      <c r="H112" s="268">
        <f t="shared" si="11"/>
        <v>0.10830192879517878</v>
      </c>
      <c r="I112" s="254"/>
      <c r="J112" s="254"/>
      <c r="K112" s="254"/>
      <c r="L112" s="253"/>
      <c r="M112" s="253"/>
      <c r="N112" s="253"/>
    </row>
    <row r="113" spans="1:14" x14ac:dyDescent="0.25">
      <c r="A113" s="253"/>
      <c r="B113" s="258">
        <v>42403</v>
      </c>
      <c r="C113" s="253">
        <v>400</v>
      </c>
      <c r="D113" s="254">
        <v>6.01</v>
      </c>
      <c r="E113" s="254">
        <v>7.55</v>
      </c>
      <c r="F113" s="254">
        <f t="shared" si="9"/>
        <v>616</v>
      </c>
      <c r="G113" s="254">
        <f t="shared" si="10"/>
        <v>2404</v>
      </c>
      <c r="H113" s="268">
        <f t="shared" si="11"/>
        <v>0.2562396006655574</v>
      </c>
      <c r="I113" s="254"/>
      <c r="J113" s="254"/>
      <c r="K113" s="254"/>
      <c r="L113" s="253"/>
      <c r="M113" s="253"/>
      <c r="N113" s="365"/>
    </row>
    <row r="114" spans="1:14" x14ac:dyDescent="0.25">
      <c r="A114" s="253"/>
      <c r="B114" s="258">
        <v>42404</v>
      </c>
      <c r="C114" s="253">
        <v>300</v>
      </c>
      <c r="D114" s="254">
        <v>5.3349000000000002</v>
      </c>
      <c r="E114" s="254">
        <v>8.31</v>
      </c>
      <c r="F114" s="254">
        <f t="shared" si="9"/>
        <v>892.53000000000009</v>
      </c>
      <c r="G114" s="254">
        <f t="shared" si="10"/>
        <v>1600.47</v>
      </c>
      <c r="H114" s="268">
        <f t="shared" si="11"/>
        <v>0.55766743519091266</v>
      </c>
      <c r="I114" s="254"/>
      <c r="J114" s="254"/>
      <c r="K114" s="254"/>
      <c r="L114" s="253"/>
      <c r="M114" s="253"/>
      <c r="N114" s="365"/>
    </row>
    <row r="115" spans="1:14" x14ac:dyDescent="0.25">
      <c r="A115" s="253"/>
      <c r="B115" s="258">
        <v>42416</v>
      </c>
      <c r="C115" s="253">
        <v>0</v>
      </c>
      <c r="D115" s="254">
        <v>0</v>
      </c>
      <c r="E115" s="254">
        <v>0</v>
      </c>
      <c r="F115" s="254">
        <v>793.47</v>
      </c>
      <c r="G115" s="254"/>
      <c r="H115" s="268"/>
      <c r="I115" s="254"/>
      <c r="J115" s="254"/>
      <c r="K115" s="254"/>
      <c r="L115" s="253"/>
      <c r="M115" s="253"/>
      <c r="N115" s="365"/>
    </row>
    <row r="116" spans="1:14" x14ac:dyDescent="0.25">
      <c r="A116" s="365"/>
      <c r="B116" s="364"/>
      <c r="C116" s="365"/>
      <c r="D116" s="366"/>
      <c r="E116" s="366"/>
      <c r="F116" s="366"/>
      <c r="G116" s="366"/>
      <c r="H116" s="367"/>
      <c r="I116" s="366"/>
      <c r="J116" s="366"/>
      <c r="K116" s="366"/>
      <c r="L116" s="365"/>
      <c r="M116" s="365"/>
      <c r="N116" s="365"/>
    </row>
    <row r="117" spans="1:14" x14ac:dyDescent="0.25">
      <c r="A117" s="365"/>
      <c r="B117" s="364">
        <v>42545</v>
      </c>
      <c r="C117" s="365">
        <v>250</v>
      </c>
      <c r="D117" s="366">
        <v>9.36</v>
      </c>
      <c r="E117" s="366">
        <v>9.3800000000000008</v>
      </c>
      <c r="F117" s="366">
        <f t="shared" ref="F117:F127" si="12">C117*(E117-D117)</f>
        <v>5.0000000000003375</v>
      </c>
      <c r="G117" s="366">
        <f t="shared" ref="G117:G127" si="13">D117*C117</f>
        <v>2340</v>
      </c>
      <c r="H117" s="367">
        <f t="shared" ref="H117:H127" si="14">(E117-D117)/D117</f>
        <v>2.1367521367522809E-3</v>
      </c>
      <c r="I117" s="366"/>
      <c r="J117" s="366"/>
      <c r="K117" s="366"/>
      <c r="L117" s="365"/>
      <c r="M117" s="365"/>
      <c r="N117" s="365"/>
    </row>
    <row r="118" spans="1:14" x14ac:dyDescent="0.25">
      <c r="A118" s="365"/>
      <c r="B118" s="364">
        <v>42548</v>
      </c>
      <c r="C118" s="365">
        <v>250</v>
      </c>
      <c r="D118" s="366">
        <v>9.36</v>
      </c>
      <c r="E118" s="366">
        <v>9.1</v>
      </c>
      <c r="F118" s="366">
        <f t="shared" si="12"/>
        <v>-64.999999999999943</v>
      </c>
      <c r="G118" s="366">
        <f t="shared" si="13"/>
        <v>2340</v>
      </c>
      <c r="H118" s="367">
        <f t="shared" si="14"/>
        <v>-2.7777777777777755E-2</v>
      </c>
      <c r="I118" s="366"/>
      <c r="J118" s="366"/>
      <c r="K118" s="366"/>
      <c r="L118" s="365"/>
      <c r="M118" s="365"/>
      <c r="N118" s="365"/>
    </row>
    <row r="119" spans="1:14" x14ac:dyDescent="0.25">
      <c r="A119" s="365"/>
      <c r="B119" s="364">
        <v>42549</v>
      </c>
      <c r="C119" s="365">
        <v>250</v>
      </c>
      <c r="D119" s="366">
        <v>9.36</v>
      </c>
      <c r="E119" s="366">
        <v>9.33</v>
      </c>
      <c r="F119" s="366">
        <f t="shared" si="12"/>
        <v>-7.4999999999998401</v>
      </c>
      <c r="G119" s="366">
        <f t="shared" si="13"/>
        <v>2340</v>
      </c>
      <c r="H119" s="367">
        <f t="shared" si="14"/>
        <v>-3.2051282051281369E-3</v>
      </c>
      <c r="I119" s="366"/>
      <c r="J119" s="366"/>
      <c r="K119" s="366"/>
      <c r="L119" s="365"/>
      <c r="M119" s="365"/>
      <c r="N119" s="365"/>
    </row>
    <row r="120" spans="1:14" x14ac:dyDescent="0.25">
      <c r="A120" s="365"/>
      <c r="B120" s="364">
        <v>42550</v>
      </c>
      <c r="C120" s="365">
        <v>250</v>
      </c>
      <c r="D120" s="366">
        <v>9.36</v>
      </c>
      <c r="E120" s="366">
        <v>9.1</v>
      </c>
      <c r="F120" s="366">
        <f t="shared" si="12"/>
        <v>-64.999999999999943</v>
      </c>
      <c r="G120" s="366">
        <f t="shared" si="13"/>
        <v>2340</v>
      </c>
      <c r="H120" s="367">
        <f t="shared" si="14"/>
        <v>-2.7777777777777755E-2</v>
      </c>
      <c r="I120" s="366"/>
      <c r="J120" s="366"/>
      <c r="K120" s="366"/>
      <c r="L120" s="365"/>
      <c r="M120" s="365"/>
      <c r="N120" s="365"/>
    </row>
    <row r="121" spans="1:14" x14ac:dyDescent="0.25">
      <c r="A121" s="365"/>
      <c r="B121" s="364">
        <v>42552</v>
      </c>
      <c r="C121" s="365">
        <v>250</v>
      </c>
      <c r="D121" s="366">
        <v>9.36</v>
      </c>
      <c r="E121" s="366">
        <v>9.5500000000000007</v>
      </c>
      <c r="F121" s="366">
        <f t="shared" si="12"/>
        <v>47.50000000000032</v>
      </c>
      <c r="G121" s="366">
        <f t="shared" si="13"/>
        <v>2340</v>
      </c>
      <c r="H121" s="367">
        <f t="shared" si="14"/>
        <v>2.0299145299145439E-2</v>
      </c>
      <c r="I121" s="366"/>
      <c r="J121" s="366"/>
      <c r="K121" s="366"/>
      <c r="L121" s="365"/>
      <c r="M121" s="365"/>
      <c r="N121" s="365"/>
    </row>
    <row r="122" spans="1:14" x14ac:dyDescent="0.25">
      <c r="A122" s="365"/>
      <c r="B122" s="364">
        <v>42556</v>
      </c>
      <c r="C122" s="365">
        <v>250</v>
      </c>
      <c r="D122" s="366">
        <v>9.36</v>
      </c>
      <c r="E122" s="366">
        <v>9.26</v>
      </c>
      <c r="F122" s="366">
        <f t="shared" si="12"/>
        <v>-24.999999999999911</v>
      </c>
      <c r="G122" s="366">
        <f t="shared" si="13"/>
        <v>2340</v>
      </c>
      <c r="H122" s="367">
        <f t="shared" si="14"/>
        <v>-1.0683760683760646E-2</v>
      </c>
      <c r="I122" s="366"/>
      <c r="J122" s="366"/>
      <c r="K122" s="366"/>
      <c r="L122" s="365"/>
      <c r="M122" s="365"/>
      <c r="N122" s="365"/>
    </row>
    <row r="123" spans="1:14" x14ac:dyDescent="0.25">
      <c r="A123" s="365"/>
      <c r="B123" s="364">
        <v>42557</v>
      </c>
      <c r="C123" s="365">
        <v>250</v>
      </c>
      <c r="D123" s="366">
        <v>9.36</v>
      </c>
      <c r="E123" s="366">
        <v>9.19</v>
      </c>
      <c r="F123" s="366">
        <f t="shared" si="12"/>
        <v>-42.499999999999986</v>
      </c>
      <c r="G123" s="366">
        <f t="shared" si="13"/>
        <v>2340</v>
      </c>
      <c r="H123" s="367">
        <f t="shared" si="14"/>
        <v>-1.8162393162393157E-2</v>
      </c>
      <c r="I123" s="366"/>
      <c r="J123" s="366"/>
      <c r="K123" s="366"/>
      <c r="L123" s="365"/>
      <c r="M123" s="365"/>
      <c r="N123" s="365"/>
    </row>
    <row r="124" spans="1:14" x14ac:dyDescent="0.25">
      <c r="A124" s="365"/>
      <c r="B124" s="364">
        <v>42559</v>
      </c>
      <c r="C124" s="365">
        <v>250</v>
      </c>
      <c r="D124" s="366">
        <v>9.36</v>
      </c>
      <c r="E124" s="366">
        <v>9.82</v>
      </c>
      <c r="F124" s="366">
        <f t="shared" si="12"/>
        <v>115.00000000000021</v>
      </c>
      <c r="G124" s="366">
        <f t="shared" si="13"/>
        <v>2340</v>
      </c>
      <c r="H124" s="367">
        <f t="shared" si="14"/>
        <v>4.9145299145299241E-2</v>
      </c>
      <c r="I124" s="366"/>
      <c r="J124" s="366"/>
      <c r="K124" s="366"/>
      <c r="L124" s="365"/>
      <c r="M124" s="365"/>
      <c r="N124" s="365"/>
    </row>
    <row r="125" spans="1:14" x14ac:dyDescent="0.25">
      <c r="A125" s="365"/>
      <c r="B125" s="364">
        <v>42562</v>
      </c>
      <c r="C125" s="365">
        <v>250</v>
      </c>
      <c r="D125" s="366">
        <v>9.36</v>
      </c>
      <c r="E125" s="366">
        <v>10.14</v>
      </c>
      <c r="F125" s="366">
        <f t="shared" si="12"/>
        <v>195.00000000000028</v>
      </c>
      <c r="G125" s="366">
        <f t="shared" si="13"/>
        <v>2340</v>
      </c>
      <c r="H125" s="367">
        <f t="shared" si="14"/>
        <v>8.3333333333333454E-2</v>
      </c>
      <c r="I125" s="366" t="s">
        <v>232</v>
      </c>
      <c r="J125" s="366"/>
      <c r="K125" s="366"/>
      <c r="L125" s="365"/>
      <c r="M125" s="365"/>
      <c r="N125" s="365"/>
    </row>
    <row r="126" spans="1:14" x14ac:dyDescent="0.25">
      <c r="A126" s="365"/>
      <c r="B126" s="364">
        <v>42566</v>
      </c>
      <c r="C126" s="365">
        <v>250</v>
      </c>
      <c r="D126" s="366">
        <v>9.36</v>
      </c>
      <c r="E126" s="366">
        <v>10.92</v>
      </c>
      <c r="F126" s="366">
        <f t="shared" si="12"/>
        <v>390.00000000000011</v>
      </c>
      <c r="G126" s="366">
        <f t="shared" si="13"/>
        <v>2340</v>
      </c>
      <c r="H126" s="367">
        <f t="shared" si="14"/>
        <v>0.16666666666666674</v>
      </c>
      <c r="I126" s="446">
        <v>8.8000000000000007</v>
      </c>
      <c r="J126" s="366"/>
      <c r="K126" s="366"/>
      <c r="L126" s="365"/>
      <c r="M126" s="365"/>
      <c r="N126" s="365"/>
    </row>
    <row r="127" spans="1:14" x14ac:dyDescent="0.25">
      <c r="A127" s="365"/>
      <c r="B127" s="364">
        <v>42570</v>
      </c>
      <c r="C127" s="365">
        <v>250</v>
      </c>
      <c r="D127" s="366">
        <v>9.36</v>
      </c>
      <c r="E127" s="366">
        <v>10.63</v>
      </c>
      <c r="F127" s="366">
        <f t="shared" si="12"/>
        <v>317.50000000000034</v>
      </c>
      <c r="G127" s="366">
        <f t="shared" si="13"/>
        <v>2340</v>
      </c>
      <c r="H127" s="367">
        <f t="shared" si="14"/>
        <v>0.13568376068376084</v>
      </c>
      <c r="I127" s="366"/>
      <c r="J127" s="366"/>
      <c r="K127" s="366"/>
      <c r="L127" s="365"/>
      <c r="M127" s="365"/>
      <c r="N127" s="365"/>
    </row>
    <row r="128" spans="1:14" x14ac:dyDescent="0.25">
      <c r="A128" s="365"/>
      <c r="B128" s="364">
        <v>42577</v>
      </c>
      <c r="C128" s="365">
        <v>0</v>
      </c>
      <c r="D128" s="366"/>
      <c r="E128" s="366"/>
      <c r="F128" s="366">
        <v>311.95</v>
      </c>
      <c r="G128" s="366"/>
      <c r="H128" s="367"/>
      <c r="I128" s="366"/>
      <c r="J128" s="366"/>
      <c r="K128" s="366"/>
      <c r="L128" s="365"/>
      <c r="M128" s="365"/>
    </row>
    <row r="129" spans="1:13" x14ac:dyDescent="0.25">
      <c r="A129" s="365"/>
      <c r="B129" s="36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  <c r="M129" s="365"/>
    </row>
    <row r="130" spans="1:13" x14ac:dyDescent="0.25">
      <c r="A130" s="365"/>
      <c r="B130" s="36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  <c r="M130" s="365"/>
    </row>
  </sheetData>
  <mergeCells count="1">
    <mergeCell ref="P39:Q39"/>
  </mergeCells>
  <conditionalFormatting sqref="F22:F39 H22:H39">
    <cfRule type="expression" dxfId="617" priority="66">
      <formula>F22&gt;0</formula>
    </cfRule>
    <cfRule type="expression" dxfId="61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5" priority="53">
      <formula>F41&gt;0</formula>
    </cfRule>
    <cfRule type="expression" dxfId="614" priority="54">
      <formula>F41&lt;0</formula>
    </cfRule>
  </conditionalFormatting>
  <conditionalFormatting sqref="F41">
    <cfRule type="expression" dxfId="613" priority="57">
      <formula>F41&gt;0</formula>
    </cfRule>
    <cfRule type="expression" dxfId="612" priority="58">
      <formula>F41&lt;0</formula>
    </cfRule>
  </conditionalFormatting>
  <conditionalFormatting sqref="H41">
    <cfRule type="expression" dxfId="611" priority="35">
      <formula>H41&gt;0</formula>
    </cfRule>
    <cfRule type="expression" dxfId="610" priority="36">
      <formula>H41&lt;0</formula>
    </cfRule>
  </conditionalFormatting>
  <conditionalFormatting sqref="F89:F95">
    <cfRule type="expression" dxfId="609" priority="29">
      <formula>F89&gt;0</formula>
    </cfRule>
    <cfRule type="expression" dxfId="608" priority="30">
      <formula>F89&lt;0</formula>
    </cfRule>
  </conditionalFormatting>
  <conditionalFormatting sqref="F96:F110">
    <cfRule type="expression" dxfId="607" priority="25">
      <formula>F96&gt;0</formula>
    </cfRule>
    <cfRule type="expression" dxfId="606" priority="26">
      <formula>F96&lt;0</formula>
    </cfRule>
  </conditionalFormatting>
  <conditionalFormatting sqref="F96:F110">
    <cfRule type="expression" dxfId="605" priority="27">
      <formula>F96&gt;0</formula>
    </cfRule>
    <cfRule type="expression" dxfId="604" priority="28">
      <formula>F96&lt;0</formula>
    </cfRule>
  </conditionalFormatting>
  <conditionalFormatting sqref="H89:H100">
    <cfRule type="expression" dxfId="603" priority="23">
      <formula>H89&gt;0</formula>
    </cfRule>
    <cfRule type="expression" dxfId="602" priority="24">
      <formula>H89&lt;0</formula>
    </cfRule>
  </conditionalFormatting>
  <conditionalFormatting sqref="H101">
    <cfRule type="expression" dxfId="601" priority="21">
      <formula>H101&gt;0</formula>
    </cfRule>
    <cfRule type="expression" dxfId="600" priority="22">
      <formula>H101&lt;0</formula>
    </cfRule>
  </conditionalFormatting>
  <conditionalFormatting sqref="F111:F116">
    <cfRule type="expression" dxfId="599" priority="19">
      <formula>F111&gt;0</formula>
    </cfRule>
    <cfRule type="expression" dxfId="598" priority="20">
      <formula>F111&lt;0</formula>
    </cfRule>
  </conditionalFormatting>
  <conditionalFormatting sqref="H103:H116">
    <cfRule type="expression" dxfId="597" priority="17">
      <formula>H103&gt;0</formula>
    </cfRule>
    <cfRule type="expression" dxfId="596" priority="18">
      <formula>H103&lt;0</formula>
    </cfRule>
  </conditionalFormatting>
  <conditionalFormatting sqref="H102">
    <cfRule type="expression" dxfId="595" priority="15">
      <formula>H102&gt;0</formula>
    </cfRule>
    <cfRule type="expression" dxfId="594" priority="16">
      <formula>H102&lt;0</formula>
    </cfRule>
  </conditionalFormatting>
  <conditionalFormatting sqref="M42">
    <cfRule type="expression" dxfId="593" priority="13">
      <formula>M42&gt;0</formula>
    </cfRule>
    <cfRule type="expression" dxfId="592" priority="14">
      <formula>M42&lt;0</formula>
    </cfRule>
  </conditionalFormatting>
  <conditionalFormatting sqref="Q7">
    <cfRule type="expression" dxfId="591" priority="9">
      <formula>Q7&gt;0</formula>
    </cfRule>
    <cfRule type="expression" dxfId="590" priority="10">
      <formula>Q7&lt;0</formula>
    </cfRule>
  </conditionalFormatting>
  <conditionalFormatting sqref="Q8">
    <cfRule type="expression" dxfId="589" priority="7">
      <formula>Q8&gt;0</formula>
    </cfRule>
    <cfRule type="expression" dxfId="588" priority="8">
      <formula>Q8&lt;0</formula>
    </cfRule>
  </conditionalFormatting>
  <conditionalFormatting sqref="F117:F130 H117:H130">
    <cfRule type="expression" dxfId="587" priority="1">
      <formula>F117&gt;0</formula>
    </cfRule>
    <cfRule type="expression" dxfId="58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50" activePane="bottomLeft" state="frozen"/>
      <selection activeCell="A2" sqref="A2"/>
      <selection pane="bottomLeft" activeCell="J64" sqref="J64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37.11</v>
      </c>
      <c r="T3" s="1" t="s">
        <v>240</v>
      </c>
      <c r="W3" s="134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72"/>
      <c r="M4" s="3"/>
      <c r="O4" s="11" t="s">
        <v>66</v>
      </c>
      <c r="Q4" s="54">
        <v>37.11</v>
      </c>
      <c r="R4" s="496">
        <v>3.8E-3</v>
      </c>
      <c r="T4" s="158">
        <v>42633</v>
      </c>
      <c r="U4" s="1" t="s">
        <v>272</v>
      </c>
      <c r="W4" s="134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460</v>
      </c>
      <c r="W6" s="134"/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459</v>
      </c>
      <c r="W7" s="134"/>
    </row>
    <row r="8" spans="1:23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461</v>
      </c>
      <c r="W8" s="134"/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W12" s="134"/>
    </row>
    <row r="13" spans="1:23" x14ac:dyDescent="0.25">
      <c r="F13" s="3"/>
      <c r="G13" s="480"/>
      <c r="H13" s="179"/>
      <c r="I13" s="3"/>
      <c r="J13" s="3"/>
      <c r="K13" s="3"/>
      <c r="L13" s="4"/>
      <c r="M13" s="4"/>
      <c r="W13" s="134"/>
    </row>
    <row r="14" spans="1:23" x14ac:dyDescent="0.25">
      <c r="G14" s="480"/>
      <c r="H14" s="179"/>
      <c r="I14" s="3"/>
      <c r="J14" s="3"/>
      <c r="K14" s="3"/>
      <c r="L14" s="4"/>
      <c r="M14" s="4"/>
      <c r="W14" s="13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510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5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5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5"/>
      <c r="I28" s="39"/>
      <c r="J28" s="39"/>
      <c r="O28" s="670" t="s">
        <v>78</v>
      </c>
      <c r="P28" s="670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5"/>
      <c r="I29" s="39"/>
      <c r="J29" s="39"/>
      <c r="O29" s="81">
        <v>1.1000000000000001</v>
      </c>
      <c r="P29" s="81">
        <f>O29*$Q$4</f>
        <v>40.821000000000005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5"/>
      <c r="I30" s="39"/>
      <c r="J30" s="39"/>
      <c r="O30" s="81">
        <v>1.0900000000000001</v>
      </c>
      <c r="P30" s="81">
        <f t="shared" ref="P30:P49" si="0">O30*$Q$4</f>
        <v>40.4499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5"/>
      <c r="I31" s="39"/>
      <c r="J31" s="39"/>
      <c r="O31" s="81">
        <v>1.08</v>
      </c>
      <c r="P31" s="81">
        <f t="shared" si="0"/>
        <v>40.078800000000001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5"/>
      <c r="I32" s="39"/>
      <c r="J32" s="39"/>
      <c r="O32" s="81">
        <v>1.07</v>
      </c>
      <c r="P32" s="81">
        <f t="shared" si="0"/>
        <v>39.707700000000003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5"/>
      <c r="I33" s="39"/>
      <c r="J33" s="39"/>
      <c r="O33" s="81">
        <v>1.06</v>
      </c>
      <c r="P33" s="81">
        <f t="shared" si="0"/>
        <v>39.336600000000004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5"/>
      <c r="I34" s="39"/>
      <c r="J34" s="39"/>
      <c r="O34" s="81">
        <v>1.05</v>
      </c>
      <c r="P34" s="81">
        <f t="shared" si="0"/>
        <v>38.965499999999999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5"/>
      <c r="I35" s="39"/>
      <c r="J35" s="39"/>
      <c r="O35" s="81">
        <v>1.04</v>
      </c>
      <c r="P35" s="81">
        <f t="shared" si="0"/>
        <v>38.5944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5"/>
      <c r="I36" s="39"/>
      <c r="J36" s="39"/>
      <c r="O36" s="81">
        <v>1.03</v>
      </c>
      <c r="P36" s="81">
        <f t="shared" si="0"/>
        <v>38.223300000000002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5"/>
      <c r="I37" s="39"/>
      <c r="J37" s="39"/>
      <c r="O37" s="81">
        <v>1.02</v>
      </c>
      <c r="P37" s="81">
        <f t="shared" si="0"/>
        <v>37.852200000000003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5"/>
      <c r="I38" s="39"/>
      <c r="J38" s="39"/>
      <c r="O38" s="81">
        <v>1.01</v>
      </c>
      <c r="P38" s="81">
        <f t="shared" si="0"/>
        <v>37.481099999999998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37.11</v>
      </c>
      <c r="W39" s="134"/>
    </row>
    <row r="40" spans="1:23" x14ac:dyDescent="0.25">
      <c r="O40" s="81">
        <v>0.99</v>
      </c>
      <c r="P40" s="81">
        <f t="shared" si="0"/>
        <v>36.738900000000001</v>
      </c>
      <c r="W40" s="134"/>
    </row>
    <row r="41" spans="1:23" x14ac:dyDescent="0.25">
      <c r="O41" s="81">
        <v>0.98</v>
      </c>
      <c r="P41" s="81">
        <f t="shared" si="0"/>
        <v>36.367799999999995</v>
      </c>
      <c r="W41" s="134"/>
    </row>
    <row r="42" spans="1:23" x14ac:dyDescent="0.25">
      <c r="A42" s="567"/>
      <c r="B42" s="566"/>
      <c r="C42" s="567"/>
      <c r="D42" s="568"/>
      <c r="E42" s="568"/>
      <c r="F42" s="568"/>
      <c r="G42" s="567"/>
      <c r="H42" s="567"/>
      <c r="I42" s="568"/>
      <c r="J42" s="568"/>
      <c r="K42" s="568"/>
      <c r="L42" s="567" t="s">
        <v>65</v>
      </c>
      <c r="M42" s="568">
        <f>M80+K80-F80</f>
        <v>4376.9599999999991</v>
      </c>
      <c r="O42" s="81">
        <v>0.97</v>
      </c>
      <c r="P42" s="81">
        <f t="shared" si="0"/>
        <v>35.996699999999997</v>
      </c>
      <c r="W42" s="134"/>
    </row>
    <row r="43" spans="1:23" x14ac:dyDescent="0.25">
      <c r="A43" s="690" t="s">
        <v>1</v>
      </c>
      <c r="B43" s="709" t="s">
        <v>2</v>
      </c>
      <c r="C43" s="690" t="s">
        <v>4</v>
      </c>
      <c r="D43" s="691" t="s">
        <v>5</v>
      </c>
      <c r="E43" s="691" t="s">
        <v>94</v>
      </c>
      <c r="F43" s="691" t="s">
        <v>60</v>
      </c>
      <c r="G43" s="690" t="s">
        <v>3</v>
      </c>
      <c r="H43" s="690" t="s">
        <v>6</v>
      </c>
      <c r="I43" s="691" t="s">
        <v>7</v>
      </c>
      <c r="J43" s="691" t="s">
        <v>95</v>
      </c>
      <c r="K43" s="691" t="s">
        <v>61</v>
      </c>
      <c r="L43" s="690" t="s">
        <v>37</v>
      </c>
      <c r="M43" s="690" t="s">
        <v>38</v>
      </c>
      <c r="O43" s="81">
        <v>0.96</v>
      </c>
      <c r="P43" s="81">
        <f t="shared" si="0"/>
        <v>35.625599999999999</v>
      </c>
      <c r="W43" s="134"/>
    </row>
    <row r="44" spans="1:23" x14ac:dyDescent="0.25">
      <c r="A44" s="692" t="s">
        <v>224</v>
      </c>
      <c r="B44" s="566">
        <v>42545</v>
      </c>
      <c r="C44" s="567">
        <v>100</v>
      </c>
      <c r="D44" s="568">
        <v>25.25</v>
      </c>
      <c r="E44" s="568">
        <v>0</v>
      </c>
      <c r="F44" s="568">
        <f t="shared" ref="F44:F55" si="1">D44*C44+E44</f>
        <v>2525</v>
      </c>
      <c r="G44" s="566">
        <v>42577</v>
      </c>
      <c r="H44" s="569">
        <v>30</v>
      </c>
      <c r="I44" s="568">
        <v>25.81</v>
      </c>
      <c r="J44" s="568">
        <v>0.02</v>
      </c>
      <c r="K44" s="568">
        <f t="shared" ref="K44:K50" si="2">H44*I44-J44</f>
        <v>774.28</v>
      </c>
      <c r="L44" s="570">
        <v>42613</v>
      </c>
      <c r="M44" s="568">
        <v>90</v>
      </c>
      <c r="O44" s="81">
        <v>0.95</v>
      </c>
      <c r="P44" s="81">
        <f t="shared" si="0"/>
        <v>35.2545</v>
      </c>
      <c r="W44" s="134"/>
    </row>
    <row r="45" spans="1:23" x14ac:dyDescent="0.25">
      <c r="A45" s="693" t="s">
        <v>71</v>
      </c>
      <c r="B45" s="566">
        <v>42580</v>
      </c>
      <c r="C45" s="567">
        <v>30</v>
      </c>
      <c r="D45" s="568">
        <v>23.78</v>
      </c>
      <c r="E45" s="568">
        <v>0</v>
      </c>
      <c r="F45" s="568">
        <f t="shared" si="1"/>
        <v>713.40000000000009</v>
      </c>
      <c r="G45" s="566">
        <v>42597</v>
      </c>
      <c r="H45" s="569">
        <v>70</v>
      </c>
      <c r="I45" s="568">
        <v>22.94</v>
      </c>
      <c r="J45" s="568">
        <v>0.38</v>
      </c>
      <c r="K45" s="568">
        <f t="shared" si="2"/>
        <v>1605.42</v>
      </c>
      <c r="L45" s="570">
        <v>42704</v>
      </c>
      <c r="M45" s="568">
        <v>102</v>
      </c>
      <c r="O45" s="81">
        <v>0.94</v>
      </c>
      <c r="P45" s="81">
        <f t="shared" si="0"/>
        <v>34.883399999999995</v>
      </c>
      <c r="W45" s="134"/>
    </row>
    <row r="46" spans="1:23" x14ac:dyDescent="0.25">
      <c r="A46" s="567"/>
      <c r="B46" s="566">
        <v>42586</v>
      </c>
      <c r="C46" s="567">
        <v>40</v>
      </c>
      <c r="D46" s="568">
        <v>22.65</v>
      </c>
      <c r="E46" s="568">
        <v>0</v>
      </c>
      <c r="F46" s="568">
        <f t="shared" si="1"/>
        <v>906</v>
      </c>
      <c r="G46" s="566">
        <v>42599</v>
      </c>
      <c r="H46" s="569">
        <v>30</v>
      </c>
      <c r="I46" s="568">
        <v>23.48</v>
      </c>
      <c r="J46" s="568">
        <v>0.02</v>
      </c>
      <c r="K46" s="568">
        <f t="shared" si="2"/>
        <v>704.38</v>
      </c>
      <c r="L46" s="567"/>
      <c r="M46" s="567"/>
      <c r="O46" s="81">
        <v>0.93</v>
      </c>
      <c r="P46" s="81">
        <f t="shared" si="0"/>
        <v>34.512300000000003</v>
      </c>
      <c r="W46" s="134"/>
    </row>
    <row r="47" spans="1:23" x14ac:dyDescent="0.25">
      <c r="A47" s="567"/>
      <c r="B47" s="566">
        <v>42586</v>
      </c>
      <c r="C47" s="567">
        <v>60</v>
      </c>
      <c r="D47" s="568">
        <v>22.65</v>
      </c>
      <c r="E47" s="568">
        <v>0</v>
      </c>
      <c r="F47" s="568">
        <f t="shared" si="1"/>
        <v>1359</v>
      </c>
      <c r="G47" s="566">
        <v>42621</v>
      </c>
      <c r="H47" s="569">
        <v>40</v>
      </c>
      <c r="I47" s="568">
        <v>26.28</v>
      </c>
      <c r="J47" s="568">
        <v>0.02</v>
      </c>
      <c r="K47" s="568">
        <f t="shared" si="2"/>
        <v>1051.18</v>
      </c>
      <c r="L47" s="567"/>
      <c r="M47" s="567"/>
      <c r="O47" s="81">
        <v>0.92</v>
      </c>
      <c r="P47" s="81">
        <f t="shared" si="0"/>
        <v>34.141199999999998</v>
      </c>
      <c r="W47" s="134"/>
    </row>
    <row r="48" spans="1:23" x14ac:dyDescent="0.25">
      <c r="A48" s="567"/>
      <c r="B48" s="566">
        <v>42586</v>
      </c>
      <c r="C48" s="567">
        <v>100</v>
      </c>
      <c r="D48" s="568">
        <v>20.92</v>
      </c>
      <c r="E48" s="568">
        <v>-0.5</v>
      </c>
      <c r="F48" s="568">
        <f t="shared" si="1"/>
        <v>2091.5</v>
      </c>
      <c r="G48" s="566">
        <v>42639</v>
      </c>
      <c r="H48" s="569">
        <v>100</v>
      </c>
      <c r="I48" s="568">
        <v>22.82</v>
      </c>
      <c r="J48" s="568">
        <v>0.05</v>
      </c>
      <c r="K48" s="568">
        <f t="shared" si="2"/>
        <v>2281.9499999999998</v>
      </c>
      <c r="L48" s="567"/>
      <c r="M48" s="567"/>
      <c r="O48" s="81">
        <v>0.91</v>
      </c>
      <c r="P48" s="81">
        <f t="shared" si="0"/>
        <v>33.770099999999999</v>
      </c>
      <c r="W48" s="134"/>
    </row>
    <row r="49" spans="1:23" x14ac:dyDescent="0.25">
      <c r="A49" s="567"/>
      <c r="B49" s="566">
        <v>42626</v>
      </c>
      <c r="C49" s="567">
        <v>40</v>
      </c>
      <c r="D49" s="568">
        <v>24.58</v>
      </c>
      <c r="E49" s="568">
        <v>0</v>
      </c>
      <c r="F49" s="568">
        <f t="shared" si="1"/>
        <v>983.19999999999993</v>
      </c>
      <c r="G49" s="566">
        <v>42643</v>
      </c>
      <c r="H49" s="569">
        <v>60</v>
      </c>
      <c r="I49" s="568">
        <v>24.72</v>
      </c>
      <c r="J49" s="568">
        <v>0.03</v>
      </c>
      <c r="K49" s="568">
        <f t="shared" si="2"/>
        <v>1483.1699999999998</v>
      </c>
      <c r="L49" s="567"/>
      <c r="M49" s="567"/>
      <c r="O49" s="81">
        <v>0.9</v>
      </c>
      <c r="P49" s="81">
        <f t="shared" si="0"/>
        <v>33.399000000000001</v>
      </c>
      <c r="W49" s="134"/>
    </row>
    <row r="50" spans="1:23" x14ac:dyDescent="0.25">
      <c r="A50" s="567"/>
      <c r="B50" s="566">
        <v>42639</v>
      </c>
      <c r="C50" s="567">
        <v>100</v>
      </c>
      <c r="D50" s="568">
        <v>22.28</v>
      </c>
      <c r="E50" s="568">
        <v>0</v>
      </c>
      <c r="F50" s="568">
        <f t="shared" si="1"/>
        <v>2228</v>
      </c>
      <c r="G50" s="566">
        <v>42663</v>
      </c>
      <c r="H50" s="569">
        <v>40</v>
      </c>
      <c r="I50" s="568">
        <v>24.78</v>
      </c>
      <c r="J50" s="568">
        <v>0.02</v>
      </c>
      <c r="K50" s="568">
        <f t="shared" si="2"/>
        <v>991.18000000000006</v>
      </c>
      <c r="L50" s="567"/>
      <c r="M50" s="567"/>
      <c r="W50" s="134"/>
    </row>
    <row r="51" spans="1:23" x14ac:dyDescent="0.25">
      <c r="A51" s="567"/>
      <c r="B51" s="566">
        <v>42643</v>
      </c>
      <c r="C51" s="567">
        <v>60</v>
      </c>
      <c r="D51" s="568">
        <v>24.3</v>
      </c>
      <c r="E51" s="568">
        <v>0</v>
      </c>
      <c r="F51" s="568">
        <f t="shared" si="1"/>
        <v>1458</v>
      </c>
      <c r="G51" s="566">
        <v>42675</v>
      </c>
      <c r="H51" s="569">
        <v>100</v>
      </c>
      <c r="I51" s="568">
        <v>24.75</v>
      </c>
      <c r="J51" s="568">
        <v>0.05</v>
      </c>
      <c r="K51" s="568">
        <f>H51*I51-J51</f>
        <v>2474.9499999999998</v>
      </c>
      <c r="L51" s="567"/>
      <c r="M51" s="567"/>
      <c r="W51" s="134"/>
    </row>
    <row r="52" spans="1:23" x14ac:dyDescent="0.25">
      <c r="A52" s="567"/>
      <c r="B52" s="566">
        <v>42655</v>
      </c>
      <c r="C52" s="567">
        <v>100</v>
      </c>
      <c r="D52" s="568">
        <v>22.56</v>
      </c>
      <c r="E52" s="568">
        <v>0</v>
      </c>
      <c r="F52" s="568">
        <f t="shared" si="1"/>
        <v>2256</v>
      </c>
      <c r="G52" s="566">
        <v>42677</v>
      </c>
      <c r="H52" s="569">
        <v>60</v>
      </c>
      <c r="I52" s="568">
        <v>23.16</v>
      </c>
      <c r="J52" s="568">
        <v>0.03</v>
      </c>
      <c r="K52" s="568">
        <f>H52*I52-J52</f>
        <v>1389.57</v>
      </c>
      <c r="L52" s="567"/>
      <c r="M52" s="567"/>
      <c r="W52" s="134"/>
    </row>
    <row r="53" spans="1:23" x14ac:dyDescent="0.25">
      <c r="A53" s="567"/>
      <c r="B53" s="566">
        <v>42674</v>
      </c>
      <c r="C53" s="567">
        <v>40</v>
      </c>
      <c r="D53" s="568">
        <v>24.16</v>
      </c>
      <c r="E53" s="568">
        <v>-0.1</v>
      </c>
      <c r="F53" s="568">
        <f t="shared" si="1"/>
        <v>966.3</v>
      </c>
      <c r="G53" s="566">
        <v>42688</v>
      </c>
      <c r="H53" s="569">
        <v>100</v>
      </c>
      <c r="I53" s="568">
        <v>28</v>
      </c>
      <c r="J53" s="568">
        <v>0.06</v>
      </c>
      <c r="K53" s="568">
        <f>H53*I53-J53</f>
        <v>2799.94</v>
      </c>
      <c r="L53" s="567"/>
      <c r="M53" s="567"/>
      <c r="W53" s="134"/>
    </row>
    <row r="54" spans="1:23" x14ac:dyDescent="0.25">
      <c r="A54" s="567"/>
      <c r="B54" s="566">
        <v>42675</v>
      </c>
      <c r="C54" s="567">
        <v>100</v>
      </c>
      <c r="D54" s="568">
        <v>24.53</v>
      </c>
      <c r="E54" s="568">
        <v>0</v>
      </c>
      <c r="F54" s="568">
        <f>D54*C54+E54</f>
        <v>2453</v>
      </c>
      <c r="G54" s="566">
        <v>42705</v>
      </c>
      <c r="H54" s="569">
        <v>40</v>
      </c>
      <c r="I54" s="568">
        <v>29.58</v>
      </c>
      <c r="J54" s="568">
        <v>0.03</v>
      </c>
      <c r="K54" s="568">
        <f>H54*I54-J54</f>
        <v>1183.1699999999998</v>
      </c>
      <c r="L54" s="567"/>
      <c r="M54" s="567"/>
      <c r="Q54" s="2"/>
      <c r="W54" s="134"/>
    </row>
    <row r="55" spans="1:23" ht="20.25" thickBot="1" x14ac:dyDescent="0.35">
      <c r="A55" s="567"/>
      <c r="B55" s="566">
        <v>42677</v>
      </c>
      <c r="C55" s="567">
        <v>100</v>
      </c>
      <c r="D55" s="568">
        <v>22.38</v>
      </c>
      <c r="E55" s="568">
        <v>0</v>
      </c>
      <c r="F55" s="568">
        <f t="shared" si="1"/>
        <v>2238</v>
      </c>
      <c r="G55" s="566">
        <v>42711</v>
      </c>
      <c r="H55" s="569">
        <v>200</v>
      </c>
      <c r="I55" s="568">
        <v>29.9</v>
      </c>
      <c r="J55" s="568">
        <v>0.13</v>
      </c>
      <c r="K55" s="568">
        <f>H55*I55-J55</f>
        <v>5979.87</v>
      </c>
      <c r="L55" s="567"/>
      <c r="M55" s="567"/>
      <c r="Q55" s="2"/>
      <c r="T55" s="89" t="s">
        <v>112</v>
      </c>
      <c r="W55" s="134"/>
    </row>
    <row r="56" spans="1:23" ht="15.75" thickTop="1" x14ac:dyDescent="0.25">
      <c r="A56" s="567"/>
      <c r="B56" s="566"/>
      <c r="C56" s="567"/>
      <c r="D56" s="568"/>
      <c r="E56" s="568"/>
      <c r="F56" s="568"/>
      <c r="G56" s="566"/>
      <c r="H56" s="569"/>
      <c r="I56" s="568"/>
      <c r="J56" s="568"/>
      <c r="K56" s="568"/>
      <c r="L56" s="567"/>
      <c r="M56" s="567"/>
      <c r="Q56" s="2"/>
      <c r="T56" s="125" t="s">
        <v>97</v>
      </c>
      <c r="U56" s="126">
        <v>29.23</v>
      </c>
      <c r="W56" s="134"/>
    </row>
    <row r="57" spans="1:23" x14ac:dyDescent="0.25">
      <c r="A57" s="567"/>
      <c r="B57" s="566">
        <v>42716</v>
      </c>
      <c r="C57" s="567">
        <v>100</v>
      </c>
      <c r="D57" s="568">
        <v>29.49</v>
      </c>
      <c r="E57" s="568">
        <v>0</v>
      </c>
      <c r="F57" s="568">
        <f>D57*C57+E57</f>
        <v>2949</v>
      </c>
      <c r="G57" s="566">
        <v>42720</v>
      </c>
      <c r="H57" s="569">
        <v>100</v>
      </c>
      <c r="I57" s="568">
        <v>29.36</v>
      </c>
      <c r="J57" s="568">
        <v>0.06</v>
      </c>
      <c r="K57" s="568">
        <f>I57*H57-J57</f>
        <v>2935.94</v>
      </c>
      <c r="L57" s="570"/>
      <c r="M57" s="568"/>
      <c r="Q57" s="2"/>
      <c r="T57" s="91" t="s">
        <v>98</v>
      </c>
      <c r="U57" s="127">
        <v>29.39</v>
      </c>
      <c r="W57" s="134"/>
    </row>
    <row r="58" spans="1:23" x14ac:dyDescent="0.25">
      <c r="A58" s="567"/>
      <c r="B58" s="566">
        <v>42716</v>
      </c>
      <c r="C58" s="567">
        <v>100</v>
      </c>
      <c r="D58" s="568">
        <v>29.08</v>
      </c>
      <c r="E58" s="568">
        <v>0</v>
      </c>
      <c r="F58" s="568">
        <f>D58*C58+E58</f>
        <v>2908</v>
      </c>
      <c r="G58" s="566">
        <v>42724</v>
      </c>
      <c r="H58" s="569">
        <v>100</v>
      </c>
      <c r="I58" s="568">
        <v>28.98</v>
      </c>
      <c r="J58" s="568">
        <v>0.06</v>
      </c>
      <c r="K58" s="568">
        <f>I58*H58-J58</f>
        <v>2897.94</v>
      </c>
      <c r="L58" s="570"/>
      <c r="M58" s="568"/>
      <c r="Q58" s="2"/>
      <c r="T58" s="91" t="s">
        <v>99</v>
      </c>
      <c r="U58" s="127" t="s">
        <v>128</v>
      </c>
      <c r="W58" s="134"/>
    </row>
    <row r="59" spans="1:23" x14ac:dyDescent="0.25">
      <c r="A59" s="567"/>
      <c r="B59" s="566">
        <v>42723</v>
      </c>
      <c r="C59" s="567">
        <v>100</v>
      </c>
      <c r="D59" s="568">
        <v>28.28</v>
      </c>
      <c r="E59" s="568">
        <v>0</v>
      </c>
      <c r="F59" s="568">
        <f>D59*C59+E59</f>
        <v>2828</v>
      </c>
      <c r="G59" s="566">
        <v>42755</v>
      </c>
      <c r="H59" s="569">
        <v>100</v>
      </c>
      <c r="I59" s="568">
        <v>34.28</v>
      </c>
      <c r="J59" s="568">
        <v>7.0000000000000007E-2</v>
      </c>
      <c r="K59" s="568">
        <f>I59*H59-J59</f>
        <v>3427.93</v>
      </c>
      <c r="L59" s="567"/>
      <c r="M59" s="567"/>
      <c r="Q59" s="2"/>
      <c r="T59" s="91" t="s">
        <v>100</v>
      </c>
      <c r="U59" s="127" t="s">
        <v>128</v>
      </c>
      <c r="W59" s="134"/>
    </row>
    <row r="60" spans="1:23" x14ac:dyDescent="0.25">
      <c r="A60" s="567"/>
      <c r="B60" s="566"/>
      <c r="C60" s="567"/>
      <c r="D60" s="568"/>
      <c r="E60" s="568"/>
      <c r="F60" s="568"/>
      <c r="G60" s="566"/>
      <c r="H60" s="569"/>
      <c r="I60" s="568"/>
      <c r="J60" s="568"/>
      <c r="K60" s="568"/>
      <c r="L60" s="567"/>
      <c r="M60" s="567"/>
      <c r="Q60" s="2"/>
      <c r="T60" s="91" t="s">
        <v>101</v>
      </c>
      <c r="U60" s="127">
        <v>33.35</v>
      </c>
      <c r="W60" s="134"/>
    </row>
    <row r="61" spans="1:23" x14ac:dyDescent="0.25">
      <c r="A61" s="567"/>
      <c r="B61" s="566"/>
      <c r="C61" s="567"/>
      <c r="D61" s="568"/>
      <c r="E61" s="568"/>
      <c r="F61" s="568"/>
      <c r="G61" s="566"/>
      <c r="H61" s="569"/>
      <c r="I61" s="568"/>
      <c r="J61" s="568"/>
      <c r="K61" s="568"/>
      <c r="L61" s="567"/>
      <c r="M61" s="567"/>
      <c r="Q61" s="2"/>
      <c r="T61" s="91" t="s">
        <v>102</v>
      </c>
      <c r="U61" s="127">
        <v>0.84249399999999997</v>
      </c>
      <c r="W61" s="134"/>
    </row>
    <row r="62" spans="1:23" x14ac:dyDescent="0.25">
      <c r="A62" s="567"/>
      <c r="B62" s="566">
        <v>42755</v>
      </c>
      <c r="C62" s="567">
        <v>100</v>
      </c>
      <c r="D62" s="568">
        <v>33.58</v>
      </c>
      <c r="E62" s="568">
        <v>0</v>
      </c>
      <c r="F62" s="568">
        <f t="shared" ref="F62:F72" si="3">D62*C62+E62</f>
        <v>3358</v>
      </c>
      <c r="G62" s="566">
        <v>42811</v>
      </c>
      <c r="H62" s="569">
        <v>100</v>
      </c>
      <c r="I62" s="568">
        <v>29.38</v>
      </c>
      <c r="J62" s="568">
        <v>0.06</v>
      </c>
      <c r="K62" s="568">
        <f t="shared" ref="K62:K72" si="4">H62*I62-J62</f>
        <v>2937.94</v>
      </c>
      <c r="L62" s="570">
        <v>42794</v>
      </c>
      <c r="M62" s="568">
        <v>30</v>
      </c>
      <c r="Q62" s="2"/>
      <c r="T62" s="91" t="s">
        <v>121</v>
      </c>
      <c r="U62" s="127" t="s">
        <v>427</v>
      </c>
      <c r="W62" s="134"/>
    </row>
    <row r="63" spans="1:23" x14ac:dyDescent="0.25">
      <c r="A63" s="567"/>
      <c r="B63" s="566">
        <v>42781</v>
      </c>
      <c r="C63" s="567">
        <v>50</v>
      </c>
      <c r="D63" s="568">
        <v>34.65</v>
      </c>
      <c r="E63" s="568">
        <v>0</v>
      </c>
      <c r="F63" s="568">
        <f t="shared" si="3"/>
        <v>1732.5</v>
      </c>
      <c r="G63" s="566">
        <v>42829</v>
      </c>
      <c r="H63" s="569">
        <v>100</v>
      </c>
      <c r="I63" s="568">
        <v>29.02</v>
      </c>
      <c r="J63" s="568">
        <v>0.06</v>
      </c>
      <c r="K63" s="568">
        <f t="shared" si="4"/>
        <v>2901.94</v>
      </c>
      <c r="L63" s="570">
        <v>42887</v>
      </c>
      <c r="M63" s="568">
        <v>75</v>
      </c>
      <c r="Q63" s="2"/>
      <c r="T63" s="91"/>
      <c r="U63" s="127"/>
      <c r="W63" s="134"/>
    </row>
    <row r="64" spans="1:23" x14ac:dyDescent="0.25">
      <c r="A64" s="567"/>
      <c r="B64" s="566">
        <v>42788</v>
      </c>
      <c r="C64" s="567">
        <v>50</v>
      </c>
      <c r="D64" s="568">
        <v>33.24</v>
      </c>
      <c r="E64" s="568">
        <v>0</v>
      </c>
      <c r="F64" s="568">
        <f t="shared" si="3"/>
        <v>1662</v>
      </c>
      <c r="G64" s="566">
        <v>42851</v>
      </c>
      <c r="H64" s="569">
        <v>100</v>
      </c>
      <c r="I64" s="568">
        <v>27.4</v>
      </c>
      <c r="J64" s="568">
        <v>0.06</v>
      </c>
      <c r="K64" s="568">
        <f t="shared" si="4"/>
        <v>2739.94</v>
      </c>
      <c r="L64" s="570">
        <v>42979</v>
      </c>
      <c r="M64" s="568">
        <v>75</v>
      </c>
      <c r="Q64" s="2"/>
      <c r="T64" s="91" t="s">
        <v>104</v>
      </c>
      <c r="U64" s="127" t="s">
        <v>636</v>
      </c>
      <c r="W64" s="134"/>
    </row>
    <row r="65" spans="1:23" x14ac:dyDescent="0.25">
      <c r="A65" s="567"/>
      <c r="B65" s="566">
        <v>42789</v>
      </c>
      <c r="C65" s="567">
        <v>50</v>
      </c>
      <c r="D65" s="568">
        <v>31.68</v>
      </c>
      <c r="E65" s="568">
        <v>0</v>
      </c>
      <c r="F65" s="568">
        <f t="shared" si="3"/>
        <v>1584</v>
      </c>
      <c r="G65" s="566">
        <v>42860</v>
      </c>
      <c r="H65" s="569">
        <v>100</v>
      </c>
      <c r="I65" s="568">
        <v>27.58</v>
      </c>
      <c r="J65" s="568">
        <v>0.06</v>
      </c>
      <c r="K65" s="568">
        <f t="shared" si="4"/>
        <v>2757.94</v>
      </c>
      <c r="L65" s="567"/>
      <c r="M65" s="567"/>
      <c r="Q65" s="2"/>
      <c r="T65" s="91" t="s">
        <v>105</v>
      </c>
      <c r="U65" s="127" t="s">
        <v>478</v>
      </c>
      <c r="W65" s="134"/>
    </row>
    <row r="66" spans="1:23" x14ac:dyDescent="0.25">
      <c r="A66" s="567"/>
      <c r="B66" s="566">
        <v>42810</v>
      </c>
      <c r="C66" s="567">
        <v>100</v>
      </c>
      <c r="D66" s="568">
        <v>28.38</v>
      </c>
      <c r="E66" s="568">
        <v>0</v>
      </c>
      <c r="F66" s="568">
        <f t="shared" si="3"/>
        <v>2838</v>
      </c>
      <c r="G66" s="566">
        <v>42898</v>
      </c>
      <c r="H66" s="569">
        <v>100</v>
      </c>
      <c r="I66" s="568">
        <v>27.68</v>
      </c>
      <c r="J66" s="568">
        <v>0.06</v>
      </c>
      <c r="K66" s="568">
        <f t="shared" si="4"/>
        <v>2767.94</v>
      </c>
      <c r="L66" s="567"/>
      <c r="M66" s="567"/>
      <c r="Q66" s="2"/>
      <c r="T66" s="91" t="s">
        <v>106</v>
      </c>
      <c r="U66" s="128">
        <v>3892969</v>
      </c>
      <c r="W66" s="134"/>
    </row>
    <row r="67" spans="1:23" x14ac:dyDescent="0.25">
      <c r="A67" s="567"/>
      <c r="B67" s="566">
        <v>42828</v>
      </c>
      <c r="C67" s="567">
        <v>100</v>
      </c>
      <c r="D67" s="568">
        <v>28.36</v>
      </c>
      <c r="E67" s="568">
        <v>0</v>
      </c>
      <c r="F67" s="568">
        <f t="shared" si="3"/>
        <v>2836</v>
      </c>
      <c r="G67" s="566">
        <v>42936</v>
      </c>
      <c r="H67" s="569">
        <v>100</v>
      </c>
      <c r="I67" s="568">
        <v>31.14</v>
      </c>
      <c r="J67" s="568">
        <v>0.56999999999999995</v>
      </c>
      <c r="K67" s="568">
        <f t="shared" si="4"/>
        <v>3113.43</v>
      </c>
      <c r="L67" s="567"/>
      <c r="M67" s="567"/>
      <c r="T67" s="91" t="s">
        <v>109</v>
      </c>
      <c r="U67" s="128">
        <v>5373180</v>
      </c>
      <c r="W67" s="134"/>
    </row>
    <row r="68" spans="1:23" x14ac:dyDescent="0.25">
      <c r="A68" s="567"/>
      <c r="B68" s="566">
        <v>42846</v>
      </c>
      <c r="C68" s="567">
        <v>100</v>
      </c>
      <c r="D68" s="568">
        <v>26</v>
      </c>
      <c r="E68" s="568">
        <v>0</v>
      </c>
      <c r="F68" s="568">
        <f t="shared" si="3"/>
        <v>2600</v>
      </c>
      <c r="G68" s="566">
        <v>42950</v>
      </c>
      <c r="H68" s="569">
        <v>50</v>
      </c>
      <c r="I68" s="568">
        <v>30.38</v>
      </c>
      <c r="J68" s="568">
        <v>0.04</v>
      </c>
      <c r="K68" s="568">
        <f t="shared" si="4"/>
        <v>1518.96</v>
      </c>
      <c r="L68" s="567"/>
      <c r="M68" s="567"/>
      <c r="T68" s="91" t="s">
        <v>107</v>
      </c>
      <c r="U68" s="127" t="s">
        <v>637</v>
      </c>
      <c r="W68" s="134"/>
    </row>
    <row r="69" spans="1:23" x14ac:dyDescent="0.25">
      <c r="A69" s="567"/>
      <c r="B69" s="566">
        <v>42853</v>
      </c>
      <c r="C69" s="567">
        <v>100</v>
      </c>
      <c r="D69" s="568">
        <v>26.75</v>
      </c>
      <c r="E69" s="568">
        <v>-0.21</v>
      </c>
      <c r="F69" s="568">
        <f t="shared" si="3"/>
        <v>2674.79</v>
      </c>
      <c r="G69" s="566">
        <v>42951</v>
      </c>
      <c r="H69" s="569">
        <v>50</v>
      </c>
      <c r="I69" s="568">
        <v>31.38</v>
      </c>
      <c r="J69" s="568">
        <v>0.04</v>
      </c>
      <c r="K69" s="568">
        <f t="shared" si="4"/>
        <v>1568.96</v>
      </c>
      <c r="L69" s="567"/>
      <c r="M69" s="567"/>
      <c r="T69" s="91" t="s">
        <v>110</v>
      </c>
      <c r="U69" s="127" t="s">
        <v>128</v>
      </c>
      <c r="W69" s="134"/>
    </row>
    <row r="70" spans="1:23" x14ac:dyDescent="0.25">
      <c r="A70" s="567"/>
      <c r="B70" s="566">
        <v>42888</v>
      </c>
      <c r="C70" s="567">
        <v>100</v>
      </c>
      <c r="D70" s="568">
        <v>26.2</v>
      </c>
      <c r="E70" s="568">
        <v>0</v>
      </c>
      <c r="F70" s="568">
        <f t="shared" si="3"/>
        <v>2620</v>
      </c>
      <c r="G70" s="566">
        <v>42984</v>
      </c>
      <c r="H70" s="569">
        <v>100</v>
      </c>
      <c r="I70" s="568">
        <v>29.98</v>
      </c>
      <c r="J70" s="568">
        <v>7.0000000000000007E-2</v>
      </c>
      <c r="K70" s="568">
        <f t="shared" si="4"/>
        <v>2997.93</v>
      </c>
      <c r="L70" s="566"/>
      <c r="M70" s="567"/>
      <c r="T70" s="91" t="s">
        <v>111</v>
      </c>
      <c r="U70" s="127">
        <v>-1.19</v>
      </c>
    </row>
    <row r="71" spans="1:23" x14ac:dyDescent="0.25">
      <c r="A71" s="567"/>
      <c r="B71" s="566">
        <v>42940</v>
      </c>
      <c r="C71" s="567">
        <v>100</v>
      </c>
      <c r="D71" s="568">
        <v>30.29</v>
      </c>
      <c r="E71" s="568">
        <v>0</v>
      </c>
      <c r="F71" s="568">
        <f t="shared" si="3"/>
        <v>3029</v>
      </c>
      <c r="G71" s="566">
        <v>42984</v>
      </c>
      <c r="H71" s="569">
        <v>50</v>
      </c>
      <c r="I71" s="568">
        <v>30.78</v>
      </c>
      <c r="J71" s="568">
        <v>0.04</v>
      </c>
      <c r="K71" s="568">
        <f t="shared" si="4"/>
        <v>1538.96</v>
      </c>
      <c r="L71" s="567"/>
      <c r="M71" s="567"/>
      <c r="T71" s="91" t="s">
        <v>108</v>
      </c>
      <c r="U71" s="127" t="s">
        <v>553</v>
      </c>
    </row>
    <row r="72" spans="1:23" x14ac:dyDescent="0.25">
      <c r="A72" s="567"/>
      <c r="B72" s="566">
        <v>42942</v>
      </c>
      <c r="C72" s="567">
        <v>50</v>
      </c>
      <c r="D72" s="568">
        <v>28.79</v>
      </c>
      <c r="E72" s="568">
        <v>0</v>
      </c>
      <c r="F72" s="568">
        <f t="shared" si="3"/>
        <v>1439.5</v>
      </c>
      <c r="G72" s="566">
        <v>42984</v>
      </c>
      <c r="H72" s="569">
        <v>50</v>
      </c>
      <c r="I72" s="568">
        <v>31.28</v>
      </c>
      <c r="J72" s="568">
        <v>0.04</v>
      </c>
      <c r="K72" s="568">
        <f t="shared" si="4"/>
        <v>1563.96</v>
      </c>
      <c r="L72" s="567"/>
      <c r="M72" s="567"/>
    </row>
    <row r="73" spans="1:23" x14ac:dyDescent="0.25">
      <c r="A73" s="567"/>
      <c r="B73" s="566"/>
      <c r="C73" s="567"/>
      <c r="D73" s="568"/>
      <c r="E73" s="568"/>
      <c r="F73" s="568"/>
      <c r="G73" s="567"/>
      <c r="H73" s="567"/>
      <c r="I73" s="568"/>
      <c r="J73" s="568"/>
      <c r="K73" s="568"/>
      <c r="L73" s="567"/>
      <c r="M73" s="567"/>
    </row>
    <row r="74" spans="1:23" x14ac:dyDescent="0.25">
      <c r="A74" s="567"/>
      <c r="B74" s="47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7"/>
      <c r="M74" s="567"/>
    </row>
    <row r="75" spans="1:23" x14ac:dyDescent="0.25">
      <c r="A75" s="567"/>
      <c r="B75" s="48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7"/>
      <c r="M75" s="567"/>
    </row>
    <row r="76" spans="1:23" x14ac:dyDescent="0.25">
      <c r="A76" s="567"/>
      <c r="B76" s="566"/>
      <c r="C76" s="567"/>
      <c r="D76" s="568"/>
      <c r="E76" s="568"/>
      <c r="F76" s="568"/>
      <c r="G76" s="566"/>
      <c r="H76" s="569"/>
      <c r="I76" s="568"/>
      <c r="J76" s="568"/>
      <c r="K76" s="568"/>
      <c r="L76" s="567"/>
      <c r="M76" s="567"/>
    </row>
    <row r="77" spans="1:23" x14ac:dyDescent="0.25">
      <c r="A77" s="567"/>
      <c r="B77" s="566"/>
      <c r="C77" s="567"/>
      <c r="D77" s="568"/>
      <c r="E77" s="568"/>
      <c r="F77" s="568"/>
      <c r="G77" s="566"/>
      <c r="H77" s="569"/>
      <c r="I77" s="568"/>
      <c r="J77" s="568"/>
      <c r="K77" s="568"/>
      <c r="L77" s="567"/>
      <c r="M77" s="567"/>
      <c r="S77" t="s">
        <v>227</v>
      </c>
    </row>
    <row r="78" spans="1:23" x14ac:dyDescent="0.25">
      <c r="A78" s="567"/>
      <c r="B78" s="566"/>
      <c r="C78" s="567"/>
      <c r="D78" s="568"/>
      <c r="E78" s="568"/>
      <c r="F78" s="568"/>
      <c r="G78" s="566"/>
      <c r="H78" s="569"/>
      <c r="I78" s="568"/>
      <c r="J78" s="568"/>
      <c r="K78" s="568"/>
      <c r="L78" s="567"/>
      <c r="M78" s="567"/>
    </row>
    <row r="79" spans="1:23" x14ac:dyDescent="0.25">
      <c r="A79" s="567"/>
      <c r="B79" s="566"/>
      <c r="C79" s="567"/>
      <c r="D79" s="568"/>
      <c r="E79" s="568"/>
      <c r="F79" s="568"/>
      <c r="G79" s="566"/>
      <c r="H79" s="567"/>
      <c r="I79" s="568"/>
      <c r="J79" s="568"/>
      <c r="K79" s="568"/>
      <c r="L79" s="567"/>
      <c r="M79" s="567"/>
    </row>
    <row r="80" spans="1:23" x14ac:dyDescent="0.25">
      <c r="A80" s="694" t="s">
        <v>81</v>
      </c>
      <c r="B80" s="710"/>
      <c r="C80" s="695">
        <f>SUM(C44:C79)</f>
        <v>2220</v>
      </c>
      <c r="D80" s="696"/>
      <c r="E80" s="696"/>
      <c r="F80" s="696">
        <f>SUM(F44:F79)</f>
        <v>59686.19</v>
      </c>
      <c r="G80" s="695"/>
      <c r="H80" s="697">
        <f>SUM(H44:H79)</f>
        <v>2220</v>
      </c>
      <c r="I80" s="696"/>
      <c r="J80" s="696"/>
      <c r="K80" s="696">
        <f>SUM(K44:K79)</f>
        <v>63691.15</v>
      </c>
      <c r="L80" s="695"/>
      <c r="M80" s="696">
        <f>SUM(M44:M79)</f>
        <v>372</v>
      </c>
    </row>
    <row r="81" spans="1:13" ht="15.75" thickBot="1" x14ac:dyDescent="0.3">
      <c r="A81" s="698" t="s">
        <v>194</v>
      </c>
      <c r="B81" s="711"/>
      <c r="C81" s="699">
        <f>SumByColor($A$19,C44:C79)</f>
        <v>50</v>
      </c>
      <c r="D81" s="699"/>
      <c r="E81" s="699"/>
      <c r="F81" s="700">
        <f>SumByColor($A$19,F44:F79)</f>
        <v>1535</v>
      </c>
      <c r="G81" s="699"/>
      <c r="H81" s="699">
        <f>SumByColor($A$19,H44:H79)</f>
        <v>50</v>
      </c>
      <c r="I81" s="699"/>
      <c r="J81" s="699"/>
      <c r="K81" s="700">
        <f>SumByColor($A$19,K44:K79)</f>
        <v>1634</v>
      </c>
      <c r="L81" s="699"/>
      <c r="M81" s="700">
        <f>SumByColor($A$19,M44:M79)</f>
        <v>0</v>
      </c>
    </row>
    <row r="88" spans="1:13" x14ac:dyDescent="0.25">
      <c r="B88" s="483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510</v>
      </c>
    </row>
    <row r="89" spans="1:13" x14ac:dyDescent="0.25">
      <c r="B89" s="624"/>
      <c r="C89" s="365"/>
      <c r="D89" s="366"/>
      <c r="E89" s="366"/>
      <c r="F89" s="366"/>
      <c r="G89" s="365"/>
      <c r="H89" s="365"/>
      <c r="I89" s="366"/>
      <c r="J89" s="366"/>
    </row>
    <row r="90" spans="1:13" x14ac:dyDescent="0.25">
      <c r="B90" s="624">
        <v>42545</v>
      </c>
      <c r="C90" s="365">
        <v>100</v>
      </c>
      <c r="D90" s="366">
        <v>25.25</v>
      </c>
      <c r="E90" s="366">
        <v>25.43</v>
      </c>
      <c r="F90" s="366">
        <f t="shared" ref="F90:F151" si="5">C90*(E90-D90)</f>
        <v>17.999999999999972</v>
      </c>
      <c r="G90" s="366">
        <f t="shared" ref="G90:G151" si="6">D90*C90</f>
        <v>2525</v>
      </c>
      <c r="H90" s="367">
        <f t="shared" ref="H90:H151" si="7">(E90-D90)/D90</f>
        <v>7.1287128712871177E-3</v>
      </c>
      <c r="I90" s="366"/>
      <c r="J90" s="366"/>
    </row>
    <row r="91" spans="1:13" x14ac:dyDescent="0.25">
      <c r="B91" s="624">
        <v>42548</v>
      </c>
      <c r="C91" s="365">
        <v>100</v>
      </c>
      <c r="D91" s="366">
        <v>25.25</v>
      </c>
      <c r="E91" s="366">
        <v>23.48</v>
      </c>
      <c r="F91" s="366">
        <f t="shared" si="5"/>
        <v>-176.99999999999994</v>
      </c>
      <c r="G91" s="366">
        <f t="shared" si="6"/>
        <v>2525</v>
      </c>
      <c r="H91" s="367">
        <f t="shared" si="7"/>
        <v>-7.0099009900990078E-2</v>
      </c>
      <c r="I91" s="366"/>
      <c r="J91" s="366"/>
    </row>
    <row r="92" spans="1:13" x14ac:dyDescent="0.25">
      <c r="B92" s="624">
        <v>42549</v>
      </c>
      <c r="C92" s="365">
        <v>100</v>
      </c>
      <c r="D92" s="366">
        <v>25.25</v>
      </c>
      <c r="E92" s="366">
        <v>24.06</v>
      </c>
      <c r="F92" s="366">
        <f t="shared" si="5"/>
        <v>-119.00000000000013</v>
      </c>
      <c r="G92" s="366">
        <f t="shared" si="6"/>
        <v>2525</v>
      </c>
      <c r="H92" s="367">
        <f t="shared" si="7"/>
        <v>-4.7128712871287178E-2</v>
      </c>
      <c r="I92" s="366"/>
      <c r="J92" s="366"/>
    </row>
    <row r="93" spans="1:13" x14ac:dyDescent="0.25">
      <c r="B93" s="624">
        <v>42556</v>
      </c>
      <c r="C93" s="365">
        <v>100</v>
      </c>
      <c r="D93" s="366">
        <v>25.25</v>
      </c>
      <c r="E93" s="366">
        <v>23.54</v>
      </c>
      <c r="F93" s="366">
        <f t="shared" si="5"/>
        <v>-171.00000000000009</v>
      </c>
      <c r="G93" s="366">
        <f t="shared" si="6"/>
        <v>2525</v>
      </c>
      <c r="H93" s="367">
        <f t="shared" si="7"/>
        <v>-6.7722772277227755E-2</v>
      </c>
      <c r="I93" s="366"/>
      <c r="J93" s="366"/>
    </row>
    <row r="94" spans="1:13" x14ac:dyDescent="0.25">
      <c r="B94" s="624">
        <v>42557</v>
      </c>
      <c r="C94" s="365">
        <v>100</v>
      </c>
      <c r="D94" s="366">
        <v>25.25</v>
      </c>
      <c r="E94" s="366">
        <v>23.75</v>
      </c>
      <c r="F94" s="366">
        <f t="shared" si="5"/>
        <v>-150</v>
      </c>
      <c r="G94" s="366">
        <f t="shared" si="6"/>
        <v>2525</v>
      </c>
      <c r="H94" s="367">
        <f t="shared" si="7"/>
        <v>-5.9405940594059403E-2</v>
      </c>
      <c r="I94" s="366"/>
      <c r="J94" s="366"/>
    </row>
    <row r="95" spans="1:13" x14ac:dyDescent="0.25">
      <c r="B95" s="624">
        <v>42559</v>
      </c>
      <c r="C95" s="365">
        <v>100</v>
      </c>
      <c r="D95" s="366">
        <v>25.25</v>
      </c>
      <c r="E95" s="366">
        <v>24.86</v>
      </c>
      <c r="F95" s="366">
        <f t="shared" si="5"/>
        <v>-39.000000000000057</v>
      </c>
      <c r="G95" s="366">
        <f t="shared" si="6"/>
        <v>2525</v>
      </c>
      <c r="H95" s="367">
        <f t="shared" si="7"/>
        <v>-1.5445544554455468E-2</v>
      </c>
      <c r="I95" s="366"/>
      <c r="J95" s="366"/>
    </row>
    <row r="96" spans="1:13" x14ac:dyDescent="0.25">
      <c r="B96" s="624">
        <v>42562</v>
      </c>
      <c r="C96" s="365">
        <v>100</v>
      </c>
      <c r="D96" s="366">
        <v>25.25</v>
      </c>
      <c r="E96" s="366">
        <v>24.67</v>
      </c>
      <c r="F96" s="366">
        <f t="shared" si="5"/>
        <v>-57.999999999999829</v>
      </c>
      <c r="G96" s="366">
        <f t="shared" si="6"/>
        <v>2525</v>
      </c>
      <c r="H96" s="367">
        <f t="shared" si="7"/>
        <v>-2.2970297029702904E-2</v>
      </c>
      <c r="I96" s="366"/>
      <c r="J96" s="366"/>
    </row>
    <row r="97" spans="2:10" x14ac:dyDescent="0.25">
      <c r="B97" s="624">
        <v>42563</v>
      </c>
      <c r="C97" s="365">
        <v>100</v>
      </c>
      <c r="D97" s="366">
        <v>25.25</v>
      </c>
      <c r="E97" s="366">
        <v>26.03</v>
      </c>
      <c r="F97" s="366">
        <f t="shared" si="5"/>
        <v>78.000000000000114</v>
      </c>
      <c r="G97" s="366">
        <f t="shared" si="6"/>
        <v>2525</v>
      </c>
      <c r="H97" s="367">
        <f t="shared" si="7"/>
        <v>3.0891089108910936E-2</v>
      </c>
      <c r="I97" s="366"/>
      <c r="J97" s="366"/>
    </row>
    <row r="98" spans="2:10" x14ac:dyDescent="0.25">
      <c r="B98" s="624">
        <v>42569</v>
      </c>
      <c r="C98" s="365">
        <v>100</v>
      </c>
      <c r="D98" s="366">
        <v>25.25</v>
      </c>
      <c r="E98" s="366">
        <v>27.69</v>
      </c>
      <c r="F98" s="366">
        <f t="shared" si="5"/>
        <v>244.00000000000011</v>
      </c>
      <c r="G98" s="366">
        <f t="shared" si="6"/>
        <v>2525</v>
      </c>
      <c r="H98" s="367">
        <f t="shared" si="7"/>
        <v>9.6633663366336678E-2</v>
      </c>
      <c r="I98" s="446">
        <v>23</v>
      </c>
      <c r="J98" s="366"/>
    </row>
    <row r="99" spans="2:10" x14ac:dyDescent="0.25">
      <c r="B99" s="624">
        <v>42570</v>
      </c>
      <c r="C99" s="365">
        <v>100</v>
      </c>
      <c r="D99" s="366">
        <v>25.25</v>
      </c>
      <c r="E99" s="366">
        <v>26.55</v>
      </c>
      <c r="F99" s="366">
        <f t="shared" si="5"/>
        <v>130.00000000000006</v>
      </c>
      <c r="G99" s="366">
        <f t="shared" si="6"/>
        <v>2525</v>
      </c>
      <c r="H99" s="367">
        <f t="shared" si="7"/>
        <v>5.148514851485151E-2</v>
      </c>
      <c r="I99" s="366"/>
      <c r="J99" s="366"/>
    </row>
    <row r="100" spans="2:10" x14ac:dyDescent="0.25">
      <c r="B100" s="624">
        <v>42571</v>
      </c>
      <c r="C100" s="365">
        <v>100</v>
      </c>
      <c r="D100" s="366">
        <v>25.25</v>
      </c>
      <c r="E100" s="366">
        <v>26.61</v>
      </c>
      <c r="F100" s="366">
        <f t="shared" si="5"/>
        <v>135.99999999999994</v>
      </c>
      <c r="G100" s="366">
        <f t="shared" si="6"/>
        <v>2525</v>
      </c>
      <c r="H100" s="367">
        <f t="shared" si="7"/>
        <v>5.386138613861384E-2</v>
      </c>
      <c r="I100" s="366"/>
      <c r="J100" s="366"/>
    </row>
    <row r="101" spans="2:10" x14ac:dyDescent="0.25">
      <c r="B101" s="624">
        <v>42572</v>
      </c>
      <c r="C101" s="365">
        <v>100</v>
      </c>
      <c r="D101" s="366">
        <v>25.25</v>
      </c>
      <c r="E101" s="366">
        <v>26.29</v>
      </c>
      <c r="F101" s="366">
        <f t="shared" si="5"/>
        <v>103.99999999999991</v>
      </c>
      <c r="G101" s="366">
        <f t="shared" si="6"/>
        <v>2525</v>
      </c>
      <c r="H101" s="367">
        <f t="shared" si="7"/>
        <v>4.1188118811881155E-2</v>
      </c>
      <c r="I101" s="366"/>
      <c r="J101" s="366"/>
    </row>
    <row r="102" spans="2:10" x14ac:dyDescent="0.25">
      <c r="B102" s="624">
        <v>42575</v>
      </c>
      <c r="C102" s="365">
        <v>100</v>
      </c>
      <c r="D102" s="366">
        <v>25.25</v>
      </c>
      <c r="E102" s="366">
        <v>25.18</v>
      </c>
      <c r="F102" s="366">
        <f t="shared" si="5"/>
        <v>-7.0000000000000284</v>
      </c>
      <c r="G102" s="366">
        <f t="shared" si="6"/>
        <v>2525</v>
      </c>
      <c r="H102" s="367">
        <f t="shared" si="7"/>
        <v>-2.7722772277227834E-3</v>
      </c>
      <c r="I102" s="366"/>
      <c r="J102" s="366"/>
    </row>
    <row r="103" spans="2:10" x14ac:dyDescent="0.25">
      <c r="B103" s="624">
        <v>42576</v>
      </c>
      <c r="C103" s="365">
        <v>100</v>
      </c>
      <c r="D103" s="366">
        <v>25.25</v>
      </c>
      <c r="E103" s="366">
        <v>25.33</v>
      </c>
      <c r="F103" s="366">
        <f t="shared" si="5"/>
        <v>7.9999999999998295</v>
      </c>
      <c r="G103" s="366">
        <f t="shared" si="6"/>
        <v>2525</v>
      </c>
      <c r="H103" s="367">
        <f t="shared" si="7"/>
        <v>3.1683168316831009E-3</v>
      </c>
      <c r="I103" s="366"/>
      <c r="J103" s="366"/>
    </row>
    <row r="104" spans="2:10" x14ac:dyDescent="0.25">
      <c r="B104" s="624">
        <v>42577</v>
      </c>
      <c r="C104" s="365">
        <v>70</v>
      </c>
      <c r="D104" s="366">
        <v>25.010300000000001</v>
      </c>
      <c r="E104" s="366">
        <v>25.8</v>
      </c>
      <c r="F104" s="366">
        <f t="shared" si="5"/>
        <v>55.278999999999989</v>
      </c>
      <c r="G104" s="366">
        <f t="shared" si="6"/>
        <v>1750.721</v>
      </c>
      <c r="H104" s="367">
        <f t="shared" si="7"/>
        <v>3.1574991103665281E-2</v>
      </c>
      <c r="I104" s="366"/>
      <c r="J104" s="366"/>
    </row>
    <row r="105" spans="2:10" x14ac:dyDescent="0.25">
      <c r="B105" s="624">
        <v>42580</v>
      </c>
      <c r="C105" s="365">
        <v>100</v>
      </c>
      <c r="D105" s="366">
        <v>24.641200000000001</v>
      </c>
      <c r="E105" s="366">
        <v>24.68</v>
      </c>
      <c r="F105" s="366">
        <f t="shared" si="5"/>
        <v>3.8799999999998391</v>
      </c>
      <c r="G105" s="366">
        <f t="shared" si="6"/>
        <v>2464.1200000000003</v>
      </c>
      <c r="H105" s="367">
        <f t="shared" si="7"/>
        <v>1.5745986396765738E-3</v>
      </c>
      <c r="I105" s="366"/>
      <c r="J105" s="366"/>
    </row>
    <row r="106" spans="2:10" x14ac:dyDescent="0.25">
      <c r="B106" s="624">
        <v>42585</v>
      </c>
      <c r="C106" s="365">
        <v>100</v>
      </c>
      <c r="D106" s="366">
        <v>24.641200000000001</v>
      </c>
      <c r="E106" s="366">
        <v>24.49</v>
      </c>
      <c r="F106" s="366">
        <f t="shared" si="5"/>
        <v>-15.120000000000289</v>
      </c>
      <c r="G106" s="366">
        <f t="shared" si="6"/>
        <v>2464.1200000000003</v>
      </c>
      <c r="H106" s="367">
        <f t="shared" si="7"/>
        <v>-6.1360648020389787E-3</v>
      </c>
      <c r="I106" s="366"/>
      <c r="J106" s="366"/>
    </row>
    <row r="107" spans="2:10" x14ac:dyDescent="0.25">
      <c r="B107" s="624">
        <v>42586</v>
      </c>
      <c r="C107" s="365">
        <v>200</v>
      </c>
      <c r="D107" s="366">
        <v>23.6431</v>
      </c>
      <c r="E107" s="366">
        <v>21.43</v>
      </c>
      <c r="F107" s="366">
        <f t="shared" si="5"/>
        <v>-442.62000000000012</v>
      </c>
      <c r="G107" s="366">
        <f t="shared" si="6"/>
        <v>4728.62</v>
      </c>
      <c r="H107" s="367">
        <f t="shared" si="7"/>
        <v>-9.360447657033133E-2</v>
      </c>
      <c r="I107" s="366"/>
      <c r="J107" s="366"/>
    </row>
    <row r="108" spans="2:10" x14ac:dyDescent="0.25">
      <c r="B108" s="624">
        <v>42586</v>
      </c>
      <c r="C108" s="365">
        <v>300</v>
      </c>
      <c r="D108" s="366">
        <v>22.735399999999998</v>
      </c>
      <c r="E108" s="366">
        <v>21.43</v>
      </c>
      <c r="F108" s="366">
        <f t="shared" si="5"/>
        <v>-391.61999999999966</v>
      </c>
      <c r="G108" s="366">
        <f t="shared" si="6"/>
        <v>6820.62</v>
      </c>
      <c r="H108" s="367">
        <f t="shared" si="7"/>
        <v>-5.7417067656605945E-2</v>
      </c>
      <c r="I108" s="366"/>
      <c r="J108" s="366"/>
    </row>
    <row r="109" spans="2:10" x14ac:dyDescent="0.25">
      <c r="B109" s="624">
        <v>42591</v>
      </c>
      <c r="C109" s="365">
        <v>300</v>
      </c>
      <c r="D109" s="366">
        <v>22.735399999999998</v>
      </c>
      <c r="E109" s="366">
        <v>22.12</v>
      </c>
      <c r="F109" s="366">
        <f t="shared" si="5"/>
        <v>-184.61999999999927</v>
      </c>
      <c r="G109" s="366">
        <f t="shared" si="6"/>
        <v>6820.62</v>
      </c>
      <c r="H109" s="367">
        <f t="shared" si="7"/>
        <v>-2.7067920511624936E-2</v>
      </c>
      <c r="I109" s="366"/>
      <c r="J109" s="366"/>
    </row>
    <row r="110" spans="2:10" x14ac:dyDescent="0.25">
      <c r="B110" s="624">
        <v>42593</v>
      </c>
      <c r="C110" s="365">
        <v>300</v>
      </c>
      <c r="D110" s="366">
        <v>22.735399999999998</v>
      </c>
      <c r="E110" s="366">
        <v>21.57</v>
      </c>
      <c r="F110" s="366">
        <f t="shared" si="5"/>
        <v>-349.61999999999944</v>
      </c>
      <c r="G110" s="366">
        <f t="shared" si="6"/>
        <v>6820.62</v>
      </c>
      <c r="H110" s="367">
        <f t="shared" si="7"/>
        <v>-5.1259269685160515E-2</v>
      </c>
      <c r="I110" s="366"/>
      <c r="J110" s="366"/>
    </row>
    <row r="111" spans="2:10" x14ac:dyDescent="0.25">
      <c r="B111" s="624">
        <v>42597</v>
      </c>
      <c r="C111" s="365">
        <v>230</v>
      </c>
      <c r="D111" s="366">
        <v>22.674800000000001</v>
      </c>
      <c r="E111" s="366">
        <v>23.2</v>
      </c>
      <c r="F111" s="366">
        <f t="shared" si="5"/>
        <v>120.79599999999957</v>
      </c>
      <c r="G111" s="366">
        <f t="shared" si="6"/>
        <v>5215.2040000000006</v>
      </c>
      <c r="H111" s="367">
        <f t="shared" si="7"/>
        <v>2.3162277065288252E-2</v>
      </c>
      <c r="I111" s="366"/>
      <c r="J111" s="366"/>
    </row>
    <row r="112" spans="2:10" x14ac:dyDescent="0.25">
      <c r="B112" s="624">
        <v>42599</v>
      </c>
      <c r="C112" s="365">
        <v>200</v>
      </c>
      <c r="D112" s="366">
        <v>22.554099999999998</v>
      </c>
      <c r="E112" s="366">
        <v>23.31</v>
      </c>
      <c r="F112" s="366">
        <f t="shared" si="5"/>
        <v>151.18000000000009</v>
      </c>
      <c r="G112" s="366">
        <f t="shared" si="6"/>
        <v>4510.82</v>
      </c>
      <c r="H112" s="367">
        <f t="shared" si="7"/>
        <v>3.3514970670521123E-2</v>
      </c>
      <c r="I112" s="366">
        <v>22</v>
      </c>
      <c r="J112" s="366"/>
    </row>
    <row r="113" spans="2:10" x14ac:dyDescent="0.25">
      <c r="B113" s="624">
        <v>42600</v>
      </c>
      <c r="C113" s="365">
        <v>200</v>
      </c>
      <c r="D113" s="366">
        <v>22.554099999999998</v>
      </c>
      <c r="E113" s="366">
        <v>22.74</v>
      </c>
      <c r="F113" s="366">
        <f t="shared" si="5"/>
        <v>37.180000000000035</v>
      </c>
      <c r="G113" s="366">
        <f t="shared" si="6"/>
        <v>4510.82</v>
      </c>
      <c r="H113" s="367">
        <f t="shared" si="7"/>
        <v>8.2424038201480074E-3</v>
      </c>
      <c r="I113" s="366"/>
      <c r="J113" s="366"/>
    </row>
    <row r="114" spans="2:10" x14ac:dyDescent="0.25">
      <c r="B114" s="624">
        <v>42601</v>
      </c>
      <c r="C114" s="365">
        <v>200</v>
      </c>
      <c r="D114" s="366">
        <v>22.554099999999998</v>
      </c>
      <c r="E114" s="366">
        <v>23.02</v>
      </c>
      <c r="F114" s="366">
        <f t="shared" si="5"/>
        <v>93.180000000000263</v>
      </c>
      <c r="G114" s="366">
        <f t="shared" si="6"/>
        <v>4510.82</v>
      </c>
      <c r="H114" s="367">
        <f t="shared" si="7"/>
        <v>2.06569980624366E-2</v>
      </c>
      <c r="I114" s="366"/>
      <c r="J114" s="366"/>
    </row>
    <row r="115" spans="2:10" x14ac:dyDescent="0.25">
      <c r="B115" s="624">
        <v>42604</v>
      </c>
      <c r="C115" s="365">
        <v>200</v>
      </c>
      <c r="D115" s="366">
        <v>22.554099999999998</v>
      </c>
      <c r="E115" s="366">
        <v>23.69</v>
      </c>
      <c r="F115" s="366">
        <f t="shared" si="5"/>
        <v>227.1800000000006</v>
      </c>
      <c r="G115" s="366">
        <f t="shared" si="6"/>
        <v>4510.82</v>
      </c>
      <c r="H115" s="367">
        <f t="shared" si="7"/>
        <v>5.0363348570769975E-2</v>
      </c>
      <c r="I115" s="366"/>
      <c r="J115" s="366"/>
    </row>
    <row r="116" spans="2:10" x14ac:dyDescent="0.25">
      <c r="B116" s="624">
        <v>42605</v>
      </c>
      <c r="C116" s="365">
        <v>200</v>
      </c>
      <c r="D116" s="366">
        <v>22.554099999999998</v>
      </c>
      <c r="E116" s="366">
        <v>24.83</v>
      </c>
      <c r="F116" s="366">
        <f t="shared" si="5"/>
        <v>455.18</v>
      </c>
      <c r="G116" s="366">
        <f t="shared" si="6"/>
        <v>4510.82</v>
      </c>
      <c r="H116" s="367">
        <f t="shared" si="7"/>
        <v>0.10090848227151605</v>
      </c>
      <c r="I116" s="366"/>
      <c r="J116" s="366"/>
    </row>
    <row r="117" spans="2:10" x14ac:dyDescent="0.25">
      <c r="B117" s="624">
        <v>42606</v>
      </c>
      <c r="C117" s="365">
        <v>200</v>
      </c>
      <c r="D117" s="366">
        <v>22.554099999999998</v>
      </c>
      <c r="E117" s="366">
        <v>24.04</v>
      </c>
      <c r="F117" s="366">
        <f t="shared" si="5"/>
        <v>297.18000000000018</v>
      </c>
      <c r="G117" s="366">
        <f t="shared" si="6"/>
        <v>4510.82</v>
      </c>
      <c r="H117" s="367">
        <f t="shared" si="7"/>
        <v>6.588159137363056E-2</v>
      </c>
      <c r="I117" s="366"/>
      <c r="J117" s="366"/>
    </row>
    <row r="118" spans="2:10" x14ac:dyDescent="0.25">
      <c r="B118" s="624">
        <v>42607</v>
      </c>
      <c r="C118" s="365">
        <v>200</v>
      </c>
      <c r="D118" s="366">
        <v>22.554099999999998</v>
      </c>
      <c r="E118" s="366">
        <v>24.23</v>
      </c>
      <c r="F118" s="366">
        <f t="shared" si="5"/>
        <v>335.1800000000004</v>
      </c>
      <c r="G118" s="366">
        <f t="shared" si="6"/>
        <v>4510.82</v>
      </c>
      <c r="H118" s="367">
        <f t="shared" si="7"/>
        <v>7.4305780323754983E-2</v>
      </c>
      <c r="I118" s="366"/>
      <c r="J118" s="366"/>
    </row>
    <row r="119" spans="2:10" x14ac:dyDescent="0.25">
      <c r="B119" s="624">
        <v>42608</v>
      </c>
      <c r="C119" s="365">
        <v>200</v>
      </c>
      <c r="D119" s="366">
        <v>22.554099999999998</v>
      </c>
      <c r="E119" s="366">
        <v>23.98</v>
      </c>
      <c r="F119" s="366">
        <f t="shared" si="5"/>
        <v>285.1800000000004</v>
      </c>
      <c r="G119" s="366">
        <f t="shared" si="6"/>
        <v>4510.82</v>
      </c>
      <c r="H119" s="367">
        <f t="shared" si="7"/>
        <v>6.3221321178854498E-2</v>
      </c>
      <c r="I119" s="366"/>
      <c r="J119" s="366"/>
    </row>
    <row r="120" spans="2:10" x14ac:dyDescent="0.25">
      <c r="B120" s="624">
        <v>42611</v>
      </c>
      <c r="C120" s="365">
        <v>200</v>
      </c>
      <c r="D120" s="366">
        <v>22.554099999999998</v>
      </c>
      <c r="E120" s="366">
        <v>24.98</v>
      </c>
      <c r="F120" s="366">
        <f t="shared" si="5"/>
        <v>485.1800000000004</v>
      </c>
      <c r="G120" s="366">
        <f t="shared" si="6"/>
        <v>4510.82</v>
      </c>
      <c r="H120" s="367">
        <f t="shared" si="7"/>
        <v>0.10755915775845644</v>
      </c>
      <c r="I120" s="366"/>
      <c r="J120" s="366"/>
    </row>
    <row r="121" spans="2:10" x14ac:dyDescent="0.25">
      <c r="B121" s="624">
        <v>42612</v>
      </c>
      <c r="C121" s="365">
        <v>200</v>
      </c>
      <c r="D121" s="366">
        <v>22.554099999999998</v>
      </c>
      <c r="E121" s="366">
        <v>26.17</v>
      </c>
      <c r="F121" s="366">
        <f t="shared" si="5"/>
        <v>723.18000000000075</v>
      </c>
      <c r="G121" s="366">
        <f t="shared" si="6"/>
        <v>4510.82</v>
      </c>
      <c r="H121" s="367">
        <f t="shared" si="7"/>
        <v>0.16032118328818279</v>
      </c>
      <c r="I121" s="366"/>
      <c r="J121" s="366"/>
    </row>
    <row r="122" spans="2:10" x14ac:dyDescent="0.25">
      <c r="B122" s="624">
        <v>42614</v>
      </c>
      <c r="C122" s="365">
        <v>200</v>
      </c>
      <c r="D122" s="366">
        <v>22.104099999999999</v>
      </c>
      <c r="E122" s="366">
        <v>25.6</v>
      </c>
      <c r="F122" s="366">
        <f t="shared" si="5"/>
        <v>699.18000000000052</v>
      </c>
      <c r="G122" s="366">
        <f t="shared" si="6"/>
        <v>4420.82</v>
      </c>
      <c r="H122" s="367">
        <f t="shared" si="7"/>
        <v>0.15815617917038027</v>
      </c>
      <c r="I122" s="366" t="s">
        <v>185</v>
      </c>
      <c r="J122" s="366"/>
    </row>
    <row r="123" spans="2:10" x14ac:dyDescent="0.25">
      <c r="B123" s="624">
        <v>42615</v>
      </c>
      <c r="C123" s="365">
        <v>200</v>
      </c>
      <c r="D123" s="366">
        <v>22.104099999999999</v>
      </c>
      <c r="E123" s="366">
        <v>25.94</v>
      </c>
      <c r="F123" s="366">
        <f t="shared" si="5"/>
        <v>767.18000000000052</v>
      </c>
      <c r="G123" s="366">
        <f t="shared" si="6"/>
        <v>4420.82</v>
      </c>
      <c r="H123" s="367">
        <f t="shared" si="7"/>
        <v>0.17353794092498687</v>
      </c>
      <c r="I123" s="366"/>
      <c r="J123" s="366"/>
    </row>
    <row r="124" spans="2:10" x14ac:dyDescent="0.25">
      <c r="B124" s="624">
        <v>42619</v>
      </c>
      <c r="C124" s="365">
        <v>200</v>
      </c>
      <c r="D124" s="366">
        <v>22.104099999999999</v>
      </c>
      <c r="E124" s="366">
        <v>25.65</v>
      </c>
      <c r="F124" s="366">
        <f t="shared" si="5"/>
        <v>709.18</v>
      </c>
      <c r="G124" s="366">
        <f t="shared" si="6"/>
        <v>4420.82</v>
      </c>
      <c r="H124" s="367">
        <f t="shared" si="7"/>
        <v>0.1604182029578223</v>
      </c>
      <c r="I124" s="366"/>
      <c r="J124" s="366"/>
    </row>
    <row r="125" spans="2:10" x14ac:dyDescent="0.25">
      <c r="B125" s="624">
        <v>42620</v>
      </c>
      <c r="C125" s="365">
        <v>200</v>
      </c>
      <c r="D125" s="366">
        <v>22.1</v>
      </c>
      <c r="E125" s="366">
        <v>25.53</v>
      </c>
      <c r="F125" s="366">
        <f t="shared" si="5"/>
        <v>686</v>
      </c>
      <c r="G125" s="366">
        <f t="shared" si="6"/>
        <v>4420</v>
      </c>
      <c r="H125" s="367">
        <f t="shared" si="7"/>
        <v>0.15520361990950224</v>
      </c>
      <c r="I125" s="366"/>
      <c r="J125" s="366"/>
    </row>
    <row r="126" spans="2:10" x14ac:dyDescent="0.25">
      <c r="B126" s="624">
        <v>42621</v>
      </c>
      <c r="C126" s="365">
        <v>160</v>
      </c>
      <c r="D126" s="366">
        <v>21.060300000000002</v>
      </c>
      <c r="E126" s="366">
        <v>25.96</v>
      </c>
      <c r="F126" s="366">
        <f t="shared" si="5"/>
        <v>783.95199999999988</v>
      </c>
      <c r="G126" s="366">
        <f t="shared" si="6"/>
        <v>3369.6480000000001</v>
      </c>
      <c r="H126" s="367">
        <f t="shared" si="7"/>
        <v>0.23265100687074727</v>
      </c>
      <c r="I126" s="366"/>
      <c r="J126" s="366"/>
    </row>
    <row r="127" spans="2:10" x14ac:dyDescent="0.25">
      <c r="B127" s="624">
        <v>42622</v>
      </c>
      <c r="C127" s="365">
        <v>160</v>
      </c>
      <c r="D127" s="366">
        <v>21.060300000000002</v>
      </c>
      <c r="E127" s="366">
        <v>25</v>
      </c>
      <c r="F127" s="366">
        <f t="shared" si="5"/>
        <v>630.35199999999975</v>
      </c>
      <c r="G127" s="366">
        <f t="shared" si="6"/>
        <v>3369.6480000000001</v>
      </c>
      <c r="H127" s="367">
        <f t="shared" si="7"/>
        <v>0.18706761062283053</v>
      </c>
      <c r="I127" s="366"/>
      <c r="J127" s="366"/>
    </row>
    <row r="128" spans="2:10" x14ac:dyDescent="0.25">
      <c r="B128" s="624">
        <v>42625</v>
      </c>
      <c r="C128" s="365">
        <v>160</v>
      </c>
      <c r="D128" s="366">
        <v>21.060300000000002</v>
      </c>
      <c r="E128" s="366">
        <v>25.51</v>
      </c>
      <c r="F128" s="366">
        <f t="shared" si="5"/>
        <v>711.952</v>
      </c>
      <c r="G128" s="366">
        <f t="shared" si="6"/>
        <v>3369.6480000000001</v>
      </c>
      <c r="H128" s="367">
        <f t="shared" si="7"/>
        <v>0.21128378987953636</v>
      </c>
      <c r="I128" s="366"/>
      <c r="J128" s="366"/>
    </row>
    <row r="129" spans="2:10" x14ac:dyDescent="0.25">
      <c r="B129" s="624">
        <v>42626</v>
      </c>
      <c r="C129" s="365">
        <v>200</v>
      </c>
      <c r="D129" s="366">
        <v>21.764199999999999</v>
      </c>
      <c r="E129" s="366">
        <v>24.01</v>
      </c>
      <c r="F129" s="366">
        <f t="shared" si="5"/>
        <v>449.16000000000054</v>
      </c>
      <c r="G129" s="366">
        <f t="shared" si="6"/>
        <v>4352.84</v>
      </c>
      <c r="H129" s="367">
        <f t="shared" si="7"/>
        <v>0.10318780382462957</v>
      </c>
      <c r="I129" s="366" t="s">
        <v>284</v>
      </c>
      <c r="J129" s="366"/>
    </row>
    <row r="130" spans="2:10" x14ac:dyDescent="0.25">
      <c r="B130" s="624">
        <v>42632</v>
      </c>
      <c r="C130" s="365">
        <v>200</v>
      </c>
      <c r="D130" s="366">
        <v>21.764199999999999</v>
      </c>
      <c r="E130" s="366">
        <v>23.68</v>
      </c>
      <c r="F130" s="366">
        <f t="shared" si="5"/>
        <v>383.1600000000002</v>
      </c>
      <c r="G130" s="366">
        <f t="shared" si="6"/>
        <v>4352.84</v>
      </c>
      <c r="H130" s="367">
        <f t="shared" si="7"/>
        <v>8.8025289236452572E-2</v>
      </c>
      <c r="I130" s="366"/>
      <c r="J130" s="366"/>
    </row>
    <row r="131" spans="2:10" x14ac:dyDescent="0.25">
      <c r="B131" s="624">
        <v>42633</v>
      </c>
      <c r="C131" s="365">
        <v>200</v>
      </c>
      <c r="D131" s="366">
        <v>21.764199999999999</v>
      </c>
      <c r="E131" s="366">
        <v>23.3</v>
      </c>
      <c r="F131" s="366">
        <f t="shared" si="5"/>
        <v>307.16000000000037</v>
      </c>
      <c r="G131" s="366">
        <f t="shared" si="6"/>
        <v>4352.84</v>
      </c>
      <c r="H131" s="367">
        <f t="shared" si="7"/>
        <v>7.0565423953097381E-2</v>
      </c>
      <c r="I131" s="366"/>
      <c r="J131" s="366"/>
    </row>
    <row r="132" spans="2:10" x14ac:dyDescent="0.25">
      <c r="B132" s="624">
        <v>42634</v>
      </c>
      <c r="C132" s="365">
        <v>200</v>
      </c>
      <c r="D132" s="366">
        <v>21.764199999999999</v>
      </c>
      <c r="E132" s="366">
        <v>23.03</v>
      </c>
      <c r="F132" s="366">
        <f t="shared" si="5"/>
        <v>253.16000000000045</v>
      </c>
      <c r="G132" s="366">
        <f t="shared" si="6"/>
        <v>4352.84</v>
      </c>
      <c r="H132" s="367">
        <f t="shared" si="7"/>
        <v>5.8159730199134466E-2</v>
      </c>
      <c r="I132" s="366"/>
      <c r="J132" s="366"/>
    </row>
    <row r="133" spans="2:10" x14ac:dyDescent="0.25">
      <c r="B133" s="624">
        <v>42636</v>
      </c>
      <c r="C133" s="365">
        <v>200</v>
      </c>
      <c r="D133" s="366">
        <v>21.764199999999999</v>
      </c>
      <c r="E133" s="366">
        <v>22.63</v>
      </c>
      <c r="F133" s="366">
        <f t="shared" si="5"/>
        <v>173.16000000000003</v>
      </c>
      <c r="G133" s="366">
        <f t="shared" si="6"/>
        <v>4352.84</v>
      </c>
      <c r="H133" s="367">
        <f t="shared" si="7"/>
        <v>3.9780924637707805E-2</v>
      </c>
      <c r="I133" s="366"/>
      <c r="J133" s="366"/>
    </row>
    <row r="134" spans="2:10" x14ac:dyDescent="0.25">
      <c r="B134" s="624">
        <v>42639</v>
      </c>
      <c r="C134" s="365">
        <v>300</v>
      </c>
      <c r="D134" s="366">
        <v>21.936299999999999</v>
      </c>
      <c r="E134" s="366">
        <v>22.64</v>
      </c>
      <c r="F134" s="366">
        <f t="shared" si="5"/>
        <v>211.11000000000041</v>
      </c>
      <c r="G134" s="366">
        <f t="shared" si="6"/>
        <v>6580.8899999999994</v>
      </c>
      <c r="H134" s="367">
        <f t="shared" si="7"/>
        <v>3.2079247639756996E-2</v>
      </c>
      <c r="I134" s="366"/>
      <c r="J134" s="366"/>
    </row>
    <row r="135" spans="2:10" x14ac:dyDescent="0.25">
      <c r="B135" s="624">
        <v>42639</v>
      </c>
      <c r="C135" s="365">
        <v>200</v>
      </c>
      <c r="D135" s="366">
        <v>21.494499999999999</v>
      </c>
      <c r="E135" s="366">
        <v>22.64</v>
      </c>
      <c r="F135" s="366">
        <f t="shared" si="5"/>
        <v>229.10000000000039</v>
      </c>
      <c r="G135" s="366">
        <f t="shared" si="6"/>
        <v>4298.8999999999996</v>
      </c>
      <c r="H135" s="367">
        <f t="shared" si="7"/>
        <v>5.3292702784433321E-2</v>
      </c>
      <c r="I135" s="366" t="s">
        <v>285</v>
      </c>
      <c r="J135" s="366"/>
    </row>
    <row r="136" spans="2:10" x14ac:dyDescent="0.25">
      <c r="B136" s="624">
        <v>42640</v>
      </c>
      <c r="C136" s="365">
        <v>200</v>
      </c>
      <c r="D136" s="366">
        <v>21.494499999999999</v>
      </c>
      <c r="E136" s="366">
        <v>23.95</v>
      </c>
      <c r="F136" s="366">
        <f t="shared" si="5"/>
        <v>491.10000000000014</v>
      </c>
      <c r="G136" s="366">
        <f t="shared" si="6"/>
        <v>4298.8999999999996</v>
      </c>
      <c r="H136" s="367">
        <f t="shared" si="7"/>
        <v>0.11423852613459261</v>
      </c>
      <c r="I136" s="366"/>
      <c r="J136" s="366"/>
    </row>
    <row r="137" spans="2:10" x14ac:dyDescent="0.25">
      <c r="B137" s="624">
        <v>42643</v>
      </c>
      <c r="C137" s="365">
        <v>140</v>
      </c>
      <c r="D137" s="366">
        <v>20.112300000000001</v>
      </c>
      <c r="E137" s="366">
        <v>24.2</v>
      </c>
      <c r="F137" s="366">
        <f t="shared" si="5"/>
        <v>572.27799999999979</v>
      </c>
      <c r="G137" s="366">
        <f t="shared" si="6"/>
        <v>2815.7220000000002</v>
      </c>
      <c r="H137" s="367">
        <f t="shared" si="7"/>
        <v>0.2032437861408192</v>
      </c>
      <c r="I137" s="366"/>
      <c r="J137" s="366"/>
    </row>
    <row r="138" spans="2:10" x14ac:dyDescent="0.25">
      <c r="B138" s="624">
        <v>42643</v>
      </c>
      <c r="C138" s="365">
        <v>200</v>
      </c>
      <c r="D138" s="366">
        <v>21.368600000000001</v>
      </c>
      <c r="E138" s="366">
        <v>24.2</v>
      </c>
      <c r="F138" s="366">
        <f t="shared" si="5"/>
        <v>566.27999999999975</v>
      </c>
      <c r="G138" s="366">
        <f t="shared" si="6"/>
        <v>4273.72</v>
      </c>
      <c r="H138" s="367">
        <f t="shared" si="7"/>
        <v>0.13250283125707807</v>
      </c>
      <c r="I138" s="366" t="s">
        <v>285</v>
      </c>
      <c r="J138" s="366"/>
    </row>
    <row r="139" spans="2:10" x14ac:dyDescent="0.25">
      <c r="B139" s="624">
        <v>42648</v>
      </c>
      <c r="C139" s="365">
        <v>200</v>
      </c>
      <c r="D139" s="366">
        <v>21.368600000000001</v>
      </c>
      <c r="E139" s="366">
        <v>24.86</v>
      </c>
      <c r="F139" s="366">
        <f t="shared" si="5"/>
        <v>698.27999999999975</v>
      </c>
      <c r="G139" s="366">
        <f t="shared" si="6"/>
        <v>4273.72</v>
      </c>
      <c r="H139" s="367">
        <f t="shared" si="7"/>
        <v>0.16338927210954385</v>
      </c>
      <c r="I139" s="366"/>
      <c r="J139" s="366"/>
    </row>
    <row r="140" spans="2:10" x14ac:dyDescent="0.25">
      <c r="B140" s="624">
        <v>42649</v>
      </c>
      <c r="C140" s="365">
        <v>200</v>
      </c>
      <c r="D140" s="366">
        <v>21.368600000000001</v>
      </c>
      <c r="E140" s="366">
        <v>24.66</v>
      </c>
      <c r="F140" s="366">
        <f t="shared" si="5"/>
        <v>658.27999999999986</v>
      </c>
      <c r="G140" s="366">
        <f t="shared" si="6"/>
        <v>4273.72</v>
      </c>
      <c r="H140" s="367">
        <f t="shared" si="7"/>
        <v>0.15402974457849364</v>
      </c>
      <c r="I140" s="366"/>
      <c r="J140" s="366"/>
    </row>
    <row r="141" spans="2:10" x14ac:dyDescent="0.25">
      <c r="B141" s="624">
        <v>42650</v>
      </c>
      <c r="C141" s="365">
        <v>200</v>
      </c>
      <c r="D141" s="366">
        <v>21.368600000000001</v>
      </c>
      <c r="E141" s="366">
        <v>23.95</v>
      </c>
      <c r="F141" s="366">
        <f t="shared" si="5"/>
        <v>516.27999999999975</v>
      </c>
      <c r="G141" s="366">
        <f t="shared" si="6"/>
        <v>4273.72</v>
      </c>
      <c r="H141" s="367">
        <f t="shared" si="7"/>
        <v>0.12080342184326529</v>
      </c>
      <c r="I141" s="366"/>
      <c r="J141" s="366"/>
    </row>
    <row r="142" spans="2:10" x14ac:dyDescent="0.25">
      <c r="B142" s="624">
        <v>42661</v>
      </c>
      <c r="C142" s="365">
        <v>300</v>
      </c>
      <c r="D142" s="366">
        <v>21.765699999999999</v>
      </c>
      <c r="E142" s="366">
        <v>23.46</v>
      </c>
      <c r="F142" s="366">
        <f t="shared" si="5"/>
        <v>508.29000000000059</v>
      </c>
      <c r="G142" s="366">
        <f t="shared" si="6"/>
        <v>6529.71</v>
      </c>
      <c r="H142" s="367">
        <f t="shared" si="7"/>
        <v>7.7842660700092436E-2</v>
      </c>
      <c r="I142" s="366">
        <v>21.5</v>
      </c>
      <c r="J142" s="366"/>
    </row>
    <row r="143" spans="2:10" x14ac:dyDescent="0.25">
      <c r="B143" s="624">
        <v>42662</v>
      </c>
      <c r="C143" s="365">
        <v>300</v>
      </c>
      <c r="D143" s="366">
        <v>21.77</v>
      </c>
      <c r="E143" s="366">
        <v>24.15</v>
      </c>
      <c r="F143" s="366">
        <f t="shared" si="5"/>
        <v>713.99999999999966</v>
      </c>
      <c r="G143" s="366">
        <f t="shared" si="6"/>
        <v>6531</v>
      </c>
      <c r="H143" s="367">
        <f t="shared" si="7"/>
        <v>0.10932475884244369</v>
      </c>
      <c r="I143" s="366"/>
      <c r="J143" s="366"/>
    </row>
    <row r="144" spans="2:10" x14ac:dyDescent="0.25">
      <c r="B144" s="624">
        <v>42663</v>
      </c>
      <c r="C144" s="365">
        <v>260</v>
      </c>
      <c r="D144" s="366">
        <v>21.302099999999999</v>
      </c>
      <c r="E144" s="366">
        <v>24.98</v>
      </c>
      <c r="F144" s="366">
        <f t="shared" si="5"/>
        <v>956.25400000000025</v>
      </c>
      <c r="G144" s="366">
        <f t="shared" si="6"/>
        <v>5538.5460000000003</v>
      </c>
      <c r="H144" s="367">
        <f t="shared" si="7"/>
        <v>0.17265433924354881</v>
      </c>
      <c r="I144" s="366"/>
      <c r="J144" s="366"/>
    </row>
    <row r="145" spans="2:10" x14ac:dyDescent="0.25">
      <c r="B145" s="624">
        <v>42664</v>
      </c>
      <c r="C145" s="365">
        <v>260</v>
      </c>
      <c r="D145" s="366">
        <v>21.302099999999999</v>
      </c>
      <c r="E145" s="366">
        <v>25.92</v>
      </c>
      <c r="F145" s="366">
        <f t="shared" si="5"/>
        <v>1200.6540000000007</v>
      </c>
      <c r="G145" s="366">
        <f t="shared" si="6"/>
        <v>5538.5460000000003</v>
      </c>
      <c r="H145" s="367">
        <f t="shared" si="7"/>
        <v>0.21678144408297786</v>
      </c>
      <c r="I145" s="366"/>
      <c r="J145" s="366"/>
    </row>
    <row r="146" spans="2:10" x14ac:dyDescent="0.25">
      <c r="B146" s="624">
        <v>42667</v>
      </c>
      <c r="C146" s="365">
        <v>260</v>
      </c>
      <c r="D146" s="366">
        <v>21.302099999999999</v>
      </c>
      <c r="E146" s="366">
        <v>25.35</v>
      </c>
      <c r="F146" s="366">
        <f t="shared" si="5"/>
        <v>1052.4540000000006</v>
      </c>
      <c r="G146" s="366">
        <f t="shared" si="6"/>
        <v>5538.5460000000003</v>
      </c>
      <c r="H146" s="367">
        <f t="shared" si="7"/>
        <v>0.19002351880800494</v>
      </c>
      <c r="I146" s="366"/>
      <c r="J146" s="366"/>
    </row>
    <row r="147" spans="2:10" x14ac:dyDescent="0.25">
      <c r="B147" s="624">
        <v>42674</v>
      </c>
      <c r="C147" s="365">
        <v>300</v>
      </c>
      <c r="D147" s="366">
        <v>21.6828</v>
      </c>
      <c r="E147" s="366">
        <v>24.01</v>
      </c>
      <c r="F147" s="366">
        <f t="shared" si="5"/>
        <v>698.16000000000042</v>
      </c>
      <c r="G147" s="366">
        <f t="shared" si="6"/>
        <v>6504.84</v>
      </c>
      <c r="H147" s="367">
        <f t="shared" si="7"/>
        <v>0.10732931171250951</v>
      </c>
      <c r="I147" s="366">
        <v>21.5</v>
      </c>
      <c r="J147" s="366"/>
    </row>
    <row r="148" spans="2:10" x14ac:dyDescent="0.25">
      <c r="B148" s="624">
        <v>42675</v>
      </c>
      <c r="C148" s="365">
        <v>300</v>
      </c>
      <c r="D148" s="366">
        <v>21.6096</v>
      </c>
      <c r="E148" s="366">
        <v>24.89</v>
      </c>
      <c r="F148" s="366">
        <f t="shared" si="5"/>
        <v>984.12000000000012</v>
      </c>
      <c r="G148" s="366">
        <f t="shared" si="6"/>
        <v>6482.88</v>
      </c>
      <c r="H148" s="367">
        <f t="shared" si="7"/>
        <v>0.15180290241374206</v>
      </c>
      <c r="I148" s="366">
        <v>21.5</v>
      </c>
      <c r="J148" s="366"/>
    </row>
    <row r="149" spans="2:10" x14ac:dyDescent="0.25">
      <c r="B149" s="624">
        <v>42677</v>
      </c>
      <c r="C149" s="365">
        <v>340</v>
      </c>
      <c r="D149" s="366">
        <v>21.5627</v>
      </c>
      <c r="E149" s="366">
        <v>22.6</v>
      </c>
      <c r="F149" s="366">
        <f t="shared" si="5"/>
        <v>352.68200000000064</v>
      </c>
      <c r="G149" s="366">
        <f t="shared" si="6"/>
        <v>7331.3180000000002</v>
      </c>
      <c r="H149" s="367">
        <f t="shared" si="7"/>
        <v>4.8106220464042164E-2</v>
      </c>
      <c r="I149" s="366"/>
      <c r="J149" s="366"/>
    </row>
    <row r="150" spans="2:10" x14ac:dyDescent="0.25">
      <c r="B150" s="624">
        <v>42701</v>
      </c>
      <c r="C150" s="365">
        <v>240</v>
      </c>
      <c r="D150" s="366">
        <v>18.880800000000001</v>
      </c>
      <c r="E150" s="366">
        <v>28.55</v>
      </c>
      <c r="F150" s="366">
        <f t="shared" si="5"/>
        <v>2320.6080000000002</v>
      </c>
      <c r="G150" s="366">
        <f t="shared" si="6"/>
        <v>4531.3919999999998</v>
      </c>
      <c r="H150" s="367">
        <f t="shared" si="7"/>
        <v>0.51211813058768696</v>
      </c>
      <c r="I150" s="366"/>
      <c r="J150" s="366"/>
    </row>
    <row r="151" spans="2:10" x14ac:dyDescent="0.25">
      <c r="B151" s="624">
        <v>42705</v>
      </c>
      <c r="C151" s="365">
        <v>200</v>
      </c>
      <c r="D151" s="366">
        <v>16.231100000000001</v>
      </c>
      <c r="E151" s="366">
        <v>28.94</v>
      </c>
      <c r="F151" s="366">
        <f t="shared" si="5"/>
        <v>2541.7799999999997</v>
      </c>
      <c r="G151" s="366">
        <f t="shared" si="6"/>
        <v>3246.2200000000003</v>
      </c>
      <c r="H151" s="367">
        <f t="shared" si="7"/>
        <v>0.78299683940090314</v>
      </c>
      <c r="I151" s="366" t="s">
        <v>310</v>
      </c>
      <c r="J151" s="366"/>
    </row>
    <row r="152" spans="2:10" x14ac:dyDescent="0.25">
      <c r="B152" s="624">
        <v>42711</v>
      </c>
      <c r="C152" s="365">
        <v>0</v>
      </c>
      <c r="D152" s="366"/>
      <c r="E152" s="366"/>
      <c r="F152" s="366">
        <v>2733.66</v>
      </c>
      <c r="G152" s="366"/>
      <c r="H152" s="367"/>
      <c r="I152" s="366"/>
      <c r="J152" s="366"/>
    </row>
    <row r="153" spans="2:10" x14ac:dyDescent="0.25">
      <c r="B153" s="624"/>
      <c r="C153" s="365"/>
      <c r="D153" s="366"/>
      <c r="E153" s="366"/>
      <c r="F153" s="366"/>
      <c r="G153" s="366"/>
      <c r="H153" s="367"/>
      <c r="I153" s="366"/>
      <c r="J153" s="366"/>
    </row>
    <row r="154" spans="2:10" x14ac:dyDescent="0.25">
      <c r="B154" s="624">
        <v>42716</v>
      </c>
      <c r="C154" s="365">
        <v>200</v>
      </c>
      <c r="D154" s="366">
        <v>29.285</v>
      </c>
      <c r="E154" s="366">
        <v>29</v>
      </c>
      <c r="F154" s="366">
        <f t="shared" ref="F154:F161" si="8">C154*(E154-D154)</f>
        <v>-57.000000000000028</v>
      </c>
      <c r="G154" s="366">
        <f t="shared" ref="G154:G161" si="9">D154*C154</f>
        <v>5857</v>
      </c>
      <c r="H154" s="367">
        <f t="shared" ref="H154:H161" si="10">(E154-D154)/D154</f>
        <v>-9.7319446815776044E-3</v>
      </c>
      <c r="I154" s="366"/>
      <c r="J154" s="366"/>
    </row>
    <row r="155" spans="2:10" x14ac:dyDescent="0.25">
      <c r="B155" s="624">
        <v>42720</v>
      </c>
      <c r="C155" s="365">
        <v>100</v>
      </c>
      <c r="D155" s="366">
        <v>29.210599999999999</v>
      </c>
      <c r="E155" s="366">
        <v>29.48</v>
      </c>
      <c r="F155" s="366">
        <f t="shared" si="8"/>
        <v>26.940000000000097</v>
      </c>
      <c r="G155" s="366">
        <f t="shared" si="9"/>
        <v>2921.06</v>
      </c>
      <c r="H155" s="367">
        <f t="shared" si="10"/>
        <v>9.2226794382861358E-3</v>
      </c>
      <c r="I155" s="366"/>
      <c r="J155" s="366"/>
    </row>
    <row r="156" spans="2:10" x14ac:dyDescent="0.25">
      <c r="B156" s="624">
        <v>42723</v>
      </c>
      <c r="C156" s="365">
        <v>200</v>
      </c>
      <c r="D156" s="366">
        <v>28.7453</v>
      </c>
      <c r="E156" s="366">
        <v>28.29</v>
      </c>
      <c r="F156" s="366">
        <f t="shared" si="8"/>
        <v>-91.06000000000023</v>
      </c>
      <c r="G156" s="366">
        <f t="shared" si="9"/>
        <v>5749.06</v>
      </c>
      <c r="H156" s="367">
        <f t="shared" si="10"/>
        <v>-1.5839111089465101E-2</v>
      </c>
      <c r="I156" s="366"/>
      <c r="J156" s="366"/>
    </row>
    <row r="157" spans="2:10" x14ac:dyDescent="0.25">
      <c r="B157" s="624">
        <v>42724</v>
      </c>
      <c r="C157" s="365">
        <v>100</v>
      </c>
      <c r="D157" s="366">
        <v>28.511199999999999</v>
      </c>
      <c r="E157" s="366">
        <v>28.76</v>
      </c>
      <c r="F157" s="366">
        <f t="shared" si="8"/>
        <v>24.88000000000028</v>
      </c>
      <c r="G157" s="366">
        <f t="shared" si="9"/>
        <v>2851.12</v>
      </c>
      <c r="H157" s="367">
        <f t="shared" si="10"/>
        <v>8.7263952411684807E-3</v>
      </c>
      <c r="I157" s="366"/>
      <c r="J157" s="366"/>
    </row>
    <row r="158" spans="2:10" x14ac:dyDescent="0.25">
      <c r="B158" s="624">
        <v>42731</v>
      </c>
      <c r="C158" s="365">
        <v>100</v>
      </c>
      <c r="D158" s="366">
        <v>28.511199999999999</v>
      </c>
      <c r="E158" s="366">
        <v>31.95</v>
      </c>
      <c r="F158" s="366">
        <f t="shared" si="8"/>
        <v>343.88000000000005</v>
      </c>
      <c r="G158" s="366">
        <f t="shared" si="9"/>
        <v>2851.12</v>
      </c>
      <c r="H158" s="367">
        <f t="shared" si="10"/>
        <v>0.12061225062431608</v>
      </c>
      <c r="I158" s="366"/>
      <c r="J158" s="366"/>
    </row>
    <row r="159" spans="2:10" x14ac:dyDescent="0.25">
      <c r="B159" s="624">
        <v>42739</v>
      </c>
      <c r="C159" s="365">
        <v>100</v>
      </c>
      <c r="D159" s="366">
        <v>28.511199999999999</v>
      </c>
      <c r="E159" s="366">
        <v>33.04</v>
      </c>
      <c r="F159" s="366">
        <f t="shared" si="8"/>
        <v>452.88000000000005</v>
      </c>
      <c r="G159" s="366">
        <f t="shared" si="9"/>
        <v>2851.12</v>
      </c>
      <c r="H159" s="367">
        <f t="shared" si="10"/>
        <v>0.15884284070821295</v>
      </c>
      <c r="I159" s="366"/>
      <c r="J159" s="366"/>
    </row>
    <row r="160" spans="2:10" x14ac:dyDescent="0.25">
      <c r="B160" s="624">
        <v>42744</v>
      </c>
      <c r="C160" s="365">
        <v>100</v>
      </c>
      <c r="D160" s="366">
        <v>28.511199999999999</v>
      </c>
      <c r="E160" s="366">
        <v>33.770000000000003</v>
      </c>
      <c r="F160" s="366">
        <f t="shared" si="8"/>
        <v>525.88000000000045</v>
      </c>
      <c r="G160" s="366">
        <f t="shared" si="9"/>
        <v>2851.12</v>
      </c>
      <c r="H160" s="367">
        <f t="shared" si="10"/>
        <v>0.18444681388366693</v>
      </c>
      <c r="I160" s="366"/>
      <c r="J160" s="366"/>
    </row>
    <row r="161" spans="1:10" x14ac:dyDescent="0.25">
      <c r="B161" s="624">
        <v>42745</v>
      </c>
      <c r="C161" s="365">
        <v>100</v>
      </c>
      <c r="D161" s="366">
        <v>28.511199999999999</v>
      </c>
      <c r="E161" s="366">
        <v>32.729999999999997</v>
      </c>
      <c r="F161" s="366">
        <f t="shared" si="8"/>
        <v>421.87999999999982</v>
      </c>
      <c r="G161" s="366">
        <f t="shared" si="9"/>
        <v>2851.12</v>
      </c>
      <c r="H161" s="367">
        <f t="shared" si="10"/>
        <v>0.14796992059260916</v>
      </c>
      <c r="I161" s="366"/>
      <c r="J161" s="366"/>
    </row>
    <row r="162" spans="1:10" x14ac:dyDescent="0.25">
      <c r="B162" s="624"/>
      <c r="C162" s="365"/>
      <c r="D162" s="366"/>
      <c r="E162" s="366"/>
      <c r="F162" s="366"/>
      <c r="G162" s="365"/>
      <c r="H162" s="365"/>
      <c r="I162" s="366"/>
      <c r="J162" s="366"/>
    </row>
    <row r="163" spans="1:10" x14ac:dyDescent="0.25">
      <c r="B163" s="624"/>
      <c r="C163" s="365"/>
      <c r="D163" s="366"/>
      <c r="E163" s="366"/>
      <c r="F163" s="366"/>
      <c r="G163" s="365"/>
      <c r="H163" s="365"/>
      <c r="I163" s="366"/>
      <c r="J163" s="366"/>
    </row>
    <row r="164" spans="1:10" x14ac:dyDescent="0.25">
      <c r="B164" s="624"/>
      <c r="C164" s="365"/>
      <c r="D164" s="366"/>
      <c r="E164" s="366"/>
      <c r="F164" s="366"/>
      <c r="G164" s="365"/>
      <c r="H164" s="365"/>
      <c r="I164" s="366"/>
      <c r="J164" s="366"/>
    </row>
    <row r="165" spans="1:10" x14ac:dyDescent="0.25">
      <c r="B165" s="624"/>
      <c r="C165" s="365"/>
      <c r="D165" s="366"/>
      <c r="E165" s="366"/>
      <c r="F165" s="366"/>
      <c r="G165" s="365"/>
      <c r="H165" s="365"/>
      <c r="I165" s="366"/>
      <c r="J165" s="366"/>
    </row>
    <row r="166" spans="1:10" x14ac:dyDescent="0.25">
      <c r="B166" s="483" t="s">
        <v>113</v>
      </c>
      <c r="C166" s="185" t="s">
        <v>146</v>
      </c>
      <c r="D166" s="186" t="s">
        <v>145</v>
      </c>
      <c r="E166" s="188" t="s">
        <v>147</v>
      </c>
      <c r="F166" s="188" t="s">
        <v>65</v>
      </c>
      <c r="G166" s="223" t="s">
        <v>151</v>
      </c>
      <c r="H166" s="223" t="s">
        <v>88</v>
      </c>
      <c r="I166" s="223" t="s">
        <v>154</v>
      </c>
      <c r="J166" s="223" t="s">
        <v>510</v>
      </c>
    </row>
    <row r="167" spans="1:10" x14ac:dyDescent="0.25">
      <c r="A167" t="s">
        <v>341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5">
        <f t="shared" ref="H167:H196" si="13">(E167-D167)/D167</f>
        <v>1.8463371054199065E-2</v>
      </c>
      <c r="I167" s="39"/>
      <c r="J167" s="39"/>
    </row>
    <row r="168" spans="1:10" x14ac:dyDescent="0.25">
      <c r="A168" t="s">
        <v>341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5">
        <f t="shared" si="13"/>
        <v>8.8147706968433617E-2</v>
      </c>
      <c r="I168" s="39"/>
      <c r="J168" s="39"/>
    </row>
    <row r="169" spans="1:10" x14ac:dyDescent="0.25">
      <c r="A169" t="s">
        <v>432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5">
        <f t="shared" si="13"/>
        <v>2.1313209593154157E-2</v>
      </c>
      <c r="I169" s="39"/>
      <c r="J169" s="39"/>
    </row>
    <row r="170" spans="1:10" x14ac:dyDescent="0.25">
      <c r="A170" t="s">
        <v>446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5">
        <f t="shared" si="13"/>
        <v>-1.6068122917438102E-2</v>
      </c>
      <c r="I170" s="39"/>
      <c r="J170" s="39"/>
    </row>
    <row r="171" spans="1:10" x14ac:dyDescent="0.25">
      <c r="A171" t="s">
        <v>451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5">
        <f t="shared" si="13"/>
        <v>-4.5762610208120807E-2</v>
      </c>
      <c r="I171" s="39"/>
      <c r="J171" s="39"/>
    </row>
    <row r="172" spans="1:10" x14ac:dyDescent="0.25">
      <c r="A172" t="s">
        <v>362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5">
        <f t="shared" si="13"/>
        <v>-6.5854975109458355E-2</v>
      </c>
      <c r="I172" s="39"/>
      <c r="J172" s="39"/>
    </row>
    <row r="173" spans="1:10" x14ac:dyDescent="0.25">
      <c r="A173" t="s">
        <v>472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5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5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6">
        <v>350</v>
      </c>
      <c r="D175" s="62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5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5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5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5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5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5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6">
        <v>350</v>
      </c>
      <c r="D181" s="62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5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5">
        <f t="shared" si="13"/>
        <v>-0.14819687088901862</v>
      </c>
      <c r="I182" s="39" t="s">
        <v>683</v>
      </c>
      <c r="J182" s="39">
        <v>2125</v>
      </c>
    </row>
    <row r="183" spans="1:10" x14ac:dyDescent="0.25">
      <c r="A183">
        <v>50</v>
      </c>
      <c r="B183" s="152">
        <v>42853</v>
      </c>
      <c r="C183" s="556">
        <v>350</v>
      </c>
      <c r="D183" s="62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5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5">
        <f t="shared" si="13"/>
        <v>-0.10262077676034101</v>
      </c>
      <c r="I184" s="39" t="s">
        <v>684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5">
        <f t="shared" si="13"/>
        <v>-0.13834874083519286</v>
      </c>
      <c r="I185" s="39" t="s">
        <v>688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5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5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5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5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5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5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5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5">
        <f t="shared" si="13"/>
        <v>9.8696399097247707E-3</v>
      </c>
      <c r="I193" s="196" t="s">
        <v>719</v>
      </c>
      <c r="J193" s="39">
        <v>3384</v>
      </c>
    </row>
    <row r="194" spans="1:10" x14ac:dyDescent="0.25">
      <c r="A194">
        <v>200</v>
      </c>
      <c r="B194" s="152">
        <v>42983</v>
      </c>
      <c r="C194" s="556">
        <v>350</v>
      </c>
      <c r="D194" s="62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5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5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5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5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5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5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5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5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5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5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5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5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5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5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5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5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5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5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5" priority="84">
      <formula>F7&gt;0</formula>
    </cfRule>
    <cfRule type="expression" dxfId="584" priority="85">
      <formula>F7&lt;0</formula>
    </cfRule>
  </conditionalFormatting>
  <conditionalFormatting sqref="Q8">
    <cfRule type="expression" dxfId="583" priority="82">
      <formula>Q8&gt;0</formula>
    </cfRule>
    <cfRule type="expression" dxfId="582" priority="83">
      <formula>Q8&lt;0</formula>
    </cfRule>
  </conditionalFormatting>
  <conditionalFormatting sqref="F29:F36">
    <cfRule type="expression" dxfId="581" priority="62">
      <formula>F29&gt;0</formula>
    </cfRule>
    <cfRule type="expression" dxfId="580" priority="63">
      <formula>F29&lt;0</formula>
    </cfRule>
  </conditionalFormatting>
  <conditionalFormatting sqref="J32:J38">
    <cfRule type="expression" dxfId="579" priority="57">
      <formula>J32&gt;0</formula>
    </cfRule>
    <cfRule type="expression" dxfId="578" priority="58">
      <formula>J32&lt;0</formula>
    </cfRule>
  </conditionalFormatting>
  <conditionalFormatting sqref="M42">
    <cfRule type="expression" dxfId="577" priority="55">
      <formula>M42&gt;0</formula>
    </cfRule>
    <cfRule type="expression" dxfId="576" priority="56">
      <formula>M42&lt;0</formula>
    </cfRule>
  </conditionalFormatting>
  <conditionalFormatting sqref="F98:F134 H98:H134 H137:H142 F137:F142 F144:F153 H144:H153">
    <cfRule type="expression" dxfId="575" priority="53">
      <formula>F98&gt;0</formula>
    </cfRule>
    <cfRule type="expression" dxfId="574" priority="54">
      <formula>F98&lt;0</formula>
    </cfRule>
  </conditionalFormatting>
  <conditionalFormatting sqref="F90:F97">
    <cfRule type="expression" dxfId="573" priority="51">
      <formula>F90&gt;0</formula>
    </cfRule>
    <cfRule type="expression" dxfId="572" priority="52">
      <formula>F90&lt;0</formula>
    </cfRule>
  </conditionalFormatting>
  <conditionalFormatting sqref="H90:H97">
    <cfRule type="expression" dxfId="571" priority="49">
      <formula>H90&gt;0</formula>
    </cfRule>
    <cfRule type="expression" dxfId="570" priority="50">
      <formula>H90&lt;0</formula>
    </cfRule>
  </conditionalFormatting>
  <conditionalFormatting sqref="F135:F136 H135:H136">
    <cfRule type="expression" dxfId="569" priority="47">
      <formula>F135&gt;0</formula>
    </cfRule>
    <cfRule type="expression" dxfId="568" priority="48">
      <formula>F135&lt;0</formula>
    </cfRule>
  </conditionalFormatting>
  <conditionalFormatting sqref="H143 F143">
    <cfRule type="expression" dxfId="567" priority="45">
      <formula>F143&gt;0</formula>
    </cfRule>
    <cfRule type="expression" dxfId="566" priority="46">
      <formula>F143&lt;0</formula>
    </cfRule>
  </conditionalFormatting>
  <conditionalFormatting sqref="F154:F161">
    <cfRule type="expression" dxfId="565" priority="31">
      <formula>F154&gt;0</formula>
    </cfRule>
    <cfRule type="expression" dxfId="564" priority="32">
      <formula>F154&lt;0</formula>
    </cfRule>
  </conditionalFormatting>
  <conditionalFormatting sqref="H154:H161">
    <cfRule type="expression" dxfId="563" priority="29">
      <formula>H154&gt;0</formula>
    </cfRule>
    <cfRule type="expression" dxfId="562" priority="30">
      <formula>H154&lt;0</formula>
    </cfRule>
  </conditionalFormatting>
  <conditionalFormatting sqref="Q10">
    <cfRule type="expression" dxfId="561" priority="27">
      <formula>Q10&gt;0</formula>
    </cfRule>
    <cfRule type="expression" dxfId="560" priority="28">
      <formula>Q10&lt;0</formula>
    </cfRule>
  </conditionalFormatting>
  <conditionalFormatting sqref="F37:F38">
    <cfRule type="expression" dxfId="559" priority="25">
      <formula>F37&gt;0</formula>
    </cfRule>
    <cfRule type="expression" dxfId="558" priority="26">
      <formula>F37&lt;0</formula>
    </cfRule>
  </conditionalFormatting>
  <conditionalFormatting sqref="H37:H38">
    <cfRule type="expression" dxfId="557" priority="23">
      <formula>H37&gt;0</formula>
    </cfRule>
    <cfRule type="expression" dxfId="556" priority="24">
      <formula>H37&lt;0</formula>
    </cfRule>
  </conditionalFormatting>
  <conditionalFormatting sqref="F167">
    <cfRule type="expression" dxfId="555" priority="21">
      <formula>F167&gt;0</formula>
    </cfRule>
    <cfRule type="expression" dxfId="554" priority="22">
      <formula>F167&lt;0</formula>
    </cfRule>
  </conditionalFormatting>
  <conditionalFormatting sqref="F168:F179">
    <cfRule type="expression" dxfId="553" priority="19">
      <formula>F168&gt;0</formula>
    </cfRule>
    <cfRule type="expression" dxfId="552" priority="20">
      <formula>F168&lt;0</formula>
    </cfRule>
  </conditionalFormatting>
  <conditionalFormatting sqref="H167:H179">
    <cfRule type="expression" dxfId="551" priority="17">
      <formula>H167&gt;0</formula>
    </cfRule>
    <cfRule type="expression" dxfId="550" priority="18">
      <formula>H167&lt;0</formula>
    </cfRule>
  </conditionalFormatting>
  <conditionalFormatting sqref="J175:J197 J201">
    <cfRule type="expression" dxfId="549" priority="15">
      <formula>J175&gt;0</formula>
    </cfRule>
    <cfRule type="expression" dxfId="548" priority="16">
      <formula>J175&lt;0</formula>
    </cfRule>
  </conditionalFormatting>
  <conditionalFormatting sqref="F180:F197 F201">
    <cfRule type="expression" dxfId="547" priority="13">
      <formula>F180&gt;0</formula>
    </cfRule>
    <cfRule type="expression" dxfId="546" priority="14">
      <formula>F180&lt;0</formula>
    </cfRule>
  </conditionalFormatting>
  <conditionalFormatting sqref="H180:H197 H201">
    <cfRule type="expression" dxfId="545" priority="11">
      <formula>H180&gt;0</formula>
    </cfRule>
    <cfRule type="expression" dxfId="544" priority="12">
      <formula>H180&lt;0</formula>
    </cfRule>
  </conditionalFormatting>
  <conditionalFormatting sqref="I32:J35">
    <cfRule type="expression" dxfId="543" priority="9">
      <formula>I32&gt;0</formula>
    </cfRule>
    <cfRule type="expression" dxfId="542" priority="10">
      <formula>I32&lt;0</formula>
    </cfRule>
  </conditionalFormatting>
  <conditionalFormatting sqref="F198:F200">
    <cfRule type="expression" dxfId="541" priority="7">
      <formula>F198&gt;0</formula>
    </cfRule>
    <cfRule type="expression" dxfId="540" priority="8">
      <formula>F198&lt;0</formula>
    </cfRule>
  </conditionalFormatting>
  <conditionalFormatting sqref="H198:H200">
    <cfRule type="expression" dxfId="539" priority="5">
      <formula>H198&gt;0</formula>
    </cfRule>
    <cfRule type="expression" dxfId="538" priority="6">
      <formula>H198&lt;0</formula>
    </cfRule>
  </conditionalFormatting>
  <conditionalFormatting sqref="J198:J200">
    <cfRule type="expression" dxfId="537" priority="3">
      <formula>J198&gt;0</formula>
    </cfRule>
    <cfRule type="expression" dxfId="536" priority="4">
      <formula>J198&lt;0</formula>
    </cfRule>
  </conditionalFormatting>
  <conditionalFormatting sqref="F202:F211 H202:H211 J202:J211">
    <cfRule type="expression" dxfId="535" priority="1">
      <formula>F202&gt;0</formula>
    </cfRule>
    <cfRule type="expression" dxfId="534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343</v>
      </c>
      <c r="B2" s="755">
        <v>43165</v>
      </c>
      <c r="C2" s="756">
        <v>50</v>
      </c>
      <c r="D2" s="757">
        <v>70.28</v>
      </c>
      <c r="E2" s="757">
        <v>0</v>
      </c>
      <c r="F2" s="757">
        <f>C2*D2+E2</f>
        <v>3514</v>
      </c>
      <c r="G2" s="755"/>
      <c r="H2" s="756"/>
      <c r="I2" s="757"/>
      <c r="J2" s="757"/>
      <c r="K2" s="757"/>
      <c r="L2" s="758"/>
      <c r="M2" s="757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70.28</v>
      </c>
      <c r="T3" s="1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72.53</v>
      </c>
      <c r="R4" s="496">
        <v>1.1000000000000001E-3</v>
      </c>
      <c r="T4" s="158"/>
      <c r="U4" s="1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3626.5</v>
      </c>
    </row>
    <row r="6" spans="1:23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2172.9300000000003</v>
      </c>
      <c r="R7">
        <v>50</v>
      </c>
    </row>
    <row r="8" spans="1:23" x14ac:dyDescent="0.25"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112.5</v>
      </c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57">
        <f>IF(Q2=0, 0, Q8/Q6)</f>
        <v>3.2014797951052928E-2</v>
      </c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968</v>
      </c>
      <c r="Q12" t="s">
        <v>1025</v>
      </c>
    </row>
    <row r="13" spans="1:23" x14ac:dyDescent="0.25">
      <c r="B13" s="480"/>
      <c r="C13" s="4"/>
      <c r="D13" s="3"/>
      <c r="E13" s="3"/>
      <c r="F13" s="3"/>
      <c r="G13" s="480"/>
      <c r="H13" s="179"/>
      <c r="I13" s="3"/>
      <c r="J13" s="3"/>
      <c r="K13" s="3"/>
      <c r="L13" s="4"/>
      <c r="M13" s="4"/>
      <c r="O13" s="11" t="s">
        <v>997</v>
      </c>
      <c r="Q13">
        <f>Q4/5.25</f>
        <v>13.815238095238096</v>
      </c>
    </row>
    <row r="14" spans="1:23" x14ac:dyDescent="0.25">
      <c r="B14" s="480"/>
      <c r="C14" s="4"/>
      <c r="D14" s="3"/>
      <c r="E14" s="3"/>
      <c r="F14" s="3"/>
      <c r="G14" s="480"/>
      <c r="H14" s="179"/>
      <c r="I14" s="3"/>
      <c r="J14" s="3"/>
      <c r="K14" s="3"/>
      <c r="L14" s="4"/>
      <c r="M14" s="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O15" s="683" t="s">
        <v>113</v>
      </c>
      <c r="P15" s="683" t="s">
        <v>699</v>
      </c>
      <c r="Q15" s="683" t="s">
        <v>700</v>
      </c>
      <c r="R15" s="681" t="s">
        <v>693</v>
      </c>
      <c r="S15" s="681" t="s">
        <v>694</v>
      </c>
      <c r="T15" s="683" t="s">
        <v>696</v>
      </c>
      <c r="U15" s="683" t="s">
        <v>697</v>
      </c>
      <c r="V15" s="681" t="s">
        <v>695</v>
      </c>
      <c r="W15" s="682" t="s">
        <v>698</v>
      </c>
    </row>
    <row r="16" spans="1:23" x14ac:dyDescent="0.25">
      <c r="G16" s="29"/>
      <c r="H16" s="70"/>
      <c r="O16" s="684">
        <v>42963</v>
      </c>
      <c r="P16" s="680" t="s">
        <v>701</v>
      </c>
      <c r="Q16" s="680"/>
      <c r="R16" s="679">
        <v>1.18</v>
      </c>
      <c r="S16" s="679">
        <v>1.23</v>
      </c>
      <c r="T16" s="680">
        <v>16.28</v>
      </c>
      <c r="U16" s="680">
        <v>16.399999999999999</v>
      </c>
      <c r="V16" s="677" t="s">
        <v>704</v>
      </c>
      <c r="W16" s="678"/>
    </row>
    <row r="17" spans="1:23" x14ac:dyDescent="0.25">
      <c r="G17" s="29"/>
      <c r="O17" s="686"/>
      <c r="P17" s="680"/>
      <c r="Q17" s="680"/>
      <c r="R17" s="679"/>
      <c r="S17" s="677"/>
      <c r="T17" s="680"/>
      <c r="U17" s="680"/>
      <c r="V17" s="677"/>
      <c r="W17" s="678"/>
    </row>
    <row r="18" spans="1:23" x14ac:dyDescent="0.25">
      <c r="A18" s="31" t="s">
        <v>81</v>
      </c>
      <c r="B18" s="481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85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52"/>
      <c r="C27" s="10"/>
      <c r="D27" s="39"/>
      <c r="E27" s="39"/>
      <c r="F27" s="39"/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7" t="s">
        <v>78</v>
      </c>
      <c r="P40" s="847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79.783000000000001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79.057700000000011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78.332400000000007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77.607100000000003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76.881799999999998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76.156500000000008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75.431200000000004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74.7059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73.980599999999995</v>
      </c>
      <c r="Q49" s="2"/>
      <c r="T49" s="91" t="s">
        <v>103</v>
      </c>
      <c r="U49" s="127" t="s">
        <v>486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73.255300000000005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72.53</v>
      </c>
      <c r="Q51" s="2"/>
      <c r="T51" s="91" t="s">
        <v>104</v>
      </c>
      <c r="U51" s="127" t="s">
        <v>638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71.804699999999997</v>
      </c>
      <c r="Q52" s="2"/>
      <c r="T52" s="91" t="s">
        <v>105</v>
      </c>
      <c r="U52" s="127" t="s">
        <v>639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71.079400000000007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70.354100000000003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69.628799999999998</v>
      </c>
      <c r="T55" s="91" t="s">
        <v>107</v>
      </c>
      <c r="U55" s="127" t="s">
        <v>640</v>
      </c>
    </row>
    <row r="56" spans="1:21" x14ac:dyDescent="0.25">
      <c r="O56" s="81">
        <v>0.95</v>
      </c>
      <c r="P56" s="81">
        <f t="shared" si="0"/>
        <v>68.903499999999994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68.178200000000004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67.4529</v>
      </c>
      <c r="T58" s="91" t="s">
        <v>108</v>
      </c>
      <c r="U58" s="127" t="s">
        <v>554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66.72760000000001</v>
      </c>
    </row>
    <row r="60" spans="1:21" x14ac:dyDescent="0.25">
      <c r="A60" s="371" t="s">
        <v>1</v>
      </c>
      <c r="B60" s="629" t="s">
        <v>2</v>
      </c>
      <c r="C60" s="371" t="s">
        <v>4</v>
      </c>
      <c r="D60" s="373" t="s">
        <v>5</v>
      </c>
      <c r="E60" s="373" t="s">
        <v>94</v>
      </c>
      <c r="F60" s="373" t="s">
        <v>60</v>
      </c>
      <c r="G60" s="371" t="s">
        <v>3</v>
      </c>
      <c r="H60" s="371" t="s">
        <v>6</v>
      </c>
      <c r="I60" s="373" t="s">
        <v>7</v>
      </c>
      <c r="J60" s="373" t="s">
        <v>95</v>
      </c>
      <c r="K60" s="373" t="s">
        <v>61</v>
      </c>
      <c r="L60" s="371" t="s">
        <v>37</v>
      </c>
      <c r="M60" s="371" t="s">
        <v>38</v>
      </c>
      <c r="O60" s="81">
        <v>0.91</v>
      </c>
      <c r="P60" s="81">
        <f t="shared" si="0"/>
        <v>66.002300000000005</v>
      </c>
    </row>
    <row r="61" spans="1:21" x14ac:dyDescent="0.25">
      <c r="A61" s="374" t="s">
        <v>343</v>
      </c>
      <c r="B61" s="624">
        <v>42755</v>
      </c>
      <c r="C61" s="365">
        <v>30</v>
      </c>
      <c r="D61" s="366">
        <v>64.680000000000007</v>
      </c>
      <c r="E61" s="366">
        <v>0</v>
      </c>
      <c r="F61" s="366">
        <f t="shared" ref="F61:F66" si="1">D61*C61+E61</f>
        <v>1940.4</v>
      </c>
      <c r="G61" s="624">
        <v>42864</v>
      </c>
      <c r="H61" s="369">
        <v>80</v>
      </c>
      <c r="I61" s="366">
        <v>57.98</v>
      </c>
      <c r="J61" s="366">
        <v>0.1</v>
      </c>
      <c r="K61" s="366">
        <f>H61*I61-J61</f>
        <v>4638.2999999999993</v>
      </c>
      <c r="L61" s="364">
        <v>42805</v>
      </c>
      <c r="M61" s="366">
        <v>18</v>
      </c>
      <c r="O61" s="81">
        <v>0.9</v>
      </c>
      <c r="P61" s="81">
        <f t="shared" si="0"/>
        <v>65.277000000000001</v>
      </c>
    </row>
    <row r="62" spans="1:21" x14ac:dyDescent="0.25">
      <c r="A62" s="375" t="s">
        <v>71</v>
      </c>
      <c r="B62" s="624">
        <v>42797</v>
      </c>
      <c r="C62" s="365">
        <v>50</v>
      </c>
      <c r="D62" s="366">
        <v>57.38</v>
      </c>
      <c r="E62" s="366">
        <v>0</v>
      </c>
      <c r="F62" s="366">
        <f t="shared" si="1"/>
        <v>2869</v>
      </c>
      <c r="G62" s="624">
        <v>42955</v>
      </c>
      <c r="H62" s="369">
        <v>100</v>
      </c>
      <c r="I62" s="366">
        <v>58.78</v>
      </c>
      <c r="J62" s="366">
        <v>0.14000000000000001</v>
      </c>
      <c r="K62" s="366">
        <f>H62*I62-J62</f>
        <v>5877.86</v>
      </c>
      <c r="L62" s="364">
        <v>42899</v>
      </c>
      <c r="M62" s="366">
        <v>48</v>
      </c>
    </row>
    <row r="63" spans="1:21" x14ac:dyDescent="0.25">
      <c r="A63" s="365"/>
      <c r="B63" s="624">
        <v>42809</v>
      </c>
      <c r="C63" s="365">
        <v>50</v>
      </c>
      <c r="D63" s="366">
        <v>54.38</v>
      </c>
      <c r="E63" s="366">
        <v>0</v>
      </c>
      <c r="F63" s="366">
        <f t="shared" si="1"/>
        <v>2719</v>
      </c>
      <c r="G63" s="624">
        <v>42984</v>
      </c>
      <c r="H63" s="369">
        <v>80</v>
      </c>
      <c r="I63" s="366">
        <v>58.38</v>
      </c>
      <c r="J63" s="366">
        <v>0.11</v>
      </c>
      <c r="K63" s="366">
        <f>H63*I63-J63</f>
        <v>4670.2900000000009</v>
      </c>
      <c r="L63" s="365"/>
      <c r="M63" s="365"/>
    </row>
    <row r="64" spans="1:21" x14ac:dyDescent="0.25">
      <c r="A64" s="365"/>
      <c r="B64" s="624">
        <v>42866</v>
      </c>
      <c r="C64" s="365">
        <v>30</v>
      </c>
      <c r="D64" s="366">
        <v>56.25</v>
      </c>
      <c r="E64" s="366">
        <v>0</v>
      </c>
      <c r="F64" s="366">
        <f t="shared" si="1"/>
        <v>1687.5</v>
      </c>
      <c r="G64" s="624"/>
      <c r="H64" s="369"/>
      <c r="I64" s="366"/>
      <c r="J64" s="366"/>
      <c r="K64" s="366"/>
      <c r="L64" s="365"/>
      <c r="M64" s="365"/>
    </row>
    <row r="65" spans="1:13" x14ac:dyDescent="0.25">
      <c r="A65" s="365"/>
      <c r="B65" s="624">
        <v>42871</v>
      </c>
      <c r="C65" s="365">
        <v>50</v>
      </c>
      <c r="D65" s="366">
        <v>54.45</v>
      </c>
      <c r="E65" s="366">
        <v>0</v>
      </c>
      <c r="F65" s="366">
        <f t="shared" si="1"/>
        <v>2722.5</v>
      </c>
      <c r="G65" s="624"/>
      <c r="H65" s="369"/>
      <c r="I65" s="366"/>
      <c r="J65" s="366"/>
      <c r="K65" s="366"/>
      <c r="L65" s="365"/>
      <c r="M65" s="365"/>
    </row>
    <row r="66" spans="1:13" x14ac:dyDescent="0.25">
      <c r="A66" s="365"/>
      <c r="B66" s="624">
        <v>42902</v>
      </c>
      <c r="C66" s="365">
        <v>50</v>
      </c>
      <c r="D66" s="366">
        <v>49</v>
      </c>
      <c r="E66" s="366">
        <v>0</v>
      </c>
      <c r="F66" s="366">
        <f t="shared" si="1"/>
        <v>2450</v>
      </c>
      <c r="G66" s="624"/>
      <c r="H66" s="369"/>
      <c r="I66" s="366"/>
      <c r="J66" s="366"/>
      <c r="K66" s="366"/>
      <c r="L66" s="365"/>
      <c r="M66" s="365"/>
    </row>
    <row r="67" spans="1:13" x14ac:dyDescent="0.25">
      <c r="A67" s="365"/>
      <c r="B67" s="624"/>
      <c r="C67" s="365"/>
      <c r="D67" s="366"/>
      <c r="E67" s="366"/>
      <c r="F67" s="366"/>
      <c r="G67" s="624"/>
      <c r="H67" s="369"/>
      <c r="I67" s="366"/>
      <c r="J67" s="366"/>
      <c r="K67" s="366"/>
      <c r="L67" s="365"/>
      <c r="M67" s="365"/>
    </row>
    <row r="68" spans="1:13" x14ac:dyDescent="0.25">
      <c r="A68" s="365"/>
      <c r="B68" s="47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5"/>
      <c r="B69" s="624"/>
      <c r="C69" s="365"/>
      <c r="D69" s="366"/>
      <c r="E69" s="366"/>
      <c r="F69" s="366"/>
      <c r="G69" s="624"/>
      <c r="H69" s="369"/>
      <c r="I69" s="366"/>
      <c r="J69" s="366"/>
      <c r="K69" s="366"/>
      <c r="L69" s="624"/>
      <c r="M69" s="365"/>
    </row>
    <row r="70" spans="1:13" x14ac:dyDescent="0.25">
      <c r="A70" s="365"/>
      <c r="B70" s="480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0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5"/>
      <c r="B71" s="624"/>
      <c r="C71" s="365"/>
      <c r="D71" s="366"/>
      <c r="E71" s="366"/>
      <c r="F71" s="366"/>
      <c r="G71" s="624"/>
      <c r="H71" s="369"/>
      <c r="I71" s="366"/>
      <c r="J71" s="366"/>
      <c r="K71" s="366"/>
      <c r="L71" s="365"/>
      <c r="M71" s="365"/>
    </row>
    <row r="72" spans="1:13" x14ac:dyDescent="0.25">
      <c r="A72" s="365"/>
      <c r="B72" s="624"/>
      <c r="C72" s="365"/>
      <c r="D72" s="366"/>
      <c r="E72" s="366"/>
      <c r="F72" s="366"/>
      <c r="G72" s="624"/>
      <c r="H72" s="369"/>
      <c r="I72" s="366"/>
      <c r="J72" s="366"/>
      <c r="K72" s="366"/>
      <c r="L72" s="365"/>
      <c r="M72" s="365"/>
    </row>
    <row r="73" spans="1:13" x14ac:dyDescent="0.25">
      <c r="A73" s="365"/>
      <c r="B73" s="624"/>
      <c r="C73" s="365"/>
      <c r="D73" s="366"/>
      <c r="E73" s="366"/>
      <c r="F73" s="366"/>
      <c r="G73" s="624"/>
      <c r="H73" s="369"/>
      <c r="I73" s="366"/>
      <c r="J73" s="366"/>
      <c r="K73" s="366"/>
      <c r="L73" s="365"/>
      <c r="M73" s="365"/>
    </row>
    <row r="74" spans="1:13" x14ac:dyDescent="0.25">
      <c r="A74" s="365"/>
      <c r="B74" s="624"/>
      <c r="C74" s="365"/>
      <c r="D74" s="366"/>
      <c r="E74" s="366"/>
      <c r="F74" s="366"/>
      <c r="G74" s="624"/>
      <c r="H74" s="369"/>
      <c r="I74" s="366"/>
      <c r="J74" s="366"/>
      <c r="K74" s="366"/>
      <c r="L74" s="365"/>
      <c r="M74" s="365"/>
    </row>
    <row r="75" spans="1:13" x14ac:dyDescent="0.25">
      <c r="A75" s="365"/>
      <c r="B75" s="624"/>
      <c r="C75" s="365"/>
      <c r="D75" s="366"/>
      <c r="E75" s="366"/>
      <c r="F75" s="366"/>
      <c r="G75" s="624"/>
      <c r="H75" s="369"/>
      <c r="I75" s="366"/>
      <c r="J75" s="366"/>
      <c r="K75" s="366"/>
      <c r="L75" s="365"/>
      <c r="M75" s="365"/>
    </row>
    <row r="76" spans="1:13" x14ac:dyDescent="0.25">
      <c r="A76" s="365"/>
      <c r="B76" s="624"/>
      <c r="C76" s="365"/>
      <c r="D76" s="366"/>
      <c r="E76" s="366"/>
      <c r="F76" s="366"/>
      <c r="G76" s="624"/>
      <c r="H76" s="365"/>
      <c r="I76" s="366"/>
      <c r="J76" s="366"/>
      <c r="K76" s="366"/>
      <c r="L76" s="365"/>
      <c r="M76" s="365"/>
    </row>
    <row r="77" spans="1:13" x14ac:dyDescent="0.25">
      <c r="A77" s="21" t="s">
        <v>81</v>
      </c>
      <c r="B77" s="63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7" t="s">
        <v>194</v>
      </c>
      <c r="B78" s="631"/>
      <c r="C78" s="449">
        <f>SumByColor($A$19,C61:C76)</f>
        <v>100</v>
      </c>
      <c r="D78" s="449"/>
      <c r="E78" s="449"/>
      <c r="F78" s="450">
        <f>SumByColor($A$19,F61:F76)</f>
        <v>5750</v>
      </c>
      <c r="G78" s="449"/>
      <c r="H78" s="449">
        <f>SumByColor($A$19,H61:H76)</f>
        <v>100</v>
      </c>
      <c r="I78" s="449"/>
      <c r="J78" s="449"/>
      <c r="K78" s="450">
        <f>SumByColor($A$19,K61:K76)</f>
        <v>5998</v>
      </c>
      <c r="L78" s="449"/>
      <c r="M78" s="450">
        <f>SumByColor($A$19,M61:M76)</f>
        <v>143</v>
      </c>
    </row>
    <row r="83" spans="1:13" x14ac:dyDescent="0.25">
      <c r="A83" s="365"/>
      <c r="B83" s="622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491" t="s">
        <v>150</v>
      </c>
      <c r="K83" s="366"/>
      <c r="L83" s="365"/>
      <c r="M83" s="365"/>
    </row>
    <row r="84" spans="1:13" x14ac:dyDescent="0.25">
      <c r="A84" s="365"/>
      <c r="B84" s="624">
        <v>42755</v>
      </c>
      <c r="C84" s="365">
        <v>30</v>
      </c>
      <c r="D84" s="366">
        <v>64.680000000000007</v>
      </c>
      <c r="E84" s="366">
        <v>64.099999999999994</v>
      </c>
      <c r="F84" s="366">
        <f t="shared" ref="F84:F103" si="2">C84*(E84-D84)</f>
        <v>-17.400000000000375</v>
      </c>
      <c r="G84" s="366">
        <f t="shared" ref="G84:G103" si="3">D84*C84</f>
        <v>1940.4</v>
      </c>
      <c r="H84" s="708">
        <f>(E84-D84)/D84</f>
        <v>-8.9672232529377314E-3</v>
      </c>
      <c r="I84" s="366"/>
      <c r="J84" s="366"/>
      <c r="K84" s="366"/>
      <c r="L84" s="365"/>
      <c r="M84" s="365"/>
    </row>
    <row r="85" spans="1:13" x14ac:dyDescent="0.25">
      <c r="A85" s="365"/>
      <c r="B85" s="624">
        <v>42760</v>
      </c>
      <c r="C85" s="365">
        <v>30</v>
      </c>
      <c r="D85" s="366">
        <v>64.680000000000007</v>
      </c>
      <c r="E85" s="366">
        <v>65</v>
      </c>
      <c r="F85" s="366">
        <f t="shared" si="2"/>
        <v>9.5999999999997954</v>
      </c>
      <c r="G85" s="366">
        <f t="shared" si="3"/>
        <v>1940.4</v>
      </c>
      <c r="H85" s="708">
        <f t="shared" ref="H85:H103" si="4">(E85-D85)/D85</f>
        <v>4.947433518861984E-3</v>
      </c>
      <c r="I85" s="366"/>
      <c r="J85" s="366"/>
      <c r="K85" s="366"/>
      <c r="L85" s="365"/>
      <c r="M85" s="365"/>
    </row>
    <row r="86" spans="1:13" x14ac:dyDescent="0.25">
      <c r="A86" s="365"/>
      <c r="B86" s="624">
        <v>42771</v>
      </c>
      <c r="C86" s="365">
        <v>30</v>
      </c>
      <c r="D86" s="366">
        <v>64.680000000000007</v>
      </c>
      <c r="E86" s="366">
        <v>63.75</v>
      </c>
      <c r="F86" s="366">
        <f t="shared" si="2"/>
        <v>-27.900000000000205</v>
      </c>
      <c r="G86" s="366">
        <f t="shared" si="3"/>
        <v>1940.4</v>
      </c>
      <c r="H86" s="708">
        <f t="shared" si="4"/>
        <v>-1.4378478664193053E-2</v>
      </c>
      <c r="I86" s="366"/>
      <c r="J86" s="366"/>
      <c r="K86" s="366"/>
      <c r="L86" s="365"/>
      <c r="M86" s="365"/>
    </row>
    <row r="87" spans="1:13" x14ac:dyDescent="0.25">
      <c r="A87" s="365" t="s">
        <v>454</v>
      </c>
      <c r="B87" s="624">
        <v>42790</v>
      </c>
      <c r="C87" s="365">
        <v>30</v>
      </c>
      <c r="D87" s="366">
        <v>64.680000000000007</v>
      </c>
      <c r="E87" s="366">
        <v>66.510000000000005</v>
      </c>
      <c r="F87" s="366">
        <f t="shared" si="2"/>
        <v>54.899999999999949</v>
      </c>
      <c r="G87" s="366">
        <f t="shared" si="3"/>
        <v>1940.4</v>
      </c>
      <c r="H87" s="708">
        <f t="shared" si="4"/>
        <v>2.8293135435992548E-2</v>
      </c>
      <c r="I87" s="366"/>
      <c r="J87" s="366"/>
      <c r="K87" s="366"/>
      <c r="L87" s="365"/>
      <c r="M87" s="365"/>
    </row>
    <row r="88" spans="1:13" x14ac:dyDescent="0.25">
      <c r="A88" s="365" t="s">
        <v>454</v>
      </c>
      <c r="B88" s="624">
        <v>42795</v>
      </c>
      <c r="C88" s="365">
        <v>30</v>
      </c>
      <c r="D88" s="366">
        <v>64.680000000000007</v>
      </c>
      <c r="E88" s="366">
        <v>57.83</v>
      </c>
      <c r="F88" s="366">
        <f t="shared" si="2"/>
        <v>-205.50000000000026</v>
      </c>
      <c r="G88" s="366">
        <f t="shared" si="3"/>
        <v>1940.4</v>
      </c>
      <c r="H88" s="708">
        <f t="shared" si="4"/>
        <v>-0.10590599876314175</v>
      </c>
      <c r="I88" s="366"/>
      <c r="J88" s="366"/>
      <c r="K88" s="366"/>
      <c r="L88" s="365"/>
      <c r="M88" s="365"/>
    </row>
    <row r="89" spans="1:13" x14ac:dyDescent="0.25">
      <c r="A89" s="365" t="s">
        <v>480</v>
      </c>
      <c r="B89" s="624">
        <v>42798</v>
      </c>
      <c r="C89" s="365">
        <v>80</v>
      </c>
      <c r="D89" s="366">
        <v>60.1175</v>
      </c>
      <c r="E89" s="366">
        <v>57.35</v>
      </c>
      <c r="F89" s="366">
        <f t="shared" si="2"/>
        <v>-221.39999999999986</v>
      </c>
      <c r="G89" s="366">
        <f t="shared" si="3"/>
        <v>4809.3999999999996</v>
      </c>
      <c r="H89" s="708">
        <f t="shared" si="4"/>
        <v>-4.6034848421840531E-2</v>
      </c>
      <c r="I89" s="366"/>
      <c r="J89" s="366"/>
      <c r="K89" s="366"/>
      <c r="L89" s="365"/>
      <c r="M89" s="365"/>
    </row>
    <row r="90" spans="1:13" x14ac:dyDescent="0.25">
      <c r="A90" s="365">
        <v>30</v>
      </c>
      <c r="B90" s="624">
        <v>42800</v>
      </c>
      <c r="C90" s="365">
        <v>80</v>
      </c>
      <c r="D90" s="366">
        <v>60.1175</v>
      </c>
      <c r="E90" s="366">
        <v>56.1</v>
      </c>
      <c r="F90" s="366">
        <f t="shared" si="2"/>
        <v>-321.39999999999986</v>
      </c>
      <c r="G90" s="366">
        <f t="shared" si="3"/>
        <v>4809.3999999999996</v>
      </c>
      <c r="H90" s="708">
        <f t="shared" si="4"/>
        <v>-6.6827462885183153E-2</v>
      </c>
      <c r="I90" s="366"/>
      <c r="J90" s="366"/>
      <c r="K90" s="366"/>
      <c r="L90" s="365"/>
      <c r="M90" s="365"/>
    </row>
    <row r="91" spans="1:13" x14ac:dyDescent="0.25">
      <c r="A91" s="365">
        <v>30</v>
      </c>
      <c r="B91" s="624">
        <v>42805</v>
      </c>
      <c r="C91" s="365">
        <v>80</v>
      </c>
      <c r="D91" s="366">
        <v>59.892499999999998</v>
      </c>
      <c r="E91" s="366">
        <v>55.36</v>
      </c>
      <c r="F91" s="366">
        <f t="shared" si="2"/>
        <v>-362.59999999999991</v>
      </c>
      <c r="G91" s="366">
        <f t="shared" si="3"/>
        <v>4791.3999999999996</v>
      </c>
      <c r="H91" s="708">
        <f t="shared" si="4"/>
        <v>-7.5677255082021944E-2</v>
      </c>
      <c r="I91" s="366"/>
      <c r="J91" s="366"/>
      <c r="K91" s="366"/>
      <c r="L91" s="365"/>
      <c r="M91" s="365"/>
    </row>
    <row r="92" spans="1:13" x14ac:dyDescent="0.25">
      <c r="A92" s="365">
        <v>30</v>
      </c>
      <c r="B92" s="624">
        <v>42808</v>
      </c>
      <c r="C92" s="365">
        <v>80</v>
      </c>
      <c r="D92" s="366">
        <v>59.892499999999998</v>
      </c>
      <c r="E92" s="366">
        <v>54.75</v>
      </c>
      <c r="F92" s="366">
        <f t="shared" si="2"/>
        <v>-411.39999999999986</v>
      </c>
      <c r="G92" s="366">
        <f t="shared" si="3"/>
        <v>4791.3999999999996</v>
      </c>
      <c r="H92" s="708">
        <f t="shared" si="4"/>
        <v>-8.5862169720749656E-2</v>
      </c>
      <c r="I92" s="366"/>
      <c r="J92" s="366"/>
      <c r="K92" s="366"/>
      <c r="L92" s="365"/>
      <c r="M92" s="365"/>
    </row>
    <row r="93" spans="1:13" x14ac:dyDescent="0.25">
      <c r="A93" s="365">
        <v>30</v>
      </c>
      <c r="B93" s="624">
        <v>42809</v>
      </c>
      <c r="C93" s="365">
        <v>130</v>
      </c>
      <c r="D93" s="366">
        <v>57.772300000000001</v>
      </c>
      <c r="E93" s="366">
        <v>54.57</v>
      </c>
      <c r="F93" s="366">
        <f t="shared" si="2"/>
        <v>-416.29900000000015</v>
      </c>
      <c r="G93" s="366">
        <f t="shared" si="3"/>
        <v>7510.3990000000003</v>
      </c>
      <c r="H93" s="708">
        <f t="shared" si="4"/>
        <v>-5.5429678236802081E-2</v>
      </c>
      <c r="I93" s="366"/>
      <c r="J93" s="366"/>
      <c r="K93" s="366"/>
      <c r="L93" s="365"/>
      <c r="M93" s="365"/>
    </row>
    <row r="94" spans="1:13" x14ac:dyDescent="0.25">
      <c r="A94" s="365">
        <v>130</v>
      </c>
      <c r="B94" s="624">
        <v>42862</v>
      </c>
      <c r="C94" s="365">
        <v>130</v>
      </c>
      <c r="D94" s="366">
        <v>57.77</v>
      </c>
      <c r="E94" s="366">
        <v>57.32</v>
      </c>
      <c r="F94" s="366">
        <f t="shared" si="2"/>
        <v>-58.500000000000369</v>
      </c>
      <c r="G94" s="366">
        <f t="shared" si="3"/>
        <v>7510.1</v>
      </c>
      <c r="H94" s="708">
        <f t="shared" si="4"/>
        <v>-7.7895101263632128E-3</v>
      </c>
      <c r="I94" s="366"/>
      <c r="J94" s="366"/>
      <c r="K94" s="366"/>
      <c r="L94" s="365"/>
      <c r="M94" s="365"/>
    </row>
    <row r="95" spans="1:13" x14ac:dyDescent="0.25">
      <c r="A95" s="365">
        <v>50</v>
      </c>
      <c r="B95" s="624">
        <v>42864</v>
      </c>
      <c r="C95" s="365">
        <v>50</v>
      </c>
      <c r="D95" s="366">
        <v>57.442</v>
      </c>
      <c r="E95" s="366">
        <v>58.01</v>
      </c>
      <c r="F95" s="366">
        <f t="shared" si="2"/>
        <v>28.399999999999892</v>
      </c>
      <c r="G95" s="366">
        <f t="shared" si="3"/>
        <v>2872.1</v>
      </c>
      <c r="H95" s="708">
        <f t="shared" si="4"/>
        <v>9.8882350893074369E-3</v>
      </c>
      <c r="I95" s="366"/>
      <c r="J95" s="366"/>
      <c r="K95" s="366"/>
      <c r="L95" s="365"/>
      <c r="M95" s="365"/>
    </row>
    <row r="96" spans="1:13" x14ac:dyDescent="0.25">
      <c r="A96" s="365">
        <v>50</v>
      </c>
      <c r="B96" s="624">
        <v>42866</v>
      </c>
      <c r="C96" s="365">
        <v>80</v>
      </c>
      <c r="D96" s="366">
        <v>56.994999999999997</v>
      </c>
      <c r="E96" s="366">
        <v>56.06</v>
      </c>
      <c r="F96" s="366">
        <f t="shared" si="2"/>
        <v>-74.799999999999613</v>
      </c>
      <c r="G96" s="366">
        <f t="shared" si="3"/>
        <v>4559.5999999999995</v>
      </c>
      <c r="H96" s="708">
        <f t="shared" si="4"/>
        <v>-1.6404947802438726E-2</v>
      </c>
      <c r="I96" s="366"/>
      <c r="J96" s="366"/>
      <c r="K96" s="366"/>
      <c r="L96" s="365"/>
      <c r="M96" s="365"/>
    </row>
    <row r="97" spans="1:13" x14ac:dyDescent="0.25">
      <c r="A97" s="365">
        <v>50</v>
      </c>
      <c r="B97" s="624">
        <v>42871</v>
      </c>
      <c r="C97" s="365">
        <v>130</v>
      </c>
      <c r="D97" s="366">
        <v>56.015999999999998</v>
      </c>
      <c r="E97" s="366">
        <v>54.53</v>
      </c>
      <c r="F97" s="366">
        <f t="shared" si="2"/>
        <v>-193.17999999999961</v>
      </c>
      <c r="G97" s="366">
        <f t="shared" si="3"/>
        <v>7282.08</v>
      </c>
      <c r="H97" s="708">
        <f t="shared" si="4"/>
        <v>-2.6528134818623199E-2</v>
      </c>
      <c r="I97" s="366"/>
      <c r="J97" s="366"/>
      <c r="K97" s="366"/>
      <c r="L97" s="365"/>
      <c r="M97" s="365"/>
    </row>
    <row r="98" spans="1:13" x14ac:dyDescent="0.25">
      <c r="A98" s="365">
        <v>80</v>
      </c>
      <c r="B98" s="624">
        <v>42899</v>
      </c>
      <c r="C98" s="365">
        <v>130</v>
      </c>
      <c r="D98" s="366">
        <v>55.646900000000002</v>
      </c>
      <c r="E98" s="366">
        <v>57.38</v>
      </c>
      <c r="F98" s="366">
        <f t="shared" si="2"/>
        <v>225.30300000000005</v>
      </c>
      <c r="G98" s="366">
        <f t="shared" si="3"/>
        <v>7234.0970000000007</v>
      </c>
      <c r="H98" s="708">
        <f t="shared" si="4"/>
        <v>3.1144592061732104E-2</v>
      </c>
      <c r="I98" s="366"/>
      <c r="J98" s="366"/>
      <c r="K98" s="366"/>
      <c r="L98" s="365"/>
      <c r="M98" s="365"/>
    </row>
    <row r="99" spans="1:13" x14ac:dyDescent="0.25">
      <c r="A99" s="365">
        <v>130</v>
      </c>
      <c r="B99" s="624">
        <v>42904</v>
      </c>
      <c r="C99" s="365">
        <v>180</v>
      </c>
      <c r="D99" s="366">
        <v>53.8</v>
      </c>
      <c r="E99" s="366">
        <v>52.61</v>
      </c>
      <c r="F99" s="366">
        <f t="shared" si="2"/>
        <v>-214.19999999999959</v>
      </c>
      <c r="G99" s="366">
        <f t="shared" si="3"/>
        <v>9684</v>
      </c>
      <c r="H99" s="708">
        <f t="shared" si="4"/>
        <v>-2.211895910780665E-2</v>
      </c>
      <c r="I99" s="366"/>
      <c r="J99" s="366"/>
      <c r="K99" s="366"/>
      <c r="L99" s="365"/>
      <c r="M99" s="365"/>
    </row>
    <row r="100" spans="1:13" x14ac:dyDescent="0.25">
      <c r="A100" s="365"/>
      <c r="B100" s="624">
        <v>42943</v>
      </c>
      <c r="C100" s="365">
        <v>180</v>
      </c>
      <c r="D100" s="366">
        <v>53.8</v>
      </c>
      <c r="E100" s="366">
        <v>56.05</v>
      </c>
      <c r="F100" s="366">
        <f t="shared" si="2"/>
        <v>405</v>
      </c>
      <c r="G100" s="366">
        <f t="shared" si="3"/>
        <v>9684</v>
      </c>
      <c r="H100" s="708">
        <f t="shared" si="4"/>
        <v>4.1821561338289966E-2</v>
      </c>
      <c r="I100" s="366"/>
      <c r="J100" s="366"/>
      <c r="K100" s="366"/>
      <c r="L100" s="365"/>
      <c r="M100" s="365"/>
    </row>
    <row r="101" spans="1:13" x14ac:dyDescent="0.25">
      <c r="A101" s="365">
        <v>80</v>
      </c>
      <c r="B101" s="624">
        <v>42955</v>
      </c>
      <c r="C101" s="365">
        <v>80</v>
      </c>
      <c r="D101" s="366">
        <v>47.578000000000003</v>
      </c>
      <c r="E101" s="366">
        <v>58.74</v>
      </c>
      <c r="F101" s="366">
        <f t="shared" si="2"/>
        <v>892.95999999999992</v>
      </c>
      <c r="G101" s="366">
        <f t="shared" si="3"/>
        <v>3806.2400000000002</v>
      </c>
      <c r="H101" s="708">
        <f t="shared" si="4"/>
        <v>0.23460422884526458</v>
      </c>
      <c r="I101" s="366"/>
      <c r="J101" s="366"/>
      <c r="K101" s="366"/>
      <c r="L101" s="365"/>
      <c r="M101" s="365"/>
    </row>
    <row r="102" spans="1:13" x14ac:dyDescent="0.25">
      <c r="A102" s="365">
        <v>80</v>
      </c>
      <c r="B102" s="624">
        <v>42956</v>
      </c>
      <c r="C102" s="365">
        <v>180</v>
      </c>
      <c r="D102" s="366">
        <v>53.09</v>
      </c>
      <c r="E102" s="366">
        <v>57.87</v>
      </c>
      <c r="F102" s="366">
        <f t="shared" si="2"/>
        <v>860.39999999999895</v>
      </c>
      <c r="G102" s="366">
        <f t="shared" si="3"/>
        <v>9556.2000000000007</v>
      </c>
      <c r="H102" s="708">
        <f t="shared" si="4"/>
        <v>9.0035788284045848E-2</v>
      </c>
      <c r="I102" s="366"/>
      <c r="J102" s="366"/>
      <c r="K102" s="366"/>
      <c r="L102" s="365"/>
      <c r="M102" s="365"/>
    </row>
    <row r="103" spans="1:13" x14ac:dyDescent="0.25">
      <c r="A103" s="364">
        <v>42989</v>
      </c>
      <c r="B103" s="624">
        <v>42984</v>
      </c>
      <c r="C103" s="365">
        <v>100</v>
      </c>
      <c r="D103" s="366">
        <v>48.859499999999997</v>
      </c>
      <c r="E103" s="366">
        <v>58.14</v>
      </c>
      <c r="F103" s="366">
        <f t="shared" si="2"/>
        <v>928.05000000000041</v>
      </c>
      <c r="G103" s="366">
        <f t="shared" si="3"/>
        <v>4885.95</v>
      </c>
      <c r="H103" s="708">
        <f t="shared" si="4"/>
        <v>0.18994259048905543</v>
      </c>
      <c r="I103" s="366"/>
      <c r="J103" s="366"/>
      <c r="K103" s="366"/>
      <c r="L103" s="365"/>
      <c r="M103" s="365"/>
    </row>
    <row r="104" spans="1:13" x14ac:dyDescent="0.25">
      <c r="A104" s="365"/>
      <c r="B104" s="624"/>
      <c r="C104" s="365"/>
      <c r="D104" s="366"/>
      <c r="E104" s="366"/>
      <c r="F104" s="366"/>
      <c r="G104" s="365"/>
      <c r="H104" s="365"/>
      <c r="I104" s="366"/>
      <c r="J104" s="366"/>
      <c r="K104" s="366"/>
      <c r="L104" s="365"/>
      <c r="M104" s="365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6"/>
      <c r="L105" s="365"/>
      <c r="M105" s="365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6"/>
      <c r="L106" s="365"/>
      <c r="M106" s="365"/>
    </row>
    <row r="107" spans="1:13" x14ac:dyDescent="0.25">
      <c r="A107" s="365"/>
      <c r="B107" s="624"/>
      <c r="C107" s="365"/>
      <c r="D107" s="366"/>
      <c r="E107" s="366"/>
      <c r="F107" s="366"/>
      <c r="G107" s="365"/>
      <c r="H107" s="708"/>
      <c r="I107" s="366"/>
      <c r="J107" s="366"/>
      <c r="K107" s="366"/>
      <c r="L107" s="365"/>
      <c r="M107" s="365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6"/>
      <c r="L108" s="365"/>
      <c r="M108" s="365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6"/>
      <c r="L109" s="365"/>
      <c r="M109" s="365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6"/>
      <c r="L110" s="365"/>
      <c r="M110" s="365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6"/>
      <c r="L111" s="365"/>
      <c r="M111" s="365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6"/>
      <c r="L112" s="365"/>
      <c r="M112" s="365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6"/>
      <c r="L113" s="365"/>
      <c r="M113" s="365"/>
    </row>
    <row r="114" spans="1:13" x14ac:dyDescent="0.25">
      <c r="A114" s="365"/>
      <c r="B114" s="624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624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624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33" priority="80">
      <formula>Q7&gt;0</formula>
    </cfRule>
    <cfRule type="expression" dxfId="532" priority="81">
      <formula>Q7&lt;0</formula>
    </cfRule>
  </conditionalFormatting>
  <conditionalFormatting sqref="Q8">
    <cfRule type="expression" dxfId="531" priority="78">
      <formula>Q8&gt;0</formula>
    </cfRule>
    <cfRule type="expression" dxfId="530" priority="79">
      <formula>Q8&lt;0</formula>
    </cfRule>
  </conditionalFormatting>
  <conditionalFormatting sqref="F29:F43">
    <cfRule type="expression" dxfId="529" priority="62">
      <formula>F29&gt;0</formula>
    </cfRule>
    <cfRule type="expression" dxfId="528" priority="63">
      <formula>F29&lt;0</formula>
    </cfRule>
  </conditionalFormatting>
  <conditionalFormatting sqref="H45 H47:H48 H50:H51 H53 H29:H43">
    <cfRule type="expression" dxfId="527" priority="60">
      <formula>H29&gt;0</formula>
    </cfRule>
    <cfRule type="expression" dxfId="526" priority="61">
      <formula>H29&lt;0</formula>
    </cfRule>
  </conditionalFormatting>
  <conditionalFormatting sqref="J35">
    <cfRule type="expression" dxfId="525" priority="56">
      <formula>J35&gt;0</formula>
    </cfRule>
    <cfRule type="expression" dxfId="524" priority="57">
      <formula>J35&lt;0</formula>
    </cfRule>
  </conditionalFormatting>
  <conditionalFormatting sqref="J36:J37">
    <cfRule type="expression" dxfId="523" priority="54">
      <formula>J36&gt;0</formula>
    </cfRule>
    <cfRule type="expression" dxfId="522" priority="55">
      <formula>J36&lt;0</formula>
    </cfRule>
  </conditionalFormatting>
  <conditionalFormatting sqref="J38:J45 J48 J51">
    <cfRule type="expression" dxfId="521" priority="52">
      <formula>J38&gt;0</formula>
    </cfRule>
    <cfRule type="expression" dxfId="520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9" priority="49">
      <formula>M59&gt;0</formula>
    </cfRule>
    <cfRule type="expression" dxfId="518" priority="50">
      <formula>M59&lt;0</formula>
    </cfRule>
  </conditionalFormatting>
  <conditionalFormatting sqref="Q10">
    <cfRule type="expression" dxfId="517" priority="47">
      <formula>Q10&gt;0</formula>
    </cfRule>
    <cfRule type="expression" dxfId="516" priority="48">
      <formula>Q10&lt;0</formula>
    </cfRule>
  </conditionalFormatting>
  <conditionalFormatting sqref="F84:F103">
    <cfRule type="expression" dxfId="515" priority="45">
      <formula>F84&gt;0</formula>
    </cfRule>
    <cfRule type="expression" dxfId="514" priority="46">
      <formula>F84&lt;0</formula>
    </cfRule>
  </conditionalFormatting>
  <conditionalFormatting sqref="H107 H84:H103">
    <cfRule type="expression" dxfId="513" priority="43">
      <formula>H84&gt;0</formula>
    </cfRule>
    <cfRule type="expression" dxfId="512" priority="44">
      <formula>H84&lt;0</formula>
    </cfRule>
  </conditionalFormatting>
  <conditionalFormatting sqref="J89">
    <cfRule type="expression" dxfId="511" priority="41">
      <formula>J89&gt;0</formula>
    </cfRule>
    <cfRule type="expression" dxfId="510" priority="42">
      <formula>J89&lt;0</formula>
    </cfRule>
  </conditionalFormatting>
  <conditionalFormatting sqref="J90:J95">
    <cfRule type="expression" dxfId="509" priority="39">
      <formula>J90&gt;0</formula>
    </cfRule>
    <cfRule type="expression" dxfId="508" priority="40">
      <formula>J90&lt;0</formula>
    </cfRule>
  </conditionalFormatting>
  <conditionalFormatting sqref="J96:J97">
    <cfRule type="expression" dxfId="507" priority="37">
      <formula>J96&gt;0</formula>
    </cfRule>
    <cfRule type="expression" dxfId="506" priority="38">
      <formula>J96&lt;0</formula>
    </cfRule>
  </conditionalFormatting>
  <conditionalFormatting sqref="J98:J104">
    <cfRule type="expression" dxfId="505" priority="35">
      <formula>J98&gt;0</formula>
    </cfRule>
    <cfRule type="expression" dxfId="504" priority="36">
      <formula>J98&lt;0</formula>
    </cfRule>
  </conditionalFormatting>
  <conditionalFormatting sqref="J25">
    <cfRule type="expression" dxfId="503" priority="31">
      <formula>J25&gt;0</formula>
    </cfRule>
    <cfRule type="expression" dxfId="502" priority="32">
      <formula>J25&lt;0</formula>
    </cfRule>
  </conditionalFormatting>
  <conditionalFormatting sqref="F105:F106">
    <cfRule type="expression" dxfId="501" priority="29">
      <formula>F105&gt;0</formula>
    </cfRule>
    <cfRule type="expression" dxfId="500" priority="30">
      <formula>F105&lt;0</formula>
    </cfRule>
  </conditionalFormatting>
  <conditionalFormatting sqref="H105:H106">
    <cfRule type="expression" dxfId="499" priority="27">
      <formula>H105&gt;0</formula>
    </cfRule>
    <cfRule type="expression" dxfId="498" priority="28">
      <formula>H105&lt;0</formula>
    </cfRule>
  </conditionalFormatting>
  <conditionalFormatting sqref="J105">
    <cfRule type="expression" dxfId="497" priority="25">
      <formula>J105&gt;0</formula>
    </cfRule>
    <cfRule type="expression" dxfId="496" priority="26">
      <formula>J105&lt;0</formula>
    </cfRule>
  </conditionalFormatting>
  <conditionalFormatting sqref="J106">
    <cfRule type="expression" dxfId="495" priority="23">
      <formula>J106&gt;0</formula>
    </cfRule>
    <cfRule type="expression" dxfId="494" priority="24">
      <formula>J106&lt;0</formula>
    </cfRule>
  </conditionalFormatting>
  <conditionalFormatting sqref="F24 F27:F28">
    <cfRule type="expression" dxfId="493" priority="21">
      <formula>F24&gt;0</formula>
    </cfRule>
    <cfRule type="expression" dxfId="492" priority="22">
      <formula>F24&lt;0</formula>
    </cfRule>
  </conditionalFormatting>
  <conditionalFormatting sqref="H24:H28">
    <cfRule type="expression" dxfId="491" priority="19">
      <formula>H24&gt;0</formula>
    </cfRule>
    <cfRule type="expression" dxfId="490" priority="20">
      <formula>H24&lt;0</formula>
    </cfRule>
  </conditionalFormatting>
  <conditionalFormatting sqref="J26:J34">
    <cfRule type="expression" dxfId="489" priority="17">
      <formula>J26&gt;0</formula>
    </cfRule>
    <cfRule type="expression" dxfId="488" priority="18">
      <formula>J26&lt;0</formula>
    </cfRule>
  </conditionalFormatting>
  <conditionalFormatting sqref="F113">
    <cfRule type="expression" dxfId="487" priority="15">
      <formula>F113&gt;0</formula>
    </cfRule>
    <cfRule type="expression" dxfId="486" priority="16">
      <formula>F113&lt;0</formula>
    </cfRule>
  </conditionalFormatting>
  <conditionalFormatting sqref="H113">
    <cfRule type="expression" dxfId="485" priority="13">
      <formula>H113&gt;0</formula>
    </cfRule>
    <cfRule type="expression" dxfId="484" priority="14">
      <formula>H113&lt;0</formula>
    </cfRule>
  </conditionalFormatting>
  <conditionalFormatting sqref="J109">
    <cfRule type="expression" dxfId="483" priority="11">
      <formula>J109&gt;0</formula>
    </cfRule>
    <cfRule type="expression" dxfId="482" priority="12">
      <formula>J109&lt;0</formula>
    </cfRule>
  </conditionalFormatting>
  <conditionalFormatting sqref="F108:F112">
    <cfRule type="expression" dxfId="481" priority="9">
      <formula>F108&gt;0</formula>
    </cfRule>
    <cfRule type="expression" dxfId="480" priority="10">
      <formula>F108&lt;0</formula>
    </cfRule>
  </conditionalFormatting>
  <conditionalFormatting sqref="H108:H112">
    <cfRule type="expression" dxfId="479" priority="7">
      <formula>H108&gt;0</formula>
    </cfRule>
    <cfRule type="expression" dxfId="478" priority="8">
      <formula>H108&lt;0</formula>
    </cfRule>
  </conditionalFormatting>
  <conditionalFormatting sqref="J110:J113">
    <cfRule type="expression" dxfId="477" priority="5">
      <formula>J110&gt;0</formula>
    </cfRule>
    <cfRule type="expression" dxfId="476" priority="6">
      <formula>J110&lt;0</formula>
    </cfRule>
  </conditionalFormatting>
  <conditionalFormatting sqref="F25:F26">
    <cfRule type="expression" dxfId="475" priority="3">
      <formula>F25&gt;0</formula>
    </cfRule>
    <cfRule type="expression" dxfId="474" priority="4">
      <formula>F25&lt;0</formula>
    </cfRule>
  </conditionalFormatting>
  <conditionalFormatting sqref="Q9">
    <cfRule type="expression" dxfId="473" priority="1">
      <formula>Q9&gt;0</formula>
    </cfRule>
    <cfRule type="expression" dxfId="472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7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7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7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7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4">
        <f>IF(Q2=0, Q4, (F21-K21-M21)/Q2)</f>
        <v>34.415789473684185</v>
      </c>
      <c r="T3" s="1">
        <v>42312</v>
      </c>
      <c r="U3" t="s">
        <v>148</v>
      </c>
      <c r="Z3" s="228"/>
      <c r="AC3" s="228"/>
    </row>
    <row r="4" spans="1:29" x14ac:dyDescent="0.25">
      <c r="B4" s="437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7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5">
        <v>27.229900000000001</v>
      </c>
      <c r="R4" s="226">
        <v>-5.1000000000000004E-3</v>
      </c>
      <c r="T4" s="1">
        <v>43096</v>
      </c>
      <c r="U4" t="s">
        <v>803</v>
      </c>
    </row>
    <row r="5" spans="1:29" x14ac:dyDescent="0.25">
      <c r="B5" s="43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7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10347.362000000001</v>
      </c>
      <c r="U5" t="s">
        <v>804</v>
      </c>
    </row>
    <row r="6" spans="1:29" x14ac:dyDescent="0.25">
      <c r="B6" s="437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7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13077.999999999991</v>
      </c>
      <c r="U6" t="s">
        <v>805</v>
      </c>
    </row>
    <row r="7" spans="1:29" x14ac:dyDescent="0.25">
      <c r="B7" s="437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7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-2655.6179999999881</v>
      </c>
      <c r="R7">
        <v>160</v>
      </c>
      <c r="U7" t="s">
        <v>806</v>
      </c>
    </row>
    <row r="8" spans="1:29" x14ac:dyDescent="0.25">
      <c r="B8" s="437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7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-2730.6379999999881</v>
      </c>
      <c r="U8" t="s">
        <v>807</v>
      </c>
    </row>
    <row r="9" spans="1:29" x14ac:dyDescent="0.25">
      <c r="B9" s="437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7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-0.20879629912830633</v>
      </c>
    </row>
    <row r="10" spans="1:29" x14ac:dyDescent="0.25">
      <c r="B10" s="437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854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3.3786389226548759E-2</v>
      </c>
      <c r="R11">
        <f>0.23</f>
        <v>0.23</v>
      </c>
      <c r="U11" t="s">
        <v>856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O12" s="11" t="s">
        <v>968</v>
      </c>
      <c r="T12" s="1">
        <v>43110</v>
      </c>
      <c r="U12" t="s">
        <v>885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O13" s="11" t="s">
        <v>997</v>
      </c>
      <c r="T13" s="1">
        <v>43112</v>
      </c>
      <c r="U13" t="s">
        <v>881</v>
      </c>
    </row>
    <row r="14" spans="1:29" x14ac:dyDescent="0.25">
      <c r="B14" s="437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882</v>
      </c>
    </row>
    <row r="15" spans="1:29" x14ac:dyDescent="0.25">
      <c r="B15" s="477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78" t="s">
        <v>884</v>
      </c>
    </row>
    <row r="16" spans="1:29" x14ac:dyDescent="0.25">
      <c r="B16" s="477">
        <v>43186</v>
      </c>
      <c r="C16" s="7">
        <v>120</v>
      </c>
      <c r="D16" s="43">
        <v>24.68</v>
      </c>
      <c r="E16" s="43">
        <v>0</v>
      </c>
      <c r="F16" s="43">
        <f>C16*D16</f>
        <v>2961.6</v>
      </c>
    </row>
    <row r="17" spans="1:21" x14ac:dyDescent="0.25">
      <c r="T17" s="1">
        <v>43120</v>
      </c>
      <c r="U17" t="s">
        <v>921</v>
      </c>
    </row>
    <row r="18" spans="1:21" ht="20.25" thickBot="1" x14ac:dyDescent="0.35">
      <c r="O18" s="239" t="s">
        <v>78</v>
      </c>
      <c r="P18" s="239"/>
    </row>
    <row r="19" spans="1:21" ht="15.75" thickTop="1" x14ac:dyDescent="0.25">
      <c r="O19" s="81">
        <v>1.1000000000000001</v>
      </c>
      <c r="P19" s="81">
        <f>O19*$Q$4</f>
        <v>29.952890000000004</v>
      </c>
      <c r="T19" s="1">
        <v>43125</v>
      </c>
      <c r="U19" t="s">
        <v>936</v>
      </c>
    </row>
    <row r="20" spans="1:21" x14ac:dyDescent="0.25">
      <c r="O20" s="81">
        <v>1.0900000000000001</v>
      </c>
      <c r="P20" s="81">
        <f t="shared" ref="P20:P39" si="3">O20*$Q$4</f>
        <v>29.680591000000003</v>
      </c>
      <c r="T20" s="1">
        <v>43126</v>
      </c>
      <c r="U20" t="s">
        <v>934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7">
        <f>SUM(H2:H20)</f>
        <v>800</v>
      </c>
      <c r="I21" s="37"/>
      <c r="J21" s="37"/>
      <c r="K21" s="37">
        <f>SUM(K2:K20)</f>
        <v>22808.3</v>
      </c>
      <c r="L21" s="37"/>
      <c r="M21" s="37">
        <f>SUM(M2:M3)</f>
        <v>179.4</v>
      </c>
      <c r="O21" s="81">
        <v>1.08</v>
      </c>
      <c r="P21" s="81">
        <f t="shared" si="3"/>
        <v>29.408292000000003</v>
      </c>
      <c r="U21" t="s">
        <v>935</v>
      </c>
    </row>
    <row r="22" spans="1:21" ht="15.75" thickBot="1" x14ac:dyDescent="0.3">
      <c r="A22" s="344" t="s">
        <v>194</v>
      </c>
      <c r="B22" s="345"/>
      <c r="C22" s="346">
        <f>SumByColor($A$22,C2:C20)</f>
        <v>760</v>
      </c>
      <c r="D22" s="346"/>
      <c r="E22" s="346"/>
      <c r="F22" s="347">
        <f>SumByColor($A$22,F2:F21)</f>
        <v>21382</v>
      </c>
      <c r="G22" s="346"/>
      <c r="H22" s="346">
        <f>SumByColor($A$22,H2:H20)</f>
        <v>800</v>
      </c>
      <c r="I22" s="346"/>
      <c r="J22" s="346"/>
      <c r="K22" s="347">
        <f>SumByColor($A$22,K2:K20)</f>
        <v>22809</v>
      </c>
      <c r="L22" s="346"/>
      <c r="M22" s="347">
        <f>SumByColor($A$22,M2:M20)</f>
        <v>179</v>
      </c>
      <c r="O22" s="81">
        <v>1.07</v>
      </c>
      <c r="P22" s="81">
        <f t="shared" si="3"/>
        <v>29.135993000000003</v>
      </c>
    </row>
    <row r="23" spans="1:21" x14ac:dyDescent="0.25">
      <c r="O23" s="81">
        <v>1.06</v>
      </c>
      <c r="P23" s="81">
        <f t="shared" si="3"/>
        <v>28.863694000000002</v>
      </c>
      <c r="T23" s="1">
        <v>43128</v>
      </c>
      <c r="U23" t="s">
        <v>937</v>
      </c>
    </row>
    <row r="24" spans="1:2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J24" s="189" t="s">
        <v>504</v>
      </c>
      <c r="K24" s="189" t="s">
        <v>150</v>
      </c>
      <c r="O24" s="81">
        <v>1.05</v>
      </c>
      <c r="P24" s="81">
        <f t="shared" si="3"/>
        <v>28.591395000000002</v>
      </c>
    </row>
    <row r="25" spans="1:21" x14ac:dyDescent="0.25">
      <c r="B25" s="187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5">
        <f t="shared" ref="H25:H39" si="6">(E25-D25)/D25</f>
        <v>-4.891062694530878E-3</v>
      </c>
      <c r="I25" s="225"/>
      <c r="J25" s="225"/>
      <c r="K25" s="225"/>
      <c r="O25" s="81">
        <v>1.04</v>
      </c>
      <c r="P25" s="81">
        <f t="shared" si="3"/>
        <v>28.319096000000002</v>
      </c>
    </row>
    <row r="26" spans="1:21" x14ac:dyDescent="0.25">
      <c r="B26" s="187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5">
        <f t="shared" si="6"/>
        <v>-1.3617557607474486E-2</v>
      </c>
      <c r="I26" s="225"/>
      <c r="J26" s="225"/>
      <c r="K26" s="225"/>
      <c r="O26" s="81">
        <v>1.03</v>
      </c>
      <c r="P26" s="81">
        <f t="shared" si="3"/>
        <v>28.046797000000002</v>
      </c>
    </row>
    <row r="27" spans="1:21" x14ac:dyDescent="0.25">
      <c r="B27" s="187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5">
        <f t="shared" si="6"/>
        <v>-5.2890191887917763E-2</v>
      </c>
      <c r="I27" s="225"/>
      <c r="J27" s="225"/>
      <c r="K27" s="225"/>
      <c r="O27" s="81">
        <v>1.02</v>
      </c>
      <c r="P27" s="81">
        <f t="shared" si="3"/>
        <v>27.774498000000001</v>
      </c>
    </row>
    <row r="28" spans="1:21" x14ac:dyDescent="0.25">
      <c r="B28" s="187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5">
        <f t="shared" si="6"/>
        <v>-5.0005883045064127E-2</v>
      </c>
      <c r="I28" s="225"/>
      <c r="J28" s="225"/>
      <c r="K28" s="225"/>
      <c r="O28" s="81">
        <v>1.01</v>
      </c>
      <c r="P28" s="81">
        <f t="shared" si="3"/>
        <v>27.502199000000001</v>
      </c>
      <c r="T28" s="779">
        <v>43136</v>
      </c>
      <c r="U28" t="s">
        <v>883</v>
      </c>
    </row>
    <row r="29" spans="1:21" x14ac:dyDescent="0.25">
      <c r="B29" s="187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6">
        <f t="shared" si="6"/>
        <v>-0.21726942263126708</v>
      </c>
      <c r="I29" s="226"/>
      <c r="J29" s="226"/>
      <c r="K29" s="226"/>
      <c r="O29" s="81">
        <v>1</v>
      </c>
      <c r="P29" s="81">
        <f t="shared" si="3"/>
        <v>27.229900000000001</v>
      </c>
    </row>
    <row r="30" spans="1:21" x14ac:dyDescent="0.25">
      <c r="B30" s="187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6">
        <f t="shared" si="6"/>
        <v>-0.12551002457197663</v>
      </c>
      <c r="I30" s="226"/>
      <c r="J30" s="226"/>
      <c r="K30" s="226"/>
      <c r="O30" s="81">
        <v>0.99</v>
      </c>
      <c r="P30" s="81">
        <f t="shared" si="3"/>
        <v>26.957601</v>
      </c>
      <c r="T30" s="1">
        <v>43175</v>
      </c>
      <c r="U30" t="s">
        <v>980</v>
      </c>
    </row>
    <row r="31" spans="1:21" x14ac:dyDescent="0.25">
      <c r="B31" s="187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6">
        <f t="shared" si="6"/>
        <v>-0.14185792828991003</v>
      </c>
      <c r="I31" s="226"/>
      <c r="J31" s="226"/>
      <c r="K31" s="226"/>
      <c r="O31" s="81">
        <v>0.98</v>
      </c>
      <c r="P31" s="81">
        <f t="shared" si="3"/>
        <v>26.685302</v>
      </c>
      <c r="T31" s="1">
        <v>43178</v>
      </c>
      <c r="U31" t="s">
        <v>984</v>
      </c>
    </row>
    <row r="32" spans="1:21" x14ac:dyDescent="0.25">
      <c r="B32" s="187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6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26.413003</v>
      </c>
    </row>
    <row r="33" spans="1:18" x14ac:dyDescent="0.25">
      <c r="B33" s="187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6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26.140703999999999</v>
      </c>
    </row>
    <row r="34" spans="1:18" x14ac:dyDescent="0.25">
      <c r="A34">
        <v>0</v>
      </c>
      <c r="B34" s="187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6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25.868404999999999</v>
      </c>
    </row>
    <row r="35" spans="1:18" x14ac:dyDescent="0.25">
      <c r="B35" s="187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6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25.596105999999999</v>
      </c>
    </row>
    <row r="36" spans="1:18" x14ac:dyDescent="0.25">
      <c r="A36">
        <v>440</v>
      </c>
      <c r="B36" s="187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6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25.323807000000002</v>
      </c>
    </row>
    <row r="37" spans="1:18" x14ac:dyDescent="0.25">
      <c r="A37">
        <v>440</v>
      </c>
      <c r="B37" s="187">
        <v>43089</v>
      </c>
      <c r="C37" s="468">
        <v>500</v>
      </c>
      <c r="D37" s="470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6">
        <f t="shared" si="6"/>
        <v>-0.12343314763231192</v>
      </c>
      <c r="I37" s="39" t="s">
        <v>796</v>
      </c>
      <c r="J37" s="39"/>
      <c r="K37" s="39"/>
      <c r="O37" s="81">
        <v>0.92</v>
      </c>
      <c r="P37" s="81">
        <f t="shared" si="3"/>
        <v>25.051508000000002</v>
      </c>
    </row>
    <row r="38" spans="1:18" x14ac:dyDescent="0.25">
      <c r="A38">
        <v>320</v>
      </c>
      <c r="B38" s="187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6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24.779209000000002</v>
      </c>
    </row>
    <row r="39" spans="1:18" x14ac:dyDescent="0.25">
      <c r="A39">
        <v>260</v>
      </c>
      <c r="B39" s="187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6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24.506910000000001</v>
      </c>
    </row>
    <row r="40" spans="1:18" x14ac:dyDescent="0.25">
      <c r="A40">
        <v>260</v>
      </c>
      <c r="B40" s="187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6">
        <f t="shared" ref="H40" si="9">(E40-D40)/D40</f>
        <v>-0.1291858174655286</v>
      </c>
      <c r="I40" s="39"/>
      <c r="J40" s="39">
        <v>55.37</v>
      </c>
      <c r="K40" s="39"/>
      <c r="L40" s="2" t="s">
        <v>855</v>
      </c>
    </row>
    <row r="41" spans="1:18" x14ac:dyDescent="0.25">
      <c r="A41">
        <v>260</v>
      </c>
      <c r="B41" s="187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6">
        <f t="shared" ref="H41:H44" si="12">(E41-D41)/D41</f>
        <v>-0.14778945064565555</v>
      </c>
      <c r="I41" s="39"/>
      <c r="J41" s="39">
        <v>57.27</v>
      </c>
      <c r="K41" s="39"/>
      <c r="L41" s="2" t="s">
        <v>880</v>
      </c>
      <c r="O41" s="33"/>
      <c r="R41" s="33"/>
    </row>
    <row r="42" spans="1:18" x14ac:dyDescent="0.25">
      <c r="A42">
        <v>320</v>
      </c>
      <c r="B42" s="187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6">
        <f t="shared" si="12"/>
        <v>-0.23409851450304389</v>
      </c>
      <c r="I42" s="39"/>
      <c r="J42" s="39"/>
      <c r="K42" s="39"/>
      <c r="Q42" s="33"/>
      <c r="R42" s="33"/>
    </row>
    <row r="43" spans="1:18" x14ac:dyDescent="0.25">
      <c r="A43">
        <v>140</v>
      </c>
      <c r="B43" s="187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6">
        <f t="shared" si="12"/>
        <v>-0.30159603742432589</v>
      </c>
      <c r="I43" s="39"/>
      <c r="J43" s="39"/>
      <c r="K43" s="39"/>
      <c r="Q43" s="33"/>
      <c r="R43" s="33"/>
    </row>
    <row r="44" spans="1:18" x14ac:dyDescent="0.25">
      <c r="A44">
        <v>100</v>
      </c>
      <c r="B44" s="187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6">
        <f t="shared" si="12"/>
        <v>-0.30214455917394761</v>
      </c>
      <c r="I44" s="39">
        <v>37</v>
      </c>
      <c r="J44" s="39"/>
      <c r="K44" s="39"/>
      <c r="Q44" s="33"/>
      <c r="R44" s="33"/>
    </row>
    <row r="45" spans="1:18" x14ac:dyDescent="0.25">
      <c r="A45">
        <v>100</v>
      </c>
      <c r="B45" s="187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6">
        <f t="shared" ref="H45" si="15">(E45-D45)/D45</f>
        <v>-0.26899655811490608</v>
      </c>
      <c r="I45" s="39"/>
      <c r="J45" s="39"/>
      <c r="K45" s="39"/>
      <c r="Q45" s="33"/>
      <c r="R45" s="33"/>
    </row>
    <row r="46" spans="1:18" x14ac:dyDescent="0.25">
      <c r="A46">
        <v>280</v>
      </c>
      <c r="B46" s="187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6">
        <f t="shared" ref="H46" si="18">(E46-D46)/D46</f>
        <v>-0.28620598358485572</v>
      </c>
      <c r="I46" s="39"/>
      <c r="J46" s="39"/>
      <c r="K46" s="39"/>
      <c r="Q46" s="81"/>
      <c r="R46" s="33"/>
    </row>
    <row r="47" spans="1:18" x14ac:dyDescent="0.25">
      <c r="B47" s="187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6">
        <f t="shared" ref="H47:H50" si="21">(E47-D47)/D47</f>
        <v>-0.24278527932221342</v>
      </c>
      <c r="I47" s="39"/>
      <c r="J47" s="39"/>
      <c r="K47" s="39">
        <v>-2491</v>
      </c>
      <c r="Q47" s="81"/>
      <c r="R47" s="33"/>
    </row>
    <row r="48" spans="1:18" x14ac:dyDescent="0.25">
      <c r="B48" s="187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6">
        <f t="shared" si="21"/>
        <v>-0.22862078894327667</v>
      </c>
      <c r="I48" s="39"/>
      <c r="J48" s="39"/>
      <c r="K48" s="39"/>
      <c r="Q48" s="81"/>
      <c r="R48" s="33"/>
    </row>
    <row r="49" spans="1:18" x14ac:dyDescent="0.25">
      <c r="B49" s="187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6">
        <f t="shared" si="21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7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6">
        <f t="shared" si="21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7">
        <v>43194</v>
      </c>
      <c r="C51" s="10">
        <v>380</v>
      </c>
      <c r="D51" s="39">
        <v>34.42</v>
      </c>
      <c r="E51" s="39">
        <v>25.67</v>
      </c>
      <c r="F51" s="39">
        <f t="shared" ref="F51" si="22">C51*(E51-D51)</f>
        <v>-3325</v>
      </c>
      <c r="G51" s="39">
        <f t="shared" ref="G51" si="23">D51*C51</f>
        <v>13079.6</v>
      </c>
      <c r="H51" s="226">
        <f t="shared" ref="H51" si="24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B52" s="187"/>
      <c r="C52" s="10"/>
      <c r="D52" s="39"/>
      <c r="E52" s="39"/>
      <c r="F52" s="39"/>
      <c r="G52" s="39"/>
      <c r="H52" s="226"/>
      <c r="I52" s="39"/>
      <c r="J52" s="39"/>
      <c r="K52" s="39"/>
      <c r="Q52" s="81"/>
      <c r="R52" s="33"/>
    </row>
    <row r="53" spans="1:18" x14ac:dyDescent="0.25">
      <c r="B53" s="187"/>
      <c r="C53" s="10"/>
      <c r="D53" s="39"/>
      <c r="E53" s="39"/>
      <c r="F53" s="39"/>
      <c r="G53" s="39"/>
      <c r="H53" s="226"/>
      <c r="I53" s="39"/>
      <c r="J53" s="39"/>
      <c r="K53" s="39"/>
      <c r="Q53" s="81"/>
      <c r="R53" s="33"/>
    </row>
    <row r="54" spans="1:18" x14ac:dyDescent="0.25">
      <c r="B54" s="187"/>
      <c r="C54" s="10"/>
      <c r="D54" s="39"/>
      <c r="E54" s="39"/>
      <c r="F54" s="39"/>
      <c r="G54" s="39"/>
      <c r="H54" s="226"/>
      <c r="I54" s="39"/>
      <c r="J54" s="39"/>
      <c r="K54" s="39"/>
      <c r="Q54" s="81"/>
      <c r="R54" s="33"/>
    </row>
    <row r="55" spans="1:18" x14ac:dyDescent="0.25">
      <c r="B55" s="187"/>
      <c r="C55" s="10"/>
      <c r="D55" s="39"/>
      <c r="E55" s="39"/>
      <c r="F55" s="39"/>
      <c r="G55" s="39"/>
      <c r="H55" s="226"/>
      <c r="I55" s="39"/>
      <c r="J55" s="39"/>
      <c r="K55" s="39"/>
      <c r="Q55" s="81"/>
    </row>
    <row r="56" spans="1:18" x14ac:dyDescent="0.25">
      <c r="B56" s="187"/>
      <c r="C56" s="10"/>
      <c r="D56" s="39"/>
      <c r="E56" s="39"/>
      <c r="F56" s="39"/>
      <c r="G56" s="39"/>
      <c r="H56" s="226"/>
      <c r="I56" s="39"/>
      <c r="J56" s="39"/>
      <c r="K56" s="39"/>
      <c r="Q56" s="81"/>
    </row>
    <row r="57" spans="1:18" x14ac:dyDescent="0.25">
      <c r="B57" s="187"/>
      <c r="C57" s="10"/>
      <c r="D57" s="39"/>
      <c r="E57" s="39"/>
      <c r="F57" s="39"/>
      <c r="G57" s="39"/>
      <c r="H57" s="226"/>
      <c r="I57" s="39"/>
      <c r="J57" s="39"/>
      <c r="K57" s="39"/>
      <c r="Q57" s="81"/>
    </row>
    <row r="58" spans="1:18" x14ac:dyDescent="0.25">
      <c r="B58" s="187"/>
      <c r="C58" s="10"/>
      <c r="D58" s="39"/>
      <c r="E58" s="39"/>
      <c r="F58" s="39"/>
      <c r="G58" s="39"/>
      <c r="H58" s="226"/>
      <c r="I58" s="39"/>
      <c r="J58" s="39"/>
      <c r="K58" s="39"/>
      <c r="Q58" s="81"/>
    </row>
    <row r="59" spans="1:18" x14ac:dyDescent="0.25">
      <c r="B59" s="187"/>
      <c r="C59" s="10"/>
      <c r="D59" s="39"/>
      <c r="E59" s="39"/>
      <c r="F59" s="39"/>
      <c r="G59" s="39"/>
      <c r="H59" s="226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7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1" t="s">
        <v>1</v>
      </c>
      <c r="B62" s="371" t="s">
        <v>2</v>
      </c>
      <c r="C62" s="371" t="s">
        <v>4</v>
      </c>
      <c r="D62" s="373" t="s">
        <v>5</v>
      </c>
      <c r="E62" s="373" t="s">
        <v>94</v>
      </c>
      <c r="F62" s="373" t="s">
        <v>60</v>
      </c>
      <c r="G62" s="371" t="s">
        <v>3</v>
      </c>
      <c r="H62" s="371" t="s">
        <v>6</v>
      </c>
      <c r="I62" s="373" t="s">
        <v>7</v>
      </c>
      <c r="J62" s="373" t="s">
        <v>95</v>
      </c>
      <c r="K62" s="373" t="s">
        <v>61</v>
      </c>
      <c r="L62" s="371" t="s">
        <v>77</v>
      </c>
      <c r="M62" s="371" t="s">
        <v>38</v>
      </c>
      <c r="Q62" s="81"/>
    </row>
    <row r="63" spans="1:18" x14ac:dyDescent="0.25">
      <c r="A63" s="374" t="s">
        <v>174</v>
      </c>
      <c r="B63" s="364">
        <v>42376</v>
      </c>
      <c r="C63" s="365">
        <v>60</v>
      </c>
      <c r="D63" s="366">
        <v>41.01</v>
      </c>
      <c r="E63" s="366">
        <v>0</v>
      </c>
      <c r="F63" s="366">
        <f>C63*D63</f>
        <v>2460.6</v>
      </c>
      <c r="G63" s="364">
        <v>42426</v>
      </c>
      <c r="H63" s="369">
        <v>20</v>
      </c>
      <c r="I63" s="366">
        <v>38.450000000000003</v>
      </c>
      <c r="J63" s="366">
        <v>0.02</v>
      </c>
      <c r="K63" s="366">
        <f>H63*I63-J63</f>
        <v>768.98</v>
      </c>
      <c r="L63" s="364">
        <v>42444</v>
      </c>
      <c r="M63" s="366">
        <v>15.2</v>
      </c>
      <c r="Q63" s="81"/>
    </row>
    <row r="64" spans="1:18" x14ac:dyDescent="0.25">
      <c r="A64" s="375" t="s">
        <v>71</v>
      </c>
      <c r="B64" s="364">
        <v>42403</v>
      </c>
      <c r="C64" s="365">
        <v>20</v>
      </c>
      <c r="D64" s="366">
        <v>35.5</v>
      </c>
      <c r="E64" s="366">
        <v>0</v>
      </c>
      <c r="F64" s="366">
        <f>C64*D64</f>
        <v>710</v>
      </c>
      <c r="G64" s="364">
        <v>42426</v>
      </c>
      <c r="H64" s="369">
        <v>30</v>
      </c>
      <c r="I64" s="366">
        <v>38.75</v>
      </c>
      <c r="J64" s="366">
        <v>0.03</v>
      </c>
      <c r="K64" s="366">
        <f>H64*I64-J64</f>
        <v>1162.47</v>
      </c>
      <c r="L64" s="365"/>
      <c r="M64" s="365"/>
      <c r="O64" s="33"/>
    </row>
    <row r="65" spans="1:15" x14ac:dyDescent="0.25">
      <c r="A65" s="365"/>
      <c r="B65" s="365"/>
      <c r="C65" s="365"/>
      <c r="D65" s="366"/>
      <c r="E65" s="366"/>
      <c r="F65" s="366"/>
      <c r="G65" s="364">
        <v>42447</v>
      </c>
      <c r="H65" s="369">
        <v>30</v>
      </c>
      <c r="I65" s="366">
        <v>43.3</v>
      </c>
      <c r="J65" s="366">
        <v>0.03</v>
      </c>
      <c r="K65" s="366">
        <f>H65*I65-J65</f>
        <v>1298.97</v>
      </c>
      <c r="L65" s="365"/>
      <c r="M65" s="365"/>
    </row>
    <row r="66" spans="1:15" x14ac:dyDescent="0.25">
      <c r="A66" s="365"/>
      <c r="B66" s="365"/>
      <c r="C66" s="365"/>
      <c r="D66" s="366"/>
      <c r="E66" s="366"/>
      <c r="F66" s="366"/>
      <c r="G66" s="365"/>
      <c r="H66" s="365"/>
      <c r="I66" s="366"/>
      <c r="J66" s="366"/>
      <c r="K66" s="366"/>
      <c r="L66" s="365"/>
      <c r="M66" s="365"/>
    </row>
    <row r="67" spans="1:15" x14ac:dyDescent="0.25">
      <c r="A67" s="365"/>
      <c r="B67" s="365"/>
      <c r="C67" s="365"/>
      <c r="D67" s="366"/>
      <c r="E67" s="366"/>
      <c r="F67" s="366"/>
      <c r="G67" s="365"/>
      <c r="H67" s="365"/>
      <c r="I67" s="366"/>
      <c r="J67" s="366"/>
      <c r="K67" s="366"/>
      <c r="L67" s="365"/>
      <c r="M67" s="365"/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7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1" t="s">
        <v>113</v>
      </c>
      <c r="C78" s="261" t="s">
        <v>146</v>
      </c>
      <c r="D78" s="262" t="s">
        <v>145</v>
      </c>
      <c r="E78" s="263" t="s">
        <v>147</v>
      </c>
      <c r="F78" s="264" t="s">
        <v>65</v>
      </c>
      <c r="G78" s="265" t="s">
        <v>151</v>
      </c>
      <c r="H78" s="264" t="s">
        <v>88</v>
      </c>
      <c r="I78" s="264" t="s">
        <v>154</v>
      </c>
    </row>
    <row r="79" spans="1:15" x14ac:dyDescent="0.25">
      <c r="B79" s="258">
        <v>42376</v>
      </c>
      <c r="C79" s="253">
        <v>60</v>
      </c>
      <c r="D79" s="254">
        <v>41.01</v>
      </c>
      <c r="E79" s="254">
        <v>40.33</v>
      </c>
      <c r="F79" s="254">
        <f>C79*(E79-D79)</f>
        <v>-40.799999999999983</v>
      </c>
      <c r="G79" s="254">
        <f>D79*C79</f>
        <v>2460.6</v>
      </c>
      <c r="H79" s="268">
        <f>(E79-D79)/D79</f>
        <v>-1.6581321628871E-2</v>
      </c>
      <c r="I79" s="268"/>
    </row>
    <row r="80" spans="1:15" x14ac:dyDescent="0.25">
      <c r="B80" s="258">
        <v>42403</v>
      </c>
      <c r="C80" s="253">
        <v>80</v>
      </c>
      <c r="D80" s="254">
        <v>39.630000000000003</v>
      </c>
      <c r="E80" s="254">
        <v>36.229999999999997</v>
      </c>
      <c r="F80" s="254">
        <f>C80*(E80-D80)</f>
        <v>-272.00000000000045</v>
      </c>
      <c r="G80" s="254">
        <f>D80*C80</f>
        <v>3170.4</v>
      </c>
      <c r="H80" s="268">
        <f>(E80-D80)/D80</f>
        <v>-8.5793590714105611E-2</v>
      </c>
      <c r="I80" s="268"/>
    </row>
    <row r="81" spans="2:9" x14ac:dyDescent="0.25">
      <c r="B81" s="258">
        <v>42421</v>
      </c>
      <c r="C81" s="253">
        <v>80</v>
      </c>
      <c r="D81" s="254">
        <v>39.630000000000003</v>
      </c>
      <c r="E81" s="254">
        <v>37.46</v>
      </c>
      <c r="F81" s="254">
        <f>C81*(E81-D81)</f>
        <v>-173.60000000000014</v>
      </c>
      <c r="G81" s="254">
        <f>D81*C81</f>
        <v>3170.4</v>
      </c>
      <c r="H81" s="268">
        <f>(E81-D81)/D81</f>
        <v>-5.4756497602826179E-2</v>
      </c>
      <c r="I81" s="268"/>
    </row>
    <row r="82" spans="2:9" x14ac:dyDescent="0.25">
      <c r="B82" s="258">
        <v>42426</v>
      </c>
      <c r="C82" s="253">
        <v>60</v>
      </c>
      <c r="D82" s="254">
        <v>40.03</v>
      </c>
      <c r="E82" s="254">
        <v>38.450000000000003</v>
      </c>
      <c r="F82" s="254">
        <f t="shared" ref="F82:F88" si="25">C82*(E82-D82)</f>
        <v>-94.799999999999898</v>
      </c>
      <c r="G82" s="254">
        <f t="shared" ref="G82:G88" si="26">D82*C82</f>
        <v>2401.8000000000002</v>
      </c>
      <c r="H82" s="268">
        <f t="shared" ref="H82:H88" si="27">(E82-D82)/D82</f>
        <v>-3.9470397202098384E-2</v>
      </c>
      <c r="I82" s="268"/>
    </row>
    <row r="83" spans="2:9" x14ac:dyDescent="0.25">
      <c r="B83" s="258">
        <v>42426</v>
      </c>
      <c r="C83" s="253">
        <v>30</v>
      </c>
      <c r="D83" s="254">
        <v>41.31</v>
      </c>
      <c r="E83" s="254">
        <v>38.44</v>
      </c>
      <c r="F83" s="254">
        <f t="shared" si="25"/>
        <v>-86.100000000000136</v>
      </c>
      <c r="G83" s="254">
        <f t="shared" si="26"/>
        <v>1239.3000000000002</v>
      </c>
      <c r="H83" s="266">
        <f t="shared" si="27"/>
        <v>-6.9474703461631676E-2</v>
      </c>
      <c r="I83" s="266"/>
    </row>
    <row r="84" spans="2:9" x14ac:dyDescent="0.25">
      <c r="B84" s="258">
        <v>42430</v>
      </c>
      <c r="C84" s="253">
        <v>30</v>
      </c>
      <c r="D84" s="254">
        <v>41.31</v>
      </c>
      <c r="E84" s="254">
        <v>39.51</v>
      </c>
      <c r="F84" s="254">
        <f t="shared" si="25"/>
        <v>-54.000000000000128</v>
      </c>
      <c r="G84" s="254">
        <f t="shared" si="26"/>
        <v>1239.3000000000002</v>
      </c>
      <c r="H84" s="266">
        <f t="shared" si="27"/>
        <v>-4.3572984749455437E-2</v>
      </c>
      <c r="I84" s="266"/>
    </row>
    <row r="85" spans="2:9" x14ac:dyDescent="0.25">
      <c r="B85" s="258">
        <v>42431</v>
      </c>
      <c r="C85" s="253">
        <v>30</v>
      </c>
      <c r="D85" s="254">
        <v>41.305</v>
      </c>
      <c r="E85" s="254">
        <v>40.31</v>
      </c>
      <c r="F85" s="254">
        <f t="shared" si="25"/>
        <v>-29.849999999999923</v>
      </c>
      <c r="G85" s="254">
        <f t="shared" si="26"/>
        <v>1239.1500000000001</v>
      </c>
      <c r="H85" s="266">
        <f t="shared" si="27"/>
        <v>-2.4089093330105251E-2</v>
      </c>
      <c r="I85" s="266"/>
    </row>
    <row r="86" spans="2:9" x14ac:dyDescent="0.25">
      <c r="B86" s="258">
        <v>42435</v>
      </c>
      <c r="C86" s="253">
        <v>30</v>
      </c>
      <c r="D86" s="254">
        <v>41.305</v>
      </c>
      <c r="E86" s="254">
        <v>40.98</v>
      </c>
      <c r="F86" s="254">
        <f t="shared" si="25"/>
        <v>-9.7500000000000853</v>
      </c>
      <c r="G86" s="254">
        <f t="shared" si="26"/>
        <v>1239.1500000000001</v>
      </c>
      <c r="H86" s="266">
        <f t="shared" si="27"/>
        <v>-7.8682968163661261E-3</v>
      </c>
      <c r="I86" s="266"/>
    </row>
    <row r="87" spans="2:9" x14ac:dyDescent="0.25">
      <c r="B87" s="258">
        <v>42436</v>
      </c>
      <c r="C87" s="253">
        <v>30</v>
      </c>
      <c r="D87" s="254">
        <v>41.305</v>
      </c>
      <c r="E87" s="254">
        <v>39.590000000000003</v>
      </c>
      <c r="F87" s="254">
        <f t="shared" si="25"/>
        <v>-51.449999999999889</v>
      </c>
      <c r="G87" s="254">
        <f t="shared" si="26"/>
        <v>1239.1500000000001</v>
      </c>
      <c r="H87" s="266">
        <f t="shared" si="27"/>
        <v>-4.1520397046362338E-2</v>
      </c>
      <c r="I87" s="266"/>
    </row>
    <row r="88" spans="2:9" x14ac:dyDescent="0.25">
      <c r="B88" s="258">
        <v>42444</v>
      </c>
      <c r="C88" s="253">
        <v>30</v>
      </c>
      <c r="D88" s="254">
        <v>41.305</v>
      </c>
      <c r="E88" s="254">
        <v>41.37</v>
      </c>
      <c r="F88" s="254">
        <f t="shared" si="25"/>
        <v>1.9499999999999318</v>
      </c>
      <c r="G88" s="254">
        <f t="shared" si="26"/>
        <v>1239.1500000000001</v>
      </c>
      <c r="H88" s="266">
        <f t="shared" si="27"/>
        <v>1.5736593632731564E-3</v>
      </c>
      <c r="I88" s="266"/>
    </row>
    <row r="89" spans="2:9" x14ac:dyDescent="0.25">
      <c r="B89" s="258">
        <v>42444</v>
      </c>
      <c r="C89" s="253">
        <v>30</v>
      </c>
      <c r="D89" s="254">
        <v>40.47983</v>
      </c>
      <c r="E89" s="254">
        <v>41.37</v>
      </c>
      <c r="F89" s="254">
        <f>C89*(E89-D89)</f>
        <v>26.705099999999931</v>
      </c>
      <c r="G89" s="254">
        <f>D89*C89</f>
        <v>1214.3949</v>
      </c>
      <c r="H89" s="266">
        <f>(E89-D89)/D89</f>
        <v>2.1990457963879731E-2</v>
      </c>
      <c r="I89" s="266" t="s">
        <v>182</v>
      </c>
    </row>
    <row r="90" spans="2:9" x14ac:dyDescent="0.25">
      <c r="B90" s="258">
        <v>42447</v>
      </c>
      <c r="C90" s="253">
        <v>0</v>
      </c>
      <c r="D90" s="254"/>
      <c r="E90" s="254"/>
      <c r="F90" s="254">
        <v>75.02</v>
      </c>
      <c r="G90" s="254"/>
      <c r="H90" s="266"/>
      <c r="I90" s="266"/>
    </row>
    <row r="91" spans="2:9" x14ac:dyDescent="0.25">
      <c r="B91" s="253"/>
      <c r="C91" s="253"/>
      <c r="D91" s="254"/>
      <c r="E91" s="254"/>
      <c r="F91" s="254"/>
      <c r="G91" s="254"/>
      <c r="H91" s="266"/>
      <c r="I91" s="266"/>
    </row>
    <row r="92" spans="2:9" x14ac:dyDescent="0.25">
      <c r="B92" s="253"/>
      <c r="C92" s="253"/>
      <c r="D92" s="254"/>
      <c r="E92" s="254"/>
      <c r="F92" s="254"/>
      <c r="G92" s="254"/>
      <c r="H92" s="266"/>
      <c r="I92" s="266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2:F59 H52:K60 I51:K51">
    <cfRule type="expression" dxfId="471" priority="65">
      <formula>F29&gt;0</formula>
    </cfRule>
    <cfRule type="expression" dxfId="470" priority="66">
      <formula>F29&lt;0</formula>
    </cfRule>
  </conditionalFormatting>
  <conditionalFormatting sqref="H29:H31">
    <cfRule type="expression" dxfId="469" priority="63">
      <formula>H29&gt;0</formula>
    </cfRule>
    <cfRule type="expression" dxfId="468" priority="64">
      <formula>H29&lt;0</formula>
    </cfRule>
  </conditionalFormatting>
  <conditionalFormatting sqref="H32">
    <cfRule type="expression" dxfId="467" priority="61">
      <formula>H32&gt;0</formula>
    </cfRule>
    <cfRule type="expression" dxfId="466" priority="62">
      <formula>H32&lt;0</formula>
    </cfRule>
  </conditionalFormatting>
  <conditionalFormatting sqref="H33">
    <cfRule type="expression" dxfId="465" priority="59">
      <formula>H33&gt;0</formula>
    </cfRule>
    <cfRule type="expression" dxfId="464" priority="60">
      <formula>H33&lt;0</formula>
    </cfRule>
  </conditionalFormatting>
  <conditionalFormatting sqref="F25:F28">
    <cfRule type="expression" dxfId="463" priority="55">
      <formula>F25&gt;0</formula>
    </cfRule>
    <cfRule type="expression" dxfId="462" priority="56">
      <formula>F25&lt;0</formula>
    </cfRule>
  </conditionalFormatting>
  <conditionalFormatting sqref="H25:H28">
    <cfRule type="expression" dxfId="461" priority="53">
      <formula>H25&gt;0</formula>
    </cfRule>
    <cfRule type="expression" dxfId="460" priority="54">
      <formula>H25&lt;0</formula>
    </cfRule>
  </conditionalFormatting>
  <conditionalFormatting sqref="F34:F35">
    <cfRule type="expression" dxfId="459" priority="49">
      <formula>F34&gt;0</formula>
    </cfRule>
    <cfRule type="expression" dxfId="458" priority="50">
      <formula>F34&lt;0</formula>
    </cfRule>
  </conditionalFormatting>
  <conditionalFormatting sqref="I29:K31">
    <cfRule type="expression" dxfId="457" priority="47">
      <formula>I29&gt;0</formula>
    </cfRule>
    <cfRule type="expression" dxfId="456" priority="48">
      <formula>I29&lt;0</formula>
    </cfRule>
  </conditionalFormatting>
  <conditionalFormatting sqref="I38:I43 I35:K36">
    <cfRule type="expression" dxfId="455" priority="41">
      <formula>I35&gt;0</formula>
    </cfRule>
    <cfRule type="expression" dxfId="454" priority="42">
      <formula>I35&lt;0</formula>
    </cfRule>
  </conditionalFormatting>
  <conditionalFormatting sqref="I25:K28">
    <cfRule type="expression" dxfId="453" priority="39">
      <formula>I25&gt;0</formula>
    </cfRule>
    <cfRule type="expression" dxfId="452" priority="40">
      <formula>I25&lt;0</formula>
    </cfRule>
  </conditionalFormatting>
  <conditionalFormatting sqref="F36:F47">
    <cfRule type="expression" dxfId="451" priority="37">
      <formula>F36&gt;0</formula>
    </cfRule>
    <cfRule type="expression" dxfId="450" priority="38">
      <formula>F36&lt;0</formula>
    </cfRule>
  </conditionalFormatting>
  <conditionalFormatting sqref="Q8">
    <cfRule type="expression" dxfId="449" priority="33">
      <formula>Q8&gt;0</formula>
    </cfRule>
    <cfRule type="expression" dxfId="448" priority="34">
      <formula>Q8&lt;0</formula>
    </cfRule>
  </conditionalFormatting>
  <conditionalFormatting sqref="Q7">
    <cfRule type="expression" dxfId="447" priority="35">
      <formula>Q7&gt;0</formula>
    </cfRule>
    <cfRule type="expression" dxfId="446" priority="36">
      <formula>Q7&lt;0</formula>
    </cfRule>
  </conditionalFormatting>
  <conditionalFormatting sqref="F83:F87">
    <cfRule type="expression" dxfId="445" priority="31">
      <formula>F83&gt;0</formula>
    </cfRule>
    <cfRule type="expression" dxfId="444" priority="32">
      <formula>F83&lt;0</formula>
    </cfRule>
  </conditionalFormatting>
  <conditionalFormatting sqref="H83:H85">
    <cfRule type="expression" dxfId="443" priority="29">
      <formula>H83&gt;0</formula>
    </cfRule>
    <cfRule type="expression" dxfId="442" priority="30">
      <formula>H83&lt;0</formula>
    </cfRule>
  </conditionalFormatting>
  <conditionalFormatting sqref="H86">
    <cfRule type="expression" dxfId="441" priority="27">
      <formula>H86&gt;0</formula>
    </cfRule>
    <cfRule type="expression" dxfId="440" priority="28">
      <formula>H86&lt;0</formula>
    </cfRule>
  </conditionalFormatting>
  <conditionalFormatting sqref="H87">
    <cfRule type="expression" dxfId="439" priority="25">
      <formula>H87&gt;0</formula>
    </cfRule>
    <cfRule type="expression" dxfId="438" priority="26">
      <formula>H87&lt;0</formula>
    </cfRule>
  </conditionalFormatting>
  <conditionalFormatting sqref="H88:H92">
    <cfRule type="expression" dxfId="437" priority="23">
      <formula>H88&gt;0</formula>
    </cfRule>
    <cfRule type="expression" dxfId="436" priority="24">
      <formula>H88&lt;0</formula>
    </cfRule>
  </conditionalFormatting>
  <conditionalFormatting sqref="F79:F82">
    <cfRule type="expression" dxfId="435" priority="21">
      <formula>F79&gt;0</formula>
    </cfRule>
    <cfRule type="expression" dxfId="434" priority="22">
      <formula>F79&lt;0</formula>
    </cfRule>
  </conditionalFormatting>
  <conditionalFormatting sqref="H79:H82">
    <cfRule type="expression" dxfId="433" priority="19">
      <formula>H79&gt;0</formula>
    </cfRule>
    <cfRule type="expression" dxfId="432" priority="20">
      <formula>H79&lt;0</formula>
    </cfRule>
  </conditionalFormatting>
  <conditionalFormatting sqref="F88:F89">
    <cfRule type="expression" dxfId="431" priority="17">
      <formula>F88&gt;0</formula>
    </cfRule>
    <cfRule type="expression" dxfId="430" priority="18">
      <formula>F88&lt;0</formula>
    </cfRule>
  </conditionalFormatting>
  <conditionalFormatting sqref="I83:I85">
    <cfRule type="expression" dxfId="429" priority="15">
      <formula>I83&gt;0</formula>
    </cfRule>
    <cfRule type="expression" dxfId="428" priority="16">
      <formula>I83&lt;0</formula>
    </cfRule>
  </conditionalFormatting>
  <conditionalFormatting sqref="I86">
    <cfRule type="expression" dxfId="427" priority="13">
      <formula>I86&gt;0</formula>
    </cfRule>
    <cfRule type="expression" dxfId="426" priority="14">
      <formula>I86&lt;0</formula>
    </cfRule>
  </conditionalFormatting>
  <conditionalFormatting sqref="I87">
    <cfRule type="expression" dxfId="425" priority="11">
      <formula>I87&gt;0</formula>
    </cfRule>
    <cfRule type="expression" dxfId="424" priority="12">
      <formula>I87&lt;0</formula>
    </cfRule>
  </conditionalFormatting>
  <conditionalFormatting sqref="I88:I92">
    <cfRule type="expression" dxfId="423" priority="9">
      <formula>I88&gt;0</formula>
    </cfRule>
    <cfRule type="expression" dxfId="422" priority="10">
      <formula>I88&lt;0</formula>
    </cfRule>
  </conditionalFormatting>
  <conditionalFormatting sqref="I79:I82">
    <cfRule type="expression" dxfId="421" priority="7">
      <formula>I79&gt;0</formula>
    </cfRule>
    <cfRule type="expression" dxfId="420" priority="8">
      <formula>I79&lt;0</formula>
    </cfRule>
  </conditionalFormatting>
  <conditionalFormatting sqref="F90">
    <cfRule type="expression" dxfId="419" priority="5">
      <formula>F90&gt;0</formula>
    </cfRule>
    <cfRule type="expression" dxfId="418" priority="6">
      <formula>F90&lt;0</formula>
    </cfRule>
  </conditionalFormatting>
  <conditionalFormatting sqref="H50:K50 F50:F51 H51">
    <cfRule type="expression" dxfId="417" priority="3">
      <formula>F50&gt;0</formula>
    </cfRule>
    <cfRule type="expression" dxfId="416" priority="4">
      <formula>F50&lt;0</formula>
    </cfRule>
  </conditionalFormatting>
  <conditionalFormatting sqref="R4">
    <cfRule type="expression" dxfId="415" priority="1">
      <formula>R4&gt;0</formula>
    </cfRule>
    <cfRule type="expression" dxfId="414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8">
        <v>2060</v>
      </c>
      <c r="AO3" s="228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64.31</v>
      </c>
      <c r="R4" s="478">
        <v>2.3599999999999999E-2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9" t="s">
        <v>65</v>
      </c>
      <c r="G21" s="223" t="s">
        <v>151</v>
      </c>
      <c r="H21" s="189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7"/>
      <c r="C22" s="10"/>
      <c r="D22" s="39"/>
      <c r="E22" s="39"/>
      <c r="F22" s="39"/>
      <c r="G22" s="39"/>
      <c r="H22" s="225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7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3" t="s">
        <v>5</v>
      </c>
      <c r="E31" s="373" t="s">
        <v>94</v>
      </c>
      <c r="F31" s="373" t="s">
        <v>60</v>
      </c>
      <c r="G31" s="371" t="s">
        <v>3</v>
      </c>
      <c r="H31" s="371" t="s">
        <v>6</v>
      </c>
      <c r="I31" s="373" t="s">
        <v>7</v>
      </c>
      <c r="J31" s="373" t="s">
        <v>95</v>
      </c>
      <c r="K31" s="373" t="s">
        <v>61</v>
      </c>
      <c r="L31" s="371" t="s">
        <v>77</v>
      </c>
      <c r="M31" s="37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4" t="s">
        <v>24</v>
      </c>
      <c r="B32" s="364">
        <v>42156</v>
      </c>
      <c r="C32" s="365">
        <v>5</v>
      </c>
      <c r="D32" s="366">
        <v>48.55</v>
      </c>
      <c r="E32" s="366">
        <v>0</v>
      </c>
      <c r="F32" s="366">
        <f>C32*D32</f>
        <v>242.75</v>
      </c>
      <c r="G32" s="364">
        <v>42186</v>
      </c>
      <c r="H32" s="365">
        <v>100</v>
      </c>
      <c r="I32" s="366">
        <v>44.99</v>
      </c>
      <c r="J32" s="366">
        <v>0.08</v>
      </c>
      <c r="K32" s="366">
        <f>H32*I32-J32</f>
        <v>4498.92</v>
      </c>
      <c r="L32" s="365" t="s">
        <v>80</v>
      </c>
      <c r="M32" s="36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5" t="s">
        <v>71</v>
      </c>
      <c r="B33" s="364">
        <v>42156</v>
      </c>
      <c r="C33" s="365">
        <v>5</v>
      </c>
      <c r="D33" s="366">
        <v>47.01</v>
      </c>
      <c r="E33" s="366">
        <v>0</v>
      </c>
      <c r="F33" s="366">
        <f t="shared" ref="F33:F44" si="2">C33*D33</f>
        <v>235.04999999999998</v>
      </c>
      <c r="G33" s="364">
        <v>42227</v>
      </c>
      <c r="H33" s="365">
        <v>100</v>
      </c>
      <c r="I33" s="366">
        <v>43</v>
      </c>
      <c r="J33" s="366">
        <v>0.08</v>
      </c>
      <c r="K33" s="366">
        <f>H33*I33-J33</f>
        <v>4299.92</v>
      </c>
      <c r="L33" s="365"/>
      <c r="M33" s="36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5"/>
      <c r="B34" s="364">
        <v>42156</v>
      </c>
      <c r="C34" s="365">
        <v>10</v>
      </c>
      <c r="D34" s="366">
        <v>46.5</v>
      </c>
      <c r="E34" s="366">
        <v>0</v>
      </c>
      <c r="F34" s="366">
        <f t="shared" si="2"/>
        <v>465</v>
      </c>
      <c r="G34" s="364">
        <v>42312</v>
      </c>
      <c r="H34" s="369">
        <v>40</v>
      </c>
      <c r="I34" s="366">
        <v>42.5</v>
      </c>
      <c r="J34" s="366">
        <v>0.03</v>
      </c>
      <c r="K34" s="366">
        <f>H34*I34-J34</f>
        <v>1699.97</v>
      </c>
      <c r="L34" s="365"/>
      <c r="M34" s="36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5"/>
      <c r="B35" s="364">
        <v>42156</v>
      </c>
      <c r="C35" s="365">
        <v>50</v>
      </c>
      <c r="D35" s="366">
        <v>45.95</v>
      </c>
      <c r="E35" s="366">
        <v>0</v>
      </c>
      <c r="F35" s="366">
        <f t="shared" si="2"/>
        <v>2297.5</v>
      </c>
      <c r="G35" s="364">
        <v>42318</v>
      </c>
      <c r="H35" s="369">
        <v>14</v>
      </c>
      <c r="I35" s="366">
        <v>43.5</v>
      </c>
      <c r="J35" s="366">
        <v>0.01</v>
      </c>
      <c r="K35" s="366">
        <f t="shared" ref="K35:K42" si="3">H35*I35-J35</f>
        <v>608.99</v>
      </c>
      <c r="L35" s="365"/>
      <c r="M35" s="36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5"/>
      <c r="B36" s="364">
        <v>42156</v>
      </c>
      <c r="C36" s="365">
        <v>30</v>
      </c>
      <c r="D36" s="366">
        <v>45.95</v>
      </c>
      <c r="E36" s="366">
        <v>0</v>
      </c>
      <c r="F36" s="366">
        <f t="shared" si="2"/>
        <v>1378.5</v>
      </c>
      <c r="G36" s="364">
        <v>42318</v>
      </c>
      <c r="H36" s="369">
        <v>26</v>
      </c>
      <c r="I36" s="366">
        <v>43.78</v>
      </c>
      <c r="J36" s="366">
        <v>0.02</v>
      </c>
      <c r="K36" s="366">
        <f t="shared" si="3"/>
        <v>1138.26</v>
      </c>
      <c r="L36" s="365"/>
      <c r="M36" s="36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5"/>
      <c r="B37" s="364">
        <v>42186</v>
      </c>
      <c r="C37" s="365">
        <v>100</v>
      </c>
      <c r="D37" s="366">
        <v>44.9</v>
      </c>
      <c r="E37" s="366">
        <v>0</v>
      </c>
      <c r="F37" s="366">
        <f t="shared" si="2"/>
        <v>4490</v>
      </c>
      <c r="G37" s="364">
        <v>42320</v>
      </c>
      <c r="H37" s="369">
        <v>10</v>
      </c>
      <c r="I37" s="366">
        <v>43.9</v>
      </c>
      <c r="J37" s="366">
        <v>0.01</v>
      </c>
      <c r="K37" s="366">
        <f t="shared" si="3"/>
        <v>438.99</v>
      </c>
      <c r="L37" s="365"/>
      <c r="M37" s="36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5"/>
      <c r="B38" s="364">
        <v>42206</v>
      </c>
      <c r="C38" s="365">
        <v>20</v>
      </c>
      <c r="D38" s="366">
        <v>41.2</v>
      </c>
      <c r="E38" s="366">
        <v>0</v>
      </c>
      <c r="F38" s="366">
        <f t="shared" si="2"/>
        <v>824</v>
      </c>
      <c r="G38" s="364">
        <v>42333</v>
      </c>
      <c r="H38" s="369">
        <v>50</v>
      </c>
      <c r="I38" s="366">
        <v>41.67</v>
      </c>
      <c r="J38" s="366">
        <v>0.04</v>
      </c>
      <c r="K38" s="366">
        <f t="shared" si="3"/>
        <v>2083.46</v>
      </c>
      <c r="L38" s="365"/>
      <c r="M38" s="36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5"/>
      <c r="B39" s="364">
        <v>42207</v>
      </c>
      <c r="C39" s="365">
        <v>20</v>
      </c>
      <c r="D39" s="366">
        <v>40.68</v>
      </c>
      <c r="E39" s="366">
        <v>0</v>
      </c>
      <c r="F39" s="366">
        <f t="shared" si="2"/>
        <v>813.6</v>
      </c>
      <c r="G39" s="364">
        <v>42335</v>
      </c>
      <c r="H39" s="369">
        <v>50</v>
      </c>
      <c r="I39" s="366">
        <v>41.85</v>
      </c>
      <c r="J39" s="366">
        <v>0.04</v>
      </c>
      <c r="K39" s="366">
        <f t="shared" si="3"/>
        <v>2092.46</v>
      </c>
      <c r="L39" s="365"/>
      <c r="M39" s="36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5"/>
      <c r="B40" s="364">
        <v>42292</v>
      </c>
      <c r="C40" s="365">
        <v>40</v>
      </c>
      <c r="D40" s="366">
        <v>41.65</v>
      </c>
      <c r="E40" s="366">
        <v>0</v>
      </c>
      <c r="F40" s="366">
        <f t="shared" si="2"/>
        <v>1666</v>
      </c>
      <c r="G40" s="364">
        <v>42335</v>
      </c>
      <c r="H40" s="369">
        <v>50</v>
      </c>
      <c r="I40" s="366">
        <v>42.4</v>
      </c>
      <c r="J40" s="366">
        <v>0.04</v>
      </c>
      <c r="K40" s="366">
        <f t="shared" si="3"/>
        <v>2119.96</v>
      </c>
      <c r="L40" s="365"/>
      <c r="M40" s="36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5"/>
      <c r="B41" s="364">
        <v>42298</v>
      </c>
      <c r="C41" s="365">
        <v>80</v>
      </c>
      <c r="D41" s="366">
        <v>40.450000000000003</v>
      </c>
      <c r="E41" s="366">
        <v>0</v>
      </c>
      <c r="F41" s="366">
        <f t="shared" si="2"/>
        <v>3236</v>
      </c>
      <c r="G41" s="364">
        <v>42398</v>
      </c>
      <c r="H41" s="369">
        <v>50</v>
      </c>
      <c r="I41" s="366">
        <v>39.65</v>
      </c>
      <c r="J41" s="366">
        <v>0.04</v>
      </c>
      <c r="K41" s="366">
        <f t="shared" si="3"/>
        <v>1982.46</v>
      </c>
      <c r="L41" s="365"/>
      <c r="M41" s="36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5"/>
      <c r="B42" s="364">
        <v>42298</v>
      </c>
      <c r="C42" s="365">
        <v>80</v>
      </c>
      <c r="D42" s="366">
        <v>39.9</v>
      </c>
      <c r="E42" s="366">
        <v>0</v>
      </c>
      <c r="F42" s="366">
        <f t="shared" si="2"/>
        <v>3192</v>
      </c>
      <c r="G42" s="364">
        <v>42408</v>
      </c>
      <c r="H42" s="369">
        <v>50</v>
      </c>
      <c r="I42" s="366">
        <v>51.5</v>
      </c>
      <c r="J42" s="366">
        <v>0.05</v>
      </c>
      <c r="K42" s="366">
        <f t="shared" si="3"/>
        <v>2574.9499999999998</v>
      </c>
      <c r="L42" s="365"/>
      <c r="M42" s="365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5"/>
      <c r="B43" s="364">
        <v>42333</v>
      </c>
      <c r="C43" s="365">
        <v>50</v>
      </c>
      <c r="D43" s="366">
        <v>41.2</v>
      </c>
      <c r="E43" s="366">
        <v>0</v>
      </c>
      <c r="F43" s="366">
        <f t="shared" si="2"/>
        <v>2060</v>
      </c>
      <c r="G43" s="365"/>
      <c r="H43" s="365"/>
      <c r="I43" s="366"/>
      <c r="J43" s="366"/>
      <c r="K43" s="366"/>
      <c r="L43" s="365"/>
      <c r="M43" s="365"/>
      <c r="O43" s="81">
        <v>1.1000000000000001</v>
      </c>
      <c r="P43" s="81">
        <f>O43*$Q$4</f>
        <v>70.741000000000014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5"/>
      <c r="B44" s="364">
        <v>42377</v>
      </c>
      <c r="C44" s="365">
        <v>50</v>
      </c>
      <c r="D44" s="366">
        <v>37.85</v>
      </c>
      <c r="E44" s="366">
        <v>0</v>
      </c>
      <c r="F44" s="366">
        <f t="shared" si="2"/>
        <v>1892.5</v>
      </c>
      <c r="G44" s="365"/>
      <c r="H44" s="365"/>
      <c r="I44" s="366"/>
      <c r="J44" s="366"/>
      <c r="K44" s="366"/>
      <c r="L44" s="365"/>
      <c r="M44" s="365"/>
      <c r="O44" s="81">
        <v>1.0900000000000001</v>
      </c>
      <c r="P44" s="81">
        <f t="shared" ref="P44:P63" si="4">O44*$Q$4</f>
        <v>70.09790000000001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5"/>
      <c r="M45" s="365"/>
      <c r="O45" s="81">
        <v>1.08</v>
      </c>
      <c r="P45" s="81">
        <f t="shared" si="4"/>
        <v>69.454800000000006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5"/>
      <c r="B46" s="364"/>
      <c r="C46" s="365"/>
      <c r="D46" s="366"/>
      <c r="E46" s="366"/>
      <c r="F46" s="366"/>
      <c r="G46" s="365"/>
      <c r="H46" s="365"/>
      <c r="I46" s="366"/>
      <c r="J46" s="366"/>
      <c r="K46" s="366"/>
      <c r="L46" s="365"/>
      <c r="M46" s="365"/>
      <c r="O46" s="81">
        <v>1.07</v>
      </c>
      <c r="P46" s="81">
        <f t="shared" si="4"/>
        <v>68.811700000000002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5"/>
      <c r="B47" s="364"/>
      <c r="C47" s="365"/>
      <c r="D47" s="366"/>
      <c r="E47" s="366"/>
      <c r="F47" s="366"/>
      <c r="G47" s="365"/>
      <c r="H47" s="365"/>
      <c r="I47" s="366"/>
      <c r="J47" s="366"/>
      <c r="K47" s="366"/>
      <c r="L47" s="365"/>
      <c r="M47" s="365"/>
      <c r="O47" s="81">
        <v>1.06</v>
      </c>
      <c r="P47" s="81">
        <f t="shared" si="4"/>
        <v>68.168600000000012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5"/>
      <c r="I48" s="366"/>
      <c r="J48" s="366"/>
      <c r="K48" s="366"/>
      <c r="L48" s="365"/>
      <c r="M48" s="365"/>
      <c r="O48" s="81">
        <v>1.05</v>
      </c>
      <c r="P48" s="81">
        <f t="shared" si="4"/>
        <v>67.525500000000008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5"/>
      <c r="I49" s="366"/>
      <c r="J49" s="366"/>
      <c r="K49" s="366"/>
      <c r="L49" s="365"/>
      <c r="M49" s="365"/>
      <c r="O49" s="81">
        <v>1.04</v>
      </c>
      <c r="P49" s="81">
        <f t="shared" si="4"/>
        <v>66.882400000000004</v>
      </c>
      <c r="Q49" s="33"/>
      <c r="R49" s="33"/>
      <c r="T49" s="91" t="s">
        <v>121</v>
      </c>
      <c r="U49" s="86" t="s">
        <v>479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5"/>
      <c r="B50" s="364"/>
      <c r="C50" s="365"/>
      <c r="D50" s="366"/>
      <c r="E50" s="366"/>
      <c r="F50" s="366"/>
      <c r="G50" s="365"/>
      <c r="H50" s="365"/>
      <c r="I50" s="366"/>
      <c r="J50" s="366"/>
      <c r="K50" s="366"/>
      <c r="L50" s="365"/>
      <c r="M50" s="365"/>
      <c r="O50" s="81">
        <v>1.03</v>
      </c>
      <c r="P50" s="81">
        <f t="shared" si="4"/>
        <v>66.2393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5"/>
      <c r="B51" s="364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1.02</v>
      </c>
      <c r="P51" s="81">
        <f t="shared" si="4"/>
        <v>65.59620000000001</v>
      </c>
      <c r="Q51" s="81"/>
      <c r="R51" s="33"/>
      <c r="T51" s="91" t="s">
        <v>104</v>
      </c>
      <c r="U51" s="86" t="s">
        <v>641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64.953100000000006</v>
      </c>
      <c r="Q52" s="81"/>
      <c r="R52" s="33"/>
      <c r="T52" s="91" t="s">
        <v>105</v>
      </c>
      <c r="U52" s="86" t="s">
        <v>507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5"/>
      <c r="B53" s="365"/>
      <c r="C53" s="365"/>
      <c r="D53" s="366"/>
      <c r="E53" s="366"/>
      <c r="F53" s="366"/>
      <c r="G53" s="366"/>
      <c r="H53" s="365"/>
      <c r="I53" s="366"/>
      <c r="J53" s="366"/>
      <c r="K53" s="366"/>
      <c r="L53" s="365"/>
      <c r="M53" s="365"/>
      <c r="O53" s="81">
        <v>1</v>
      </c>
      <c r="P53" s="81">
        <f t="shared" si="4"/>
        <v>64.31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63.666899999999998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63.023800000000001</v>
      </c>
      <c r="Q55" s="81"/>
      <c r="R55" s="33"/>
      <c r="T55" s="91" t="s">
        <v>107</v>
      </c>
      <c r="U55" s="86" t="s">
        <v>642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62.380699999999997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61.7376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5" t="s">
        <v>113</v>
      </c>
      <c r="C58" s="185" t="s">
        <v>146</v>
      </c>
      <c r="D58" s="186" t="s">
        <v>145</v>
      </c>
      <c r="E58" s="188" t="s">
        <v>147</v>
      </c>
      <c r="F58" s="189" t="s">
        <v>65</v>
      </c>
      <c r="G58" s="223" t="s">
        <v>151</v>
      </c>
      <c r="H58" s="189" t="s">
        <v>88</v>
      </c>
      <c r="O58" s="81">
        <v>0.95</v>
      </c>
      <c r="P58" s="81">
        <f t="shared" si="4"/>
        <v>61.094499999999996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341</v>
      </c>
      <c r="B59" s="187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5">
        <f>(E59-D59)/D59</f>
        <v>5.2000000000000011E-2</v>
      </c>
      <c r="O59" s="81">
        <v>0.94</v>
      </c>
      <c r="P59" s="81">
        <f t="shared" si="4"/>
        <v>60.4514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7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59.808300000000003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59.165200000000006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58.522100000000002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57.879000000000005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13" priority="11">
      <formula>Q8&gt;0</formula>
    </cfRule>
    <cfRule type="expression" dxfId="412" priority="12">
      <formula>Q8&lt;0</formula>
    </cfRule>
  </conditionalFormatting>
  <conditionalFormatting sqref="Q7">
    <cfRule type="expression" dxfId="411" priority="13">
      <formula>Q7&gt;0</formula>
    </cfRule>
    <cfRule type="expression" dxfId="410" priority="14">
      <formula>Q7&lt;0</formula>
    </cfRule>
  </conditionalFormatting>
  <conditionalFormatting sqref="F22">
    <cfRule type="expression" dxfId="409" priority="9">
      <formula>F22&gt;0</formula>
    </cfRule>
    <cfRule type="expression" dxfId="408" priority="10">
      <formula>F22&lt;0</formula>
    </cfRule>
  </conditionalFormatting>
  <conditionalFormatting sqref="H22">
    <cfRule type="expression" dxfId="407" priority="7">
      <formula>H22&gt;0</formula>
    </cfRule>
    <cfRule type="expression" dxfId="406" priority="8">
      <formula>H22&lt;0</formula>
    </cfRule>
  </conditionalFormatting>
  <conditionalFormatting sqref="F59">
    <cfRule type="expression" dxfId="405" priority="5">
      <formula>F59&gt;0</formula>
    </cfRule>
    <cfRule type="expression" dxfId="404" priority="6">
      <formula>F59&lt;0</formula>
    </cfRule>
  </conditionalFormatting>
  <conditionalFormatting sqref="H59">
    <cfRule type="expression" dxfId="403" priority="3">
      <formula>H59&gt;0</formula>
    </cfRule>
    <cfRule type="expression" dxfId="402" priority="4">
      <formula>H59&lt;0</formula>
    </cfRule>
  </conditionalFormatting>
  <conditionalFormatting sqref="M30">
    <cfRule type="expression" dxfId="401" priority="1">
      <formula>M30&gt;0</formula>
    </cfRule>
    <cfRule type="expression" dxfId="40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96.53</v>
      </c>
      <c r="R4" s="478">
        <v>1.4800000000000001E-2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9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5" t="s">
        <v>113</v>
      </c>
      <c r="C26" s="185" t="s">
        <v>146</v>
      </c>
      <c r="D26" s="186" t="s">
        <v>145</v>
      </c>
      <c r="E26" s="188" t="s">
        <v>147</v>
      </c>
      <c r="F26" s="189" t="s">
        <v>65</v>
      </c>
      <c r="G26" s="223" t="s">
        <v>151</v>
      </c>
      <c r="H26" s="223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7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5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7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5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7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5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7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5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7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5"/>
      <c r="I31" s="190"/>
      <c r="X31" s="108">
        <v>42790</v>
      </c>
      <c r="Y31" s="9" t="s">
        <v>456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7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5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7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5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5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5"/>
      <c r="O35" s="847" t="s">
        <v>78</v>
      </c>
      <c r="P35" s="84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5"/>
      <c r="O36" s="81">
        <v>1.1000000000000001</v>
      </c>
      <c r="P36" s="81">
        <f>O36*$Q$4</f>
        <v>106.18300000000001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5"/>
      <c r="O37" s="81">
        <v>1.0900000000000001</v>
      </c>
      <c r="P37" s="81">
        <f t="shared" ref="P37:P56" si="3">O37*$Q$4</f>
        <v>105.21770000000001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5"/>
      <c r="O38" s="81">
        <v>1.08</v>
      </c>
      <c r="P38" s="81">
        <f t="shared" si="3"/>
        <v>104.25240000000001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103.28710000000001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102.32180000000001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101.35650000000001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100.3912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99.425899999999999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98.460599999999999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97.4953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96.53</v>
      </c>
      <c r="Q46" s="2"/>
      <c r="T46" s="111" t="s">
        <v>103</v>
      </c>
      <c r="U46" s="104" t="s">
        <v>398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95.564700000000002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94.599400000000003</v>
      </c>
      <c r="Q48" s="2"/>
      <c r="T48" s="111" t="s">
        <v>104</v>
      </c>
      <c r="U48" s="104" t="s">
        <v>643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93.634100000000004</v>
      </c>
      <c r="T49" s="111" t="s">
        <v>105</v>
      </c>
      <c r="U49" s="104" t="s">
        <v>516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92.668800000000005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91.703499999999991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90.738199999999992</v>
      </c>
      <c r="T52" s="111" t="s">
        <v>107</v>
      </c>
      <c r="U52" s="104" t="s">
        <v>644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89.772900000000007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88.807600000000008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87.842300000000009</v>
      </c>
      <c r="T55" s="111" t="s">
        <v>108</v>
      </c>
      <c r="U55" s="104" t="s">
        <v>555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86.87700000000001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9" priority="19">
      <formula>F27&gt;0</formula>
    </cfRule>
    <cfRule type="expression" dxfId="398" priority="20">
      <formula>F27&lt;0</formula>
    </cfRule>
  </conditionalFormatting>
  <conditionalFormatting sqref="F37:F38">
    <cfRule type="expression" dxfId="397" priority="17">
      <formula>F37&gt;0</formula>
    </cfRule>
    <cfRule type="expression" dxfId="396" priority="18">
      <formula>F37&lt;0</formula>
    </cfRule>
  </conditionalFormatting>
  <conditionalFormatting sqref="H27:H32">
    <cfRule type="expression" dxfId="395" priority="15">
      <formula>H27&gt;0</formula>
    </cfRule>
    <cfRule type="expression" dxfId="394" priority="16">
      <formula>H27&lt;0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9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3"/>
      <c r="O3" s="11" t="s">
        <v>58</v>
      </c>
      <c r="Q3" s="2">
        <f>IF(Q2=0, Q4, (F18-K18-M18)/Q2)</f>
        <v>131.97999999999999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9"/>
      <c r="I4" s="4"/>
      <c r="J4" s="4"/>
      <c r="K4" s="4"/>
      <c r="L4" s="4"/>
      <c r="M4" s="3"/>
      <c r="O4" s="11" t="s">
        <v>66</v>
      </c>
      <c r="Q4" s="54">
        <v>131.97999999999999</v>
      </c>
      <c r="R4" s="478">
        <v>-1.06E-2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9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9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9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7">
        <v>42304</v>
      </c>
      <c r="C21" s="10">
        <v>75</v>
      </c>
      <c r="D21" s="196">
        <v>82.82</v>
      </c>
      <c r="E21" s="39">
        <v>77.44</v>
      </c>
      <c r="F21" s="39">
        <v>-403.4</v>
      </c>
      <c r="G21" s="39"/>
      <c r="H21" s="225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7">
        <v>42305</v>
      </c>
      <c r="C22" s="10">
        <v>0</v>
      </c>
      <c r="D22" s="196" t="s">
        <v>128</v>
      </c>
      <c r="E22" s="39">
        <v>81.599999999999994</v>
      </c>
      <c r="F22" s="39">
        <v>-169.71000000000095</v>
      </c>
      <c r="G22" s="39"/>
      <c r="H22" s="225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7">
        <v>42331</v>
      </c>
      <c r="C23" s="10">
        <v>0</v>
      </c>
      <c r="D23" s="196" t="s">
        <v>128</v>
      </c>
      <c r="E23" s="39">
        <v>95.56</v>
      </c>
      <c r="F23" s="39">
        <v>-168.62</v>
      </c>
      <c r="G23" s="39"/>
      <c r="H23" s="225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4" t="s">
        <v>47</v>
      </c>
      <c r="B35" s="364">
        <v>42185</v>
      </c>
      <c r="C35" s="365">
        <v>10</v>
      </c>
      <c r="D35" s="366">
        <v>88.85</v>
      </c>
      <c r="E35" s="366">
        <v>0</v>
      </c>
      <c r="F35" s="366">
        <f t="shared" ref="F35:F40" si="2">C35*D35</f>
        <v>888.5</v>
      </c>
      <c r="G35" s="364">
        <v>42310</v>
      </c>
      <c r="H35" s="369">
        <v>75</v>
      </c>
      <c r="I35" s="366">
        <v>80.650000000000006</v>
      </c>
      <c r="J35" s="365">
        <v>7.06</v>
      </c>
      <c r="K35" s="365">
        <f>H35*I35-J35</f>
        <v>6041.69</v>
      </c>
      <c r="L35" s="364">
        <v>42257</v>
      </c>
      <c r="M35" s="366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5" t="s">
        <v>71</v>
      </c>
      <c r="B36" s="364">
        <v>42214</v>
      </c>
      <c r="C36" s="365">
        <v>10</v>
      </c>
      <c r="D36" s="366">
        <v>83</v>
      </c>
      <c r="E36" s="366">
        <v>0</v>
      </c>
      <c r="F36" s="366">
        <f t="shared" si="2"/>
        <v>830</v>
      </c>
      <c r="G36" s="364">
        <v>42335</v>
      </c>
      <c r="H36" s="369">
        <v>60</v>
      </c>
      <c r="I36" s="366">
        <v>95.71</v>
      </c>
      <c r="J36" s="366">
        <v>0.11</v>
      </c>
      <c r="K36" s="365">
        <f>H36*I36-J36</f>
        <v>5742.49</v>
      </c>
      <c r="L36" s="365"/>
      <c r="M36" s="366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5"/>
      <c r="B37" s="364">
        <v>42221</v>
      </c>
      <c r="C37" s="365">
        <v>30</v>
      </c>
      <c r="D37" s="366">
        <v>84.6</v>
      </c>
      <c r="E37" s="366">
        <v>0</v>
      </c>
      <c r="F37" s="366">
        <f t="shared" si="2"/>
        <v>2538</v>
      </c>
      <c r="G37" s="365"/>
      <c r="H37" s="369"/>
      <c r="I37" s="365"/>
      <c r="J37" s="365"/>
      <c r="K37" s="365"/>
      <c r="L37" s="365"/>
      <c r="M37" s="366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5"/>
      <c r="B38" s="364">
        <v>42222</v>
      </c>
      <c r="C38" s="365">
        <v>10</v>
      </c>
      <c r="D38" s="366">
        <v>83.08</v>
      </c>
      <c r="E38" s="366">
        <v>0</v>
      </c>
      <c r="F38" s="366">
        <f t="shared" si="2"/>
        <v>830.8</v>
      </c>
      <c r="G38" s="365"/>
      <c r="H38" s="369"/>
      <c r="I38" s="365"/>
      <c r="J38" s="365"/>
      <c r="K38" s="365"/>
      <c r="L38" s="365"/>
      <c r="M38" s="366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5"/>
      <c r="B39" s="364">
        <v>42272</v>
      </c>
      <c r="C39" s="365">
        <v>15</v>
      </c>
      <c r="D39" s="366">
        <v>77.3</v>
      </c>
      <c r="E39" s="366">
        <v>0</v>
      </c>
      <c r="F39" s="366">
        <f t="shared" si="2"/>
        <v>1159.5</v>
      </c>
      <c r="G39" s="365"/>
      <c r="H39" s="369"/>
      <c r="I39" s="365"/>
      <c r="J39" s="365"/>
      <c r="K39" s="365"/>
      <c r="L39" s="365"/>
      <c r="M39" s="365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5"/>
      <c r="B40" s="364">
        <v>42335</v>
      </c>
      <c r="C40" s="365">
        <v>60</v>
      </c>
      <c r="D40" s="366">
        <v>95.69</v>
      </c>
      <c r="E40" s="366">
        <v>0</v>
      </c>
      <c r="F40" s="366">
        <f t="shared" si="2"/>
        <v>5741.4</v>
      </c>
      <c r="G40" s="365"/>
      <c r="H40" s="369"/>
      <c r="I40" s="365"/>
      <c r="J40" s="365"/>
      <c r="K40" s="365"/>
      <c r="L40" s="365"/>
      <c r="M40" s="365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9"/>
      <c r="I41" s="365"/>
      <c r="J41" s="365"/>
      <c r="K41" s="365"/>
      <c r="L41" s="365"/>
      <c r="M41" s="365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 t="shared" ref="P43:P63" si="3">O43*$Q$4</f>
        <v>145.178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si="3"/>
        <v>143.85820000000001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3"/>
        <v>142.5384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3"/>
        <v>141.21860000000001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3"/>
        <v>139.89879999999999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393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3"/>
        <v>138.57900000000001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3"/>
        <v>137.25919999999999</v>
      </c>
      <c r="Q49" s="2"/>
      <c r="R49" s="33"/>
      <c r="T49" s="10" t="s">
        <v>103</v>
      </c>
      <c r="U49" s="86" t="s">
        <v>619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3"/>
        <v>135.93940000000001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134.61959999999999</v>
      </c>
      <c r="Q51" s="2"/>
      <c r="R51" s="33"/>
      <c r="T51" s="10" t="s">
        <v>104</v>
      </c>
      <c r="U51" s="86" t="s">
        <v>620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133.2998</v>
      </c>
      <c r="Q52" s="2"/>
      <c r="R52" s="33"/>
      <c r="T52" s="10" t="s">
        <v>105</v>
      </c>
      <c r="U52" s="86" t="s">
        <v>508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131.97999999999999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130.66019999999997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129.34039999999999</v>
      </c>
      <c r="Q55" s="2"/>
      <c r="R55" s="33"/>
      <c r="T55" s="10" t="s">
        <v>107</v>
      </c>
      <c r="U55" s="86" t="s">
        <v>621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128.02059999999997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126.70079999999999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125.38099999999999</v>
      </c>
      <c r="T58" s="10" t="s">
        <v>108</v>
      </c>
      <c r="U58" s="86" t="s">
        <v>551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124.06119999999999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122.7414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121.4216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120.1018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118.782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9" priority="25">
      <formula>F24&gt;0</formula>
    </cfRule>
    <cfRule type="expression" dxfId="388" priority="26">
      <formula>F24&lt;0</formula>
    </cfRule>
  </conditionalFormatting>
  <conditionalFormatting sqref="H21:H27">
    <cfRule type="expression" dxfId="387" priority="19">
      <formula>H21&gt;0</formula>
    </cfRule>
    <cfRule type="expression" dxfId="386" priority="20">
      <formula>H21&lt;0</formula>
    </cfRule>
  </conditionalFormatting>
  <conditionalFormatting sqref="F21:F23">
    <cfRule type="expression" dxfId="385" priority="5">
      <formula>F21&gt;0</formula>
    </cfRule>
    <cfRule type="expression" dxfId="384" priority="6">
      <formula>F21&lt;0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236.99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236.99</v>
      </c>
      <c r="R4" s="478">
        <v>8.9999999999999998E-4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7"/>
      <c r="C21" s="10"/>
      <c r="D21" s="39"/>
      <c r="E21" s="39"/>
      <c r="F21" s="39"/>
      <c r="G21" s="39"/>
      <c r="H21" s="226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7"/>
      <c r="C22" s="10"/>
      <c r="D22" s="196"/>
      <c r="E22" s="196"/>
      <c r="F22" s="39"/>
      <c r="G22" s="39"/>
      <c r="H22" s="226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6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6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6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6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6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6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7" t="s">
        <v>78</v>
      </c>
      <c r="P41" s="84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260.68900000000002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258.31910000000005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255.94920000000002</v>
      </c>
      <c r="Q44" s="2"/>
      <c r="T44" s="132" t="s">
        <v>99</v>
      </c>
      <c r="U44" s="86" t="s">
        <v>645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253.57930000000002</v>
      </c>
      <c r="Q45" s="2"/>
      <c r="T45" s="132" t="s">
        <v>100</v>
      </c>
      <c r="U45" s="86" t="s">
        <v>646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251.20940000000002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248.83950000000002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246.46960000000001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244.09970000000001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241.72980000000001</v>
      </c>
      <c r="Q50" s="2"/>
      <c r="T50" s="132" t="s">
        <v>104</v>
      </c>
      <c r="U50" s="86" t="s">
        <v>647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239.35990000000001</v>
      </c>
      <c r="Q51" s="2"/>
      <c r="T51" s="132" t="s">
        <v>105</v>
      </c>
      <c r="U51" s="86" t="s">
        <v>503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236.99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234.62010000000001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232.25020000000001</v>
      </c>
      <c r="Q54" s="2"/>
      <c r="T54" s="132" t="s">
        <v>107</v>
      </c>
      <c r="U54" s="86" t="s">
        <v>648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229.88030000000001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227.5104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225.1405</v>
      </c>
      <c r="T57" s="132" t="s">
        <v>108</v>
      </c>
      <c r="U57" s="86" t="s">
        <v>556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222.7706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220.40070000000003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218.03080000000003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215.66090000000003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213.29100000000003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9" priority="11">
      <formula>F21&gt;0</formula>
    </cfRule>
    <cfRule type="expression" dxfId="378" priority="12">
      <formula>F21&lt;0</formula>
    </cfRule>
  </conditionalFormatting>
  <conditionalFormatting sqref="H21:H23">
    <cfRule type="expression" dxfId="377" priority="9">
      <formula>H21&gt;0</formula>
    </cfRule>
    <cfRule type="expression" dxfId="376" priority="10">
      <formula>H21&lt;0</formula>
    </cfRule>
  </conditionalFormatting>
  <conditionalFormatting sqref="Q8">
    <cfRule type="expression" dxfId="375" priority="1">
      <formula>Q8&gt;0</formula>
    </cfRule>
    <cfRule type="expression" dxfId="374" priority="2">
      <formula>Q8&lt;0</formula>
    </cfRule>
  </conditionalFormatting>
  <conditionalFormatting sqref="Q7">
    <cfRule type="expression" dxfId="373" priority="3">
      <formula>Q7&gt;0</formula>
    </cfRule>
    <cfRule type="expression" dxfId="37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4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78">
        <v>1.0800000000000001E-2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SumByColor($A$19,H3:H17)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7">
        <v>42485</v>
      </c>
      <c r="C25" s="231">
        <v>80</v>
      </c>
      <c r="D25" s="232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5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7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5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7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5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7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5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7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5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7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5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7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5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7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5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7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5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7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5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7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5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7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5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7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5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7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5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7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5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7">
        <v>42549</v>
      </c>
      <c r="C40" s="428">
        <v>450</v>
      </c>
      <c r="D40" s="42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5">
        <f t="shared" ref="H40:H57" si="7">(E40-D40)/D40</f>
        <v>-0.11924456283325108</v>
      </c>
      <c r="I40" s="39"/>
      <c r="O40" s="847" t="s">
        <v>78</v>
      </c>
      <c r="P40" s="84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7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5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7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5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7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5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7">
        <v>42557</v>
      </c>
      <c r="C44" s="428">
        <v>450</v>
      </c>
      <c r="D44" s="42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5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7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5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7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5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7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5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7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5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7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5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344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7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5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7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5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677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7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5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7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5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7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5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7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5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678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7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5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7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5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7">
        <v>42598</v>
      </c>
      <c r="C58" s="10">
        <v>0</v>
      </c>
      <c r="D58" s="39"/>
      <c r="E58" s="39"/>
      <c r="F58" s="39">
        <v>1461.56</v>
      </c>
      <c r="G58" s="39"/>
      <c r="H58" s="225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1" t="s">
        <v>1</v>
      </c>
      <c r="B76" s="371" t="s">
        <v>2</v>
      </c>
      <c r="C76" s="371" t="s">
        <v>4</v>
      </c>
      <c r="D76" s="373" t="s">
        <v>5</v>
      </c>
      <c r="E76" s="373" t="s">
        <v>94</v>
      </c>
      <c r="F76" s="373" t="s">
        <v>60</v>
      </c>
      <c r="G76" s="371" t="s">
        <v>3</v>
      </c>
      <c r="H76" s="371" t="s">
        <v>6</v>
      </c>
      <c r="I76" s="373" t="s">
        <v>7</v>
      </c>
      <c r="J76" s="373" t="s">
        <v>95</v>
      </c>
      <c r="K76" s="373" t="s">
        <v>61</v>
      </c>
      <c r="L76" s="371" t="s">
        <v>37</v>
      </c>
      <c r="M76" s="371" t="s">
        <v>38</v>
      </c>
    </row>
    <row r="77" spans="1:31" x14ac:dyDescent="0.25">
      <c r="A77" s="374" t="s">
        <v>13</v>
      </c>
      <c r="B77" s="364">
        <v>42485</v>
      </c>
      <c r="C77" s="365">
        <v>80</v>
      </c>
      <c r="D77" s="366">
        <v>49.5</v>
      </c>
      <c r="E77" s="366">
        <v>0</v>
      </c>
      <c r="F77" s="366">
        <f t="shared" ref="F77:F85" si="9">D77*C77+E77</f>
        <v>3960</v>
      </c>
      <c r="G77" s="365"/>
      <c r="H77" s="365"/>
      <c r="I77" s="366"/>
      <c r="J77" s="366"/>
      <c r="K77" s="366"/>
      <c r="L77" s="364"/>
      <c r="M77" s="365"/>
    </row>
    <row r="78" spans="1:31" x14ac:dyDescent="0.25">
      <c r="A78" s="375" t="s">
        <v>71</v>
      </c>
      <c r="B78" s="364">
        <v>42489</v>
      </c>
      <c r="C78" s="365">
        <v>20</v>
      </c>
      <c r="D78" s="366">
        <v>46.95</v>
      </c>
      <c r="E78" s="366">
        <v>0</v>
      </c>
      <c r="F78" s="366">
        <f t="shared" si="9"/>
        <v>939</v>
      </c>
      <c r="G78" s="365"/>
      <c r="H78" s="366"/>
      <c r="I78" s="366"/>
      <c r="J78" s="366"/>
      <c r="K78" s="366"/>
      <c r="L78" s="365"/>
      <c r="M78" s="365"/>
    </row>
    <row r="79" spans="1:31" x14ac:dyDescent="0.25">
      <c r="A79" s="365"/>
      <c r="B79" s="364">
        <v>42489</v>
      </c>
      <c r="C79" s="365">
        <v>50</v>
      </c>
      <c r="D79" s="366">
        <v>45.91</v>
      </c>
      <c r="E79" s="366">
        <v>0</v>
      </c>
      <c r="F79" s="366">
        <f t="shared" si="9"/>
        <v>2295.5</v>
      </c>
      <c r="G79" s="365"/>
      <c r="H79" s="365"/>
      <c r="I79" s="366"/>
      <c r="J79" s="366"/>
      <c r="K79" s="366"/>
      <c r="L79" s="365"/>
      <c r="M79" s="365"/>
    </row>
    <row r="80" spans="1:31" x14ac:dyDescent="0.25">
      <c r="A80" s="365"/>
      <c r="B80" s="364">
        <v>42495</v>
      </c>
      <c r="C80" s="365">
        <v>25</v>
      </c>
      <c r="D80" s="366">
        <v>45</v>
      </c>
      <c r="E80" s="366">
        <v>0</v>
      </c>
      <c r="F80" s="366">
        <f t="shared" si="9"/>
        <v>1125</v>
      </c>
      <c r="G80" s="364">
        <v>42557</v>
      </c>
      <c r="H80" s="365">
        <v>150</v>
      </c>
      <c r="I80" s="366">
        <v>39.28</v>
      </c>
      <c r="J80" s="366">
        <v>0.13</v>
      </c>
      <c r="K80" s="366">
        <f t="shared" ref="K80:K85" si="10">I80*H80-J80</f>
        <v>5891.87</v>
      </c>
      <c r="L80" s="365"/>
      <c r="M80" s="365"/>
    </row>
    <row r="81" spans="1:13" x14ac:dyDescent="0.25">
      <c r="A81" s="365"/>
      <c r="B81" s="364">
        <v>42502</v>
      </c>
      <c r="C81" s="365">
        <v>25</v>
      </c>
      <c r="D81" s="366">
        <v>44.09</v>
      </c>
      <c r="E81" s="366">
        <v>0</v>
      </c>
      <c r="F81" s="366">
        <f t="shared" si="9"/>
        <v>1102.25</v>
      </c>
      <c r="G81" s="364">
        <v>42562</v>
      </c>
      <c r="H81" s="365">
        <v>50</v>
      </c>
      <c r="I81" s="366">
        <v>42.68</v>
      </c>
      <c r="J81" s="366">
        <v>0.05</v>
      </c>
      <c r="K81" s="366">
        <f t="shared" si="10"/>
        <v>2133.9499999999998</v>
      </c>
      <c r="L81" s="365"/>
      <c r="M81" s="365"/>
    </row>
    <row r="82" spans="1:13" x14ac:dyDescent="0.25">
      <c r="A82" s="365"/>
      <c r="B82" s="364">
        <v>42535</v>
      </c>
      <c r="C82" s="365">
        <v>40</v>
      </c>
      <c r="D82" s="366">
        <v>43.19</v>
      </c>
      <c r="E82" s="366">
        <v>0</v>
      </c>
      <c r="F82" s="366">
        <f t="shared" si="9"/>
        <v>1727.6</v>
      </c>
      <c r="G82" s="364">
        <v>42566</v>
      </c>
      <c r="H82" s="365">
        <v>40</v>
      </c>
      <c r="I82" s="366">
        <v>47.51</v>
      </c>
      <c r="J82" s="366">
        <v>0.04</v>
      </c>
      <c r="K82" s="366">
        <f t="shared" si="10"/>
        <v>1900.36</v>
      </c>
      <c r="L82" s="365"/>
      <c r="M82" s="365"/>
    </row>
    <row r="83" spans="1:13" x14ac:dyDescent="0.25">
      <c r="A83" s="365"/>
      <c r="B83" s="364">
        <v>42545</v>
      </c>
      <c r="C83" s="365">
        <v>100</v>
      </c>
      <c r="D83" s="366">
        <v>42.28</v>
      </c>
      <c r="E83" s="366">
        <v>0</v>
      </c>
      <c r="F83" s="366">
        <f t="shared" si="9"/>
        <v>4228</v>
      </c>
      <c r="G83" s="364">
        <v>42587</v>
      </c>
      <c r="H83" s="365">
        <v>210</v>
      </c>
      <c r="I83" s="366">
        <v>47.58</v>
      </c>
      <c r="J83" s="366">
        <v>0.22</v>
      </c>
      <c r="K83" s="366">
        <f t="shared" si="10"/>
        <v>9991.58</v>
      </c>
      <c r="L83" s="365"/>
      <c r="M83" s="365"/>
    </row>
    <row r="84" spans="1:13" x14ac:dyDescent="0.25">
      <c r="A84" s="365"/>
      <c r="B84" s="364">
        <v>42545</v>
      </c>
      <c r="C84" s="365">
        <v>110</v>
      </c>
      <c r="D84" s="366">
        <v>41.12</v>
      </c>
      <c r="E84" s="366">
        <v>0</v>
      </c>
      <c r="F84" s="366">
        <f t="shared" si="9"/>
        <v>4523.2</v>
      </c>
      <c r="G84" s="364">
        <v>42593</v>
      </c>
      <c r="H84" s="365">
        <v>50</v>
      </c>
      <c r="I84" s="366">
        <v>47.35</v>
      </c>
      <c r="J84" s="366">
        <v>0.05</v>
      </c>
      <c r="K84" s="366">
        <f t="shared" si="10"/>
        <v>2367.4499999999998</v>
      </c>
      <c r="L84" s="365"/>
      <c r="M84" s="365"/>
    </row>
    <row r="85" spans="1:13" x14ac:dyDescent="0.25">
      <c r="A85" s="365"/>
      <c r="B85" s="364">
        <v>42557</v>
      </c>
      <c r="C85" s="365">
        <v>150</v>
      </c>
      <c r="D85" s="366">
        <v>38.08</v>
      </c>
      <c r="E85" s="366">
        <v>0</v>
      </c>
      <c r="F85" s="366">
        <f t="shared" si="9"/>
        <v>5712</v>
      </c>
      <c r="G85" s="364">
        <v>42597</v>
      </c>
      <c r="H85" s="365">
        <v>100</v>
      </c>
      <c r="I85" s="366">
        <v>47.89</v>
      </c>
      <c r="J85" s="366">
        <v>0.1</v>
      </c>
      <c r="K85" s="366">
        <f t="shared" si="10"/>
        <v>4788.8999999999996</v>
      </c>
      <c r="L85" s="365"/>
      <c r="M85" s="365"/>
    </row>
    <row r="86" spans="1:13" x14ac:dyDescent="0.25">
      <c r="A86" s="365"/>
      <c r="B86" s="364"/>
      <c r="C86" s="365"/>
      <c r="D86" s="366"/>
      <c r="E86" s="366"/>
      <c r="F86" s="366"/>
      <c r="G86" s="365"/>
      <c r="H86" s="365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5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5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5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365"/>
      <c r="B91" s="365"/>
      <c r="C91" s="365"/>
      <c r="D91" s="366"/>
      <c r="E91" s="366"/>
      <c r="F91" s="366"/>
      <c r="G91" s="365"/>
      <c r="H91" s="365"/>
      <c r="I91" s="366"/>
      <c r="J91" s="366"/>
      <c r="K91" s="366"/>
      <c r="L91" s="365"/>
      <c r="M91" s="365"/>
    </row>
    <row r="92" spans="1:13" x14ac:dyDescent="0.25">
      <c r="A92" s="365"/>
      <c r="B92" s="365"/>
      <c r="C92" s="365"/>
      <c r="D92" s="366"/>
      <c r="E92" s="366"/>
      <c r="F92" s="366"/>
      <c r="G92" s="365"/>
      <c r="H92" s="365"/>
      <c r="I92" s="366"/>
      <c r="J92" s="366"/>
      <c r="K92" s="366"/>
      <c r="L92" s="365"/>
      <c r="M92" s="36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7" t="s">
        <v>194</v>
      </c>
      <c r="B94" s="448"/>
      <c r="C94" s="449">
        <f>SumByColor($A$19,C77:C92)</f>
        <v>0</v>
      </c>
      <c r="D94" s="449"/>
      <c r="E94" s="449"/>
      <c r="F94" s="450">
        <f>SumByColor($A$19,F77:F92)</f>
        <v>0</v>
      </c>
      <c r="G94" s="449"/>
      <c r="H94" s="449">
        <f>SumByColor($A$19,H78:H92)</f>
        <v>0</v>
      </c>
      <c r="I94" s="449"/>
      <c r="J94" s="449"/>
      <c r="K94" s="450">
        <f>SumByColor($A$19,K78:K92)</f>
        <v>0</v>
      </c>
      <c r="L94" s="449"/>
      <c r="M94" s="45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71" priority="15">
      <formula>F29&gt;0</formula>
    </cfRule>
    <cfRule type="expression" dxfId="370" priority="16">
      <formula>F29&lt;0</formula>
    </cfRule>
  </conditionalFormatting>
  <conditionalFormatting sqref="F34:F62">
    <cfRule type="expression" dxfId="369" priority="11">
      <formula>F34&gt;0</formula>
    </cfRule>
    <cfRule type="expression" dxfId="368" priority="12">
      <formula>F34&lt;0</formula>
    </cfRule>
  </conditionalFormatting>
  <conditionalFormatting sqref="F34:F62">
    <cfRule type="expression" dxfId="367" priority="13">
      <formula>F34&gt;0</formula>
    </cfRule>
    <cfRule type="expression" dxfId="366" priority="14">
      <formula>F34&lt;0</formula>
    </cfRule>
  </conditionalFormatting>
  <conditionalFormatting sqref="H29:H62">
    <cfRule type="expression" dxfId="365" priority="9">
      <formula>H29&gt;0</formula>
    </cfRule>
    <cfRule type="expression" dxfId="364" priority="10">
      <formula>H29&lt;0</formula>
    </cfRule>
  </conditionalFormatting>
  <conditionalFormatting sqref="F25:F28">
    <cfRule type="expression" dxfId="363" priority="7">
      <formula>F25&gt;0</formula>
    </cfRule>
    <cfRule type="expression" dxfId="362" priority="8">
      <formula>F25&lt;0</formula>
    </cfRule>
  </conditionalFormatting>
  <conditionalFormatting sqref="H25:H28">
    <cfRule type="expression" dxfId="361" priority="5">
      <formula>H25&gt;0</formula>
    </cfRule>
    <cfRule type="expression" dxfId="360" priority="6">
      <formula>H25&lt;0</formula>
    </cfRule>
  </conditionalFormatting>
  <conditionalFormatting sqref="Q7">
    <cfRule type="expression" dxfId="359" priority="3">
      <formula>Q7&gt;0</formula>
    </cfRule>
    <cfRule type="expression" dxfId="358" priority="4">
      <formula>Q7&lt;0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62.94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62.94</v>
      </c>
      <c r="R4" s="495">
        <v>2.6800000000000001E-2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4" t="s">
        <v>113</v>
      </c>
      <c r="C24" s="365" t="s">
        <v>146</v>
      </c>
      <c r="D24" s="366" t="s">
        <v>145</v>
      </c>
      <c r="E24" s="366" t="s">
        <v>147</v>
      </c>
      <c r="F24" s="366" t="s">
        <v>65</v>
      </c>
      <c r="G24" s="366" t="s">
        <v>151</v>
      </c>
      <c r="H24" s="367" t="s">
        <v>88</v>
      </c>
      <c r="I24" s="36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7" t="s">
        <v>78</v>
      </c>
      <c r="P40" s="847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69.234000000000009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68.604600000000005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2"/>
        <v>67.975200000000001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2"/>
        <v>67.345799999999997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2"/>
        <v>66.716400000000007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2"/>
        <v>66.087000000000003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2"/>
        <v>65.457599999999999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2"/>
        <v>64.828199999999995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2"/>
        <v>64.198800000000006</v>
      </c>
      <c r="Q49" s="2"/>
      <c r="T49" s="91" t="s">
        <v>103</v>
      </c>
      <c r="U49" s="86" t="s">
        <v>649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2"/>
        <v>63.569400000000002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2"/>
        <v>62.94</v>
      </c>
      <c r="Q51" s="2"/>
      <c r="T51" s="91" t="s">
        <v>104</v>
      </c>
      <c r="U51" s="86" t="s">
        <v>650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2"/>
        <v>62.310599999999994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2"/>
        <v>61.681199999999997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2"/>
        <v>61.051799999999993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7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2"/>
        <v>60.422399999999996</v>
      </c>
      <c r="T55" s="91" t="s">
        <v>107</v>
      </c>
      <c r="U55" s="86" t="s">
        <v>651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2"/>
        <v>59.792999999999992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2"/>
        <v>59.163599999999995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2"/>
        <v>58.534199999999998</v>
      </c>
      <c r="T58" s="91" t="s">
        <v>108</v>
      </c>
      <c r="U58" s="86" t="s">
        <v>557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2"/>
        <v>57.904800000000002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2"/>
        <v>57.275399999999998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2"/>
        <v>56.646000000000001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7"/>
      <c r="C65" s="10"/>
      <c r="D65" s="39"/>
      <c r="E65" s="39"/>
      <c r="F65" s="39"/>
      <c r="G65" s="39"/>
      <c r="H65" s="225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7"/>
      <c r="C66" s="10"/>
      <c r="D66" s="39"/>
      <c r="E66" s="39"/>
      <c r="F66" s="39"/>
      <c r="G66" s="39"/>
      <c r="H66" s="225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1" t="s">
        <v>1</v>
      </c>
      <c r="B68" s="371" t="s">
        <v>2</v>
      </c>
      <c r="C68" s="371" t="s">
        <v>4</v>
      </c>
      <c r="D68" s="373" t="s">
        <v>5</v>
      </c>
      <c r="E68" s="373" t="s">
        <v>94</v>
      </c>
      <c r="F68" s="373" t="s">
        <v>60</v>
      </c>
      <c r="G68" s="371" t="s">
        <v>3</v>
      </c>
      <c r="H68" s="371" t="s">
        <v>6</v>
      </c>
      <c r="I68" s="373" t="s">
        <v>7</v>
      </c>
      <c r="J68" s="373" t="s">
        <v>95</v>
      </c>
      <c r="K68" s="373" t="s">
        <v>61</v>
      </c>
      <c r="L68" s="371" t="s">
        <v>37</v>
      </c>
      <c r="M68" s="37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4" t="s">
        <v>52</v>
      </c>
      <c r="B69" s="364">
        <v>42488</v>
      </c>
      <c r="C69" s="365">
        <v>30</v>
      </c>
      <c r="D69" s="366">
        <v>79.349999999999994</v>
      </c>
      <c r="E69" s="366">
        <v>0</v>
      </c>
      <c r="F69" s="366">
        <f>D69*C69+E69</f>
        <v>2380.5</v>
      </c>
      <c r="G69" s="364">
        <v>42521</v>
      </c>
      <c r="H69" s="369">
        <v>25</v>
      </c>
      <c r="I69" s="366">
        <v>79.05</v>
      </c>
      <c r="J69" s="366">
        <v>0.04</v>
      </c>
      <c r="K69" s="366">
        <f>I69*H69-J69</f>
        <v>1976.21</v>
      </c>
      <c r="L69" s="364">
        <v>42566</v>
      </c>
      <c r="M69" s="36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5" t="s">
        <v>71</v>
      </c>
      <c r="B70" s="364">
        <v>42495</v>
      </c>
      <c r="C70" s="365">
        <v>20</v>
      </c>
      <c r="D70" s="366">
        <v>76.25</v>
      </c>
      <c r="E70" s="366">
        <v>0</v>
      </c>
      <c r="F70" s="366">
        <f>D70*C70+E70</f>
        <v>1525</v>
      </c>
      <c r="G70" s="364">
        <v>42552</v>
      </c>
      <c r="H70" s="369">
        <v>25</v>
      </c>
      <c r="I70" s="366">
        <v>78.28</v>
      </c>
      <c r="J70" s="366">
        <v>0.04</v>
      </c>
      <c r="K70" s="366">
        <f>I70*H70-J70</f>
        <v>1956.96</v>
      </c>
      <c r="L70" s="365"/>
      <c r="M70" s="365"/>
    </row>
    <row r="71" spans="1:31" x14ac:dyDescent="0.25">
      <c r="A71" s="365"/>
      <c r="B71" s="364">
        <v>42537</v>
      </c>
      <c r="C71" s="365">
        <v>25</v>
      </c>
      <c r="D71" s="366">
        <v>75.88</v>
      </c>
      <c r="E71" s="366">
        <v>0</v>
      </c>
      <c r="F71" s="366">
        <f>D71*C71+E71</f>
        <v>1897</v>
      </c>
      <c r="G71" s="364">
        <v>42577</v>
      </c>
      <c r="H71" s="369">
        <v>10</v>
      </c>
      <c r="I71" s="366">
        <v>83.3</v>
      </c>
      <c r="J71" s="366">
        <v>0.02</v>
      </c>
      <c r="K71" s="366">
        <f>I71*H71-J71</f>
        <v>832.98</v>
      </c>
      <c r="L71" s="365"/>
      <c r="M71" s="365"/>
    </row>
    <row r="72" spans="1:31" x14ac:dyDescent="0.25">
      <c r="A72" s="365"/>
      <c r="B72" s="364">
        <v>42548</v>
      </c>
      <c r="C72" s="365">
        <v>25</v>
      </c>
      <c r="D72" s="366">
        <v>73.58</v>
      </c>
      <c r="E72" s="366">
        <v>0</v>
      </c>
      <c r="F72" s="366">
        <f>D72*C72+E72</f>
        <v>1839.5</v>
      </c>
      <c r="G72" s="364">
        <v>42580</v>
      </c>
      <c r="H72" s="369">
        <v>40</v>
      </c>
      <c r="I72" s="366">
        <v>83.33</v>
      </c>
      <c r="J72" s="366">
        <v>7.0000000000000007E-2</v>
      </c>
      <c r="K72" s="366">
        <f>I72*H72-J72</f>
        <v>3333.1299999999997</v>
      </c>
      <c r="L72" s="365"/>
      <c r="M72" s="365"/>
    </row>
    <row r="73" spans="1:31" x14ac:dyDescent="0.25">
      <c r="A73" s="365"/>
      <c r="B73" s="364">
        <v>42608</v>
      </c>
      <c r="C73" s="365">
        <v>25</v>
      </c>
      <c r="D73" s="366">
        <v>79.02</v>
      </c>
      <c r="E73" s="366">
        <v>0</v>
      </c>
      <c r="F73" s="366">
        <f t="shared" ref="F73:F79" si="3">C73*D73+E73</f>
        <v>1975.5</v>
      </c>
      <c r="G73" s="364">
        <v>42674</v>
      </c>
      <c r="H73" s="369">
        <v>25</v>
      </c>
      <c r="I73" s="366">
        <v>70.900000000000006</v>
      </c>
      <c r="J73" s="366">
        <v>0.04</v>
      </c>
      <c r="K73" s="366">
        <f>H73*I73-J73</f>
        <v>1772.4600000000003</v>
      </c>
      <c r="L73" s="364">
        <v>42660</v>
      </c>
      <c r="M73" s="366">
        <v>22.45</v>
      </c>
    </row>
    <row r="74" spans="1:31" x14ac:dyDescent="0.25">
      <c r="A74" s="365"/>
      <c r="B74" s="364">
        <v>42627</v>
      </c>
      <c r="C74" s="365">
        <v>25</v>
      </c>
      <c r="D74" s="366">
        <v>76.3</v>
      </c>
      <c r="E74" s="366">
        <v>0</v>
      </c>
      <c r="F74" s="366">
        <f t="shared" si="3"/>
        <v>1907.5</v>
      </c>
      <c r="G74" s="364">
        <v>42711</v>
      </c>
      <c r="H74" s="369">
        <v>25</v>
      </c>
      <c r="I74" s="366">
        <v>69.680000000000007</v>
      </c>
      <c r="J74" s="366">
        <v>0.04</v>
      </c>
      <c r="K74" s="366">
        <f>H74*I74-J74</f>
        <v>1741.9600000000003</v>
      </c>
      <c r="L74" s="364">
        <v>42753</v>
      </c>
      <c r="M74" s="366">
        <v>22.45</v>
      </c>
    </row>
    <row r="75" spans="1:31" x14ac:dyDescent="0.25">
      <c r="A75" s="365"/>
      <c r="B75" s="364">
        <v>42668</v>
      </c>
      <c r="C75" s="365">
        <v>25</v>
      </c>
      <c r="D75" s="366">
        <v>74.38</v>
      </c>
      <c r="E75" s="366">
        <v>0</v>
      </c>
      <c r="F75" s="366">
        <f t="shared" si="3"/>
        <v>1859.5</v>
      </c>
      <c r="G75" s="364">
        <v>42713</v>
      </c>
      <c r="H75" s="369">
        <v>50</v>
      </c>
      <c r="I75" s="366">
        <v>72.58</v>
      </c>
      <c r="J75" s="366">
        <v>0.08</v>
      </c>
      <c r="K75" s="366">
        <f>H75*I75-J75</f>
        <v>3628.92</v>
      </c>
      <c r="L75" s="365"/>
      <c r="M75" s="365"/>
    </row>
    <row r="76" spans="1:31" x14ac:dyDescent="0.25">
      <c r="A76" s="365"/>
      <c r="B76" s="364">
        <v>42671</v>
      </c>
      <c r="C76" s="365">
        <v>25</v>
      </c>
      <c r="D76" s="366">
        <v>64.7</v>
      </c>
      <c r="E76" s="366">
        <v>0</v>
      </c>
      <c r="F76" s="366">
        <f t="shared" si="3"/>
        <v>1617.5</v>
      </c>
      <c r="G76" s="364">
        <v>42713</v>
      </c>
      <c r="H76" s="369">
        <v>25</v>
      </c>
      <c r="I76" s="366">
        <v>73.25</v>
      </c>
      <c r="J76" s="366">
        <v>0.04</v>
      </c>
      <c r="K76" s="366">
        <f>H76*I76-J76</f>
        <v>1831.21</v>
      </c>
      <c r="L76" s="365"/>
      <c r="M76" s="365"/>
    </row>
    <row r="77" spans="1:31" x14ac:dyDescent="0.25">
      <c r="A77" s="365"/>
      <c r="B77" s="364">
        <v>42674</v>
      </c>
      <c r="C77" s="365">
        <v>25</v>
      </c>
      <c r="D77" s="366">
        <v>69.680000000000007</v>
      </c>
      <c r="E77" s="366">
        <v>0</v>
      </c>
      <c r="F77" s="366">
        <f t="shared" si="3"/>
        <v>1742.0000000000002</v>
      </c>
      <c r="G77" s="364">
        <v>42752</v>
      </c>
      <c r="H77" s="369">
        <v>50</v>
      </c>
      <c r="I77" s="366">
        <v>75.69</v>
      </c>
      <c r="J77" s="366">
        <v>0.33</v>
      </c>
      <c r="K77" s="366">
        <f>H77*I77-J77</f>
        <v>3784.17</v>
      </c>
      <c r="L77" s="365"/>
      <c r="M77" s="365"/>
    </row>
    <row r="78" spans="1:31" x14ac:dyDescent="0.25">
      <c r="A78" s="365"/>
      <c r="B78" s="364">
        <v>42711</v>
      </c>
      <c r="C78" s="365">
        <v>25</v>
      </c>
      <c r="D78" s="366">
        <v>68.8</v>
      </c>
      <c r="E78" s="366">
        <v>0</v>
      </c>
      <c r="F78" s="366">
        <f t="shared" si="3"/>
        <v>1720</v>
      </c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>
        <v>42718</v>
      </c>
      <c r="C79" s="365">
        <v>25</v>
      </c>
      <c r="D79" s="366">
        <v>72.48</v>
      </c>
      <c r="E79" s="366">
        <v>0</v>
      </c>
      <c r="F79" s="366">
        <f t="shared" si="3"/>
        <v>1812</v>
      </c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437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7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5"/>
      <c r="M80" s="365"/>
    </row>
    <row r="81" spans="1:13" x14ac:dyDescent="0.25">
      <c r="A81" s="36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7" t="s">
        <v>194</v>
      </c>
      <c r="B86" s="448"/>
      <c r="C86" s="449">
        <f>SumByColor($A$19,C69:C84)</f>
        <v>25</v>
      </c>
      <c r="D86" s="449"/>
      <c r="E86" s="449"/>
      <c r="F86" s="450">
        <f>SumByColor($A$19,F69:F84)</f>
        <v>1793</v>
      </c>
      <c r="G86" s="449"/>
      <c r="H86" s="449">
        <f>SumByColor($A$19,H69:H84)</f>
        <v>25</v>
      </c>
      <c r="I86" s="449"/>
      <c r="J86" s="449"/>
      <c r="K86" s="450">
        <f>SumByColor($A$19,K69:K84)</f>
        <v>1944</v>
      </c>
      <c r="L86" s="449"/>
      <c r="M86" s="450">
        <f>SumByColor($A$19,M69:M84)</f>
        <v>0</v>
      </c>
    </row>
    <row r="92" spans="1:13" x14ac:dyDescent="0.25">
      <c r="B92" s="364" t="s">
        <v>113</v>
      </c>
      <c r="C92" s="365" t="s">
        <v>146</v>
      </c>
      <c r="D92" s="366" t="s">
        <v>145</v>
      </c>
      <c r="E92" s="366" t="s">
        <v>147</v>
      </c>
      <c r="F92" s="366" t="s">
        <v>65</v>
      </c>
      <c r="G92" s="366" t="s">
        <v>151</v>
      </c>
      <c r="H92" s="367" t="s">
        <v>88</v>
      </c>
      <c r="I92" s="366" t="s">
        <v>154</v>
      </c>
    </row>
    <row r="93" spans="1:13" x14ac:dyDescent="0.25">
      <c r="A93" s="500" t="s">
        <v>336</v>
      </c>
      <c r="B93" s="499">
        <v>42754</v>
      </c>
      <c r="C93" s="500">
        <v>25</v>
      </c>
      <c r="D93" s="501">
        <v>71.73</v>
      </c>
      <c r="E93" s="502">
        <v>75.55</v>
      </c>
      <c r="F93" s="502">
        <f>C93*(E93-D93)</f>
        <v>95.499999999999829</v>
      </c>
      <c r="G93" s="502">
        <f>D93*C93</f>
        <v>1793.25</v>
      </c>
      <c r="H93" s="544">
        <f>(E93-D93)/D93</f>
        <v>5.3255262791021787E-2</v>
      </c>
      <c r="I93" s="502">
        <v>70</v>
      </c>
    </row>
    <row r="94" spans="1:13" x14ac:dyDescent="0.25">
      <c r="A94" s="500" t="s">
        <v>367</v>
      </c>
      <c r="B94" s="499">
        <v>42761</v>
      </c>
      <c r="C94" s="500">
        <v>50</v>
      </c>
      <c r="D94" s="501">
        <v>72.155000000000001</v>
      </c>
      <c r="E94" s="502">
        <v>73.09</v>
      </c>
      <c r="F94" s="502">
        <f>C94*(E94-D94)</f>
        <v>46.750000000000114</v>
      </c>
      <c r="G94" s="502">
        <f>D94*C94</f>
        <v>3607.75</v>
      </c>
      <c r="H94" s="544">
        <f>(E94-D94)/D94</f>
        <v>1.2958214953918679E-2</v>
      </c>
      <c r="I94" s="502">
        <v>71</v>
      </c>
    </row>
    <row r="95" spans="1:13" x14ac:dyDescent="0.25">
      <c r="A95" s="500" t="s">
        <v>402</v>
      </c>
      <c r="B95" s="499">
        <v>42771</v>
      </c>
      <c r="C95" s="500">
        <v>50</v>
      </c>
      <c r="D95" s="501">
        <v>72.155000000000001</v>
      </c>
      <c r="E95" s="502">
        <v>74.87</v>
      </c>
      <c r="F95" s="502">
        <f>C95*(E95-D95)</f>
        <v>135.75000000000017</v>
      </c>
      <c r="G95" s="502">
        <f>D95*C95</f>
        <v>3607.75</v>
      </c>
      <c r="H95" s="544">
        <f>(E95-D95)/D95</f>
        <v>3.7627330053357402E-2</v>
      </c>
      <c r="I95" s="502"/>
    </row>
    <row r="96" spans="1:13" x14ac:dyDescent="0.25">
      <c r="A96" s="500" t="s">
        <v>407</v>
      </c>
      <c r="B96" s="499">
        <v>42773</v>
      </c>
      <c r="C96" s="500">
        <v>25</v>
      </c>
      <c r="D96" s="501">
        <v>66.531599999999997</v>
      </c>
      <c r="E96" s="502">
        <v>75.87</v>
      </c>
      <c r="F96" s="502">
        <f>C96*(E96-D96)</f>
        <v>233.46000000000018</v>
      </c>
      <c r="G96" s="502">
        <f>D96*C96</f>
        <v>1663.29</v>
      </c>
      <c r="H96" s="544">
        <f>(E96-D96)/D96</f>
        <v>0.14036037010984265</v>
      </c>
      <c r="I96" s="502"/>
    </row>
    <row r="97" spans="1:9" x14ac:dyDescent="0.25">
      <c r="A97" s="638"/>
      <c r="B97" s="639"/>
      <c r="C97" s="638"/>
      <c r="D97" s="640"/>
      <c r="E97" s="640"/>
      <c r="F97" s="640"/>
      <c r="G97" s="640"/>
      <c r="H97" s="641"/>
      <c r="I97" s="640"/>
    </row>
    <row r="98" spans="1:9" x14ac:dyDescent="0.25">
      <c r="A98" s="638" t="s">
        <v>442</v>
      </c>
      <c r="B98" s="639">
        <v>42787</v>
      </c>
      <c r="C98" s="638">
        <v>25</v>
      </c>
      <c r="D98" s="640">
        <v>72.58</v>
      </c>
      <c r="E98" s="640">
        <v>81.34</v>
      </c>
      <c r="F98" s="640">
        <f>C98*(E98-D98)</f>
        <v>219.00000000000011</v>
      </c>
      <c r="G98" s="640">
        <f>D98*C98</f>
        <v>1814.5</v>
      </c>
      <c r="H98" s="641">
        <f>(E98-D98)/D98</f>
        <v>0.12069440617249938</v>
      </c>
      <c r="I98" s="640"/>
    </row>
    <row r="99" spans="1:9" x14ac:dyDescent="0.25">
      <c r="A99" s="638"/>
      <c r="B99" s="639">
        <v>42796</v>
      </c>
      <c r="C99" s="638">
        <v>0</v>
      </c>
      <c r="D99" s="640"/>
      <c r="E99" s="640"/>
      <c r="F99" s="640">
        <v>244.96</v>
      </c>
      <c r="G99" s="640"/>
      <c r="H99" s="641"/>
      <c r="I99" s="640"/>
    </row>
    <row r="100" spans="1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1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1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1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1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1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1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1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1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1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1:9" x14ac:dyDescent="0.25">
      <c r="B110" s="187"/>
      <c r="C110" s="10"/>
      <c r="D110" s="39"/>
      <c r="E110" s="39"/>
      <c r="F110" s="39"/>
      <c r="G110" s="39"/>
      <c r="H110" s="225"/>
      <c r="I110" s="39"/>
    </row>
    <row r="111" spans="1:9" x14ac:dyDescent="0.25">
      <c r="B111" s="187"/>
      <c r="C111" s="10"/>
      <c r="D111" s="39"/>
      <c r="E111" s="39"/>
      <c r="F111" s="39"/>
      <c r="G111" s="39"/>
      <c r="H111" s="225"/>
      <c r="I111" s="39"/>
    </row>
    <row r="112" spans="1:9" x14ac:dyDescent="0.25">
      <c r="B112" s="187"/>
      <c r="C112" s="10"/>
      <c r="D112" s="39"/>
      <c r="E112" s="39"/>
      <c r="F112" s="39"/>
      <c r="G112" s="39"/>
      <c r="H112" s="225"/>
      <c r="I112" s="39"/>
    </row>
    <row r="113" spans="2:9" x14ac:dyDescent="0.25">
      <c r="B113" s="187"/>
      <c r="C113" s="10"/>
      <c r="D113" s="39"/>
      <c r="E113" s="39"/>
      <c r="F113" s="39"/>
      <c r="G113" s="39"/>
      <c r="H113" s="225"/>
      <c r="I113" s="39"/>
    </row>
    <row r="114" spans="2:9" x14ac:dyDescent="0.25">
      <c r="B114" s="187"/>
      <c r="C114" s="10"/>
      <c r="D114" s="39"/>
      <c r="E114" s="39"/>
      <c r="F114" s="39"/>
      <c r="G114" s="39"/>
      <c r="H114" s="225"/>
      <c r="I114" s="39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7"/>
      <c r="C116" s="10"/>
      <c r="D116" s="39"/>
      <c r="E116" s="39"/>
      <c r="F116" s="39"/>
      <c r="G116" s="39"/>
      <c r="H116" s="225"/>
      <c r="I116" s="39"/>
    </row>
    <row r="117" spans="2:9" x14ac:dyDescent="0.25">
      <c r="B117" s="187"/>
      <c r="C117" s="10"/>
      <c r="D117" s="39"/>
      <c r="E117" s="39"/>
      <c r="F117" s="39"/>
      <c r="G117" s="39"/>
      <c r="H117" s="225"/>
      <c r="I117" s="39"/>
    </row>
    <row r="118" spans="2:9" x14ac:dyDescent="0.25">
      <c r="B118" s="187"/>
      <c r="C118" s="10"/>
      <c r="D118" s="39"/>
      <c r="E118" s="39"/>
      <c r="F118" s="39"/>
      <c r="G118" s="39"/>
      <c r="H118" s="225"/>
      <c r="I118" s="39"/>
    </row>
    <row r="119" spans="2:9" x14ac:dyDescent="0.25">
      <c r="B119" s="187"/>
      <c r="C119" s="10"/>
      <c r="D119" s="39"/>
      <c r="E119" s="39"/>
      <c r="F119" s="39"/>
      <c r="G119" s="39"/>
      <c r="H119" s="225"/>
      <c r="I119" s="39"/>
    </row>
    <row r="120" spans="2:9" x14ac:dyDescent="0.25">
      <c r="B120" s="187"/>
      <c r="C120" s="10"/>
      <c r="D120" s="39"/>
      <c r="E120" s="39"/>
      <c r="F120" s="39"/>
      <c r="G120" s="39"/>
      <c r="H120" s="225"/>
      <c r="I120" s="39"/>
    </row>
    <row r="121" spans="2:9" x14ac:dyDescent="0.25">
      <c r="B121" s="187"/>
      <c r="C121" s="10"/>
      <c r="D121" s="39"/>
      <c r="E121" s="39"/>
      <c r="F121" s="39"/>
      <c r="G121" s="39"/>
      <c r="H121" s="225"/>
      <c r="I121" s="39"/>
    </row>
    <row r="122" spans="2:9" x14ac:dyDescent="0.25">
      <c r="B122" s="187"/>
      <c r="C122" s="10"/>
      <c r="D122" s="39"/>
      <c r="E122" s="39"/>
      <c r="F122" s="39"/>
      <c r="G122" s="39"/>
      <c r="H122" s="225"/>
      <c r="I122" s="39"/>
    </row>
    <row r="123" spans="2:9" x14ac:dyDescent="0.25">
      <c r="B123" s="187"/>
      <c r="C123" s="10"/>
      <c r="D123" s="39"/>
      <c r="E123" s="39"/>
      <c r="F123" s="39"/>
      <c r="G123" s="39"/>
      <c r="H123" s="225"/>
      <c r="I123" s="39"/>
    </row>
    <row r="124" spans="2:9" x14ac:dyDescent="0.25">
      <c r="B124" s="187"/>
      <c r="C124" s="10"/>
      <c r="D124" s="39"/>
      <c r="E124" s="39"/>
      <c r="F124" s="39"/>
      <c r="G124" s="39"/>
      <c r="H124" s="225"/>
      <c r="I124" s="39"/>
    </row>
    <row r="125" spans="2:9" x14ac:dyDescent="0.25">
      <c r="B125" s="187"/>
      <c r="C125" s="10"/>
      <c r="D125" s="39"/>
      <c r="E125" s="39"/>
      <c r="F125" s="39"/>
      <c r="G125" s="39"/>
      <c r="H125" s="225"/>
      <c r="I125" s="39"/>
    </row>
    <row r="126" spans="2:9" x14ac:dyDescent="0.25">
      <c r="B126" s="187"/>
      <c r="C126" s="10"/>
      <c r="D126" s="39"/>
      <c r="E126" s="39"/>
      <c r="F126" s="39"/>
      <c r="G126" s="39"/>
      <c r="H126" s="225"/>
      <c r="I126" s="39"/>
    </row>
    <row r="127" spans="2:9" x14ac:dyDescent="0.25">
      <c r="B127" s="187"/>
      <c r="C127" s="10"/>
      <c r="D127" s="39"/>
      <c r="E127" s="39"/>
      <c r="F127" s="39"/>
      <c r="G127" s="39"/>
      <c r="H127" s="225"/>
      <c r="I127" s="39"/>
    </row>
    <row r="128" spans="2:9" x14ac:dyDescent="0.25">
      <c r="B128" s="187"/>
      <c r="C128" s="10"/>
      <c r="D128" s="39"/>
      <c r="E128" s="39"/>
      <c r="F128" s="39"/>
      <c r="G128" s="39"/>
      <c r="H128" s="225"/>
      <c r="I128" s="39"/>
    </row>
    <row r="129" spans="2:9" x14ac:dyDescent="0.25">
      <c r="B129" s="187"/>
      <c r="C129" s="10"/>
      <c r="D129" s="39"/>
      <c r="E129" s="39"/>
      <c r="F129" s="39"/>
      <c r="G129" s="39"/>
      <c r="H129" s="225"/>
      <c r="I129" s="39"/>
    </row>
    <row r="130" spans="2:9" x14ac:dyDescent="0.25">
      <c r="B130" s="187"/>
      <c r="C130" s="10"/>
      <c r="D130" s="39"/>
      <c r="E130" s="39"/>
      <c r="F130" s="39"/>
      <c r="G130" s="39"/>
      <c r="H130" s="225"/>
      <c r="I130" s="39"/>
    </row>
    <row r="131" spans="2:9" x14ac:dyDescent="0.25">
      <c r="B131" s="187"/>
      <c r="C131" s="10"/>
      <c r="D131" s="39"/>
      <c r="E131" s="39"/>
      <c r="F131" s="39"/>
      <c r="G131" s="39"/>
      <c r="H131" s="225"/>
      <c r="I131" s="39"/>
    </row>
    <row r="132" spans="2:9" x14ac:dyDescent="0.25">
      <c r="B132" s="187"/>
      <c r="C132" s="10"/>
      <c r="D132" s="39"/>
      <c r="E132" s="39"/>
      <c r="F132" s="39"/>
      <c r="G132" s="39"/>
      <c r="H132" s="225"/>
      <c r="I132" s="39"/>
    </row>
    <row r="133" spans="2:9" x14ac:dyDescent="0.25">
      <c r="B133" s="187"/>
      <c r="C133" s="10"/>
      <c r="D133" s="39"/>
      <c r="E133" s="39"/>
      <c r="F133" s="39"/>
      <c r="G133" s="39"/>
      <c r="H133" s="225"/>
      <c r="I133" s="39"/>
    </row>
    <row r="134" spans="2:9" x14ac:dyDescent="0.25">
      <c r="B134" s="187"/>
      <c r="C134" s="10"/>
      <c r="D134" s="39"/>
      <c r="E134" s="39"/>
      <c r="F134" s="39"/>
      <c r="G134" s="39"/>
      <c r="H134" s="225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5" priority="73">
      <formula>F25&gt;0</formula>
    </cfRule>
    <cfRule type="expression" dxfId="354" priority="74">
      <formula>F25&lt;0</formula>
    </cfRule>
  </conditionalFormatting>
  <conditionalFormatting sqref="F57:F64 F66">
    <cfRule type="expression" dxfId="353" priority="69">
      <formula>F57&gt;0</formula>
    </cfRule>
    <cfRule type="expression" dxfId="352" priority="70">
      <formula>F57&lt;0</formula>
    </cfRule>
  </conditionalFormatting>
  <conditionalFormatting sqref="F57:F64 F66">
    <cfRule type="expression" dxfId="351" priority="71">
      <formula>F57&gt;0</formula>
    </cfRule>
    <cfRule type="expression" dxfId="350" priority="72">
      <formula>F57&lt;0</formula>
    </cfRule>
  </conditionalFormatting>
  <conditionalFormatting sqref="H57:H64 H66">
    <cfRule type="expression" dxfId="349" priority="67">
      <formula>H57&gt;0</formula>
    </cfRule>
    <cfRule type="expression" dxfId="348" priority="68">
      <formula>H57&lt;0</formula>
    </cfRule>
  </conditionalFormatting>
  <conditionalFormatting sqref="Q7">
    <cfRule type="expression" dxfId="347" priority="49">
      <formula>Q7&gt;0</formula>
    </cfRule>
    <cfRule type="expression" dxfId="346" priority="50">
      <formula>Q7&lt;0</formula>
    </cfRule>
  </conditionalFormatting>
  <conditionalFormatting sqref="Q8">
    <cfRule type="expression" dxfId="345" priority="47">
      <formula>Q8&gt;0</formula>
    </cfRule>
    <cfRule type="expression" dxfId="344" priority="48">
      <formula>Q8&lt;0</formula>
    </cfRule>
  </conditionalFormatting>
  <conditionalFormatting sqref="F24">
    <cfRule type="expression" dxfId="343" priority="33">
      <formula>F24&gt;0</formula>
    </cfRule>
    <cfRule type="expression" dxfId="342" priority="34">
      <formula>F24&lt;0</formula>
    </cfRule>
  </conditionalFormatting>
  <conditionalFormatting sqref="H24">
    <cfRule type="expression" dxfId="341" priority="31">
      <formula>H24&gt;0</formula>
    </cfRule>
    <cfRule type="expression" dxfId="340" priority="32">
      <formula>H24&lt;0</formula>
    </cfRule>
  </conditionalFormatting>
  <conditionalFormatting sqref="M67">
    <cfRule type="expression" dxfId="339" priority="29">
      <formula>M67&gt;0</formula>
    </cfRule>
    <cfRule type="expression" dxfId="338" priority="30">
      <formula>M67&lt;0</formula>
    </cfRule>
  </conditionalFormatting>
  <conditionalFormatting sqref="F65">
    <cfRule type="expression" dxfId="337" priority="25">
      <formula>F65&gt;0</formula>
    </cfRule>
    <cfRule type="expression" dxfId="336" priority="26">
      <formula>F65&lt;0</formula>
    </cfRule>
  </conditionalFormatting>
  <conditionalFormatting sqref="F65">
    <cfRule type="expression" dxfId="335" priority="27">
      <formula>F65&gt;0</formula>
    </cfRule>
    <cfRule type="expression" dxfId="334" priority="28">
      <formula>F65&lt;0</formula>
    </cfRule>
  </conditionalFormatting>
  <conditionalFormatting sqref="H65">
    <cfRule type="expression" dxfId="333" priority="23">
      <formula>H65&gt;0</formula>
    </cfRule>
    <cfRule type="expression" dxfId="332" priority="24">
      <formula>H65&lt;0</formula>
    </cfRule>
  </conditionalFormatting>
  <conditionalFormatting sqref="F93:F97 H93:H97 H99:H124 F99:F124">
    <cfRule type="expression" dxfId="331" priority="19">
      <formula>F93&gt;0</formula>
    </cfRule>
    <cfRule type="expression" dxfId="330" priority="20">
      <formula>F93&lt;0</formula>
    </cfRule>
  </conditionalFormatting>
  <conditionalFormatting sqref="F125:F132 F134">
    <cfRule type="expression" dxfId="329" priority="15">
      <formula>F125&gt;0</formula>
    </cfRule>
    <cfRule type="expression" dxfId="328" priority="16">
      <formula>F125&lt;0</formula>
    </cfRule>
  </conditionalFormatting>
  <conditionalFormatting sqref="F125:F132 F134">
    <cfRule type="expression" dxfId="327" priority="17">
      <formula>F125&gt;0</formula>
    </cfRule>
    <cfRule type="expression" dxfId="326" priority="18">
      <formula>F125&lt;0</formula>
    </cfRule>
  </conditionalFormatting>
  <conditionalFormatting sqref="H125:H132 H134">
    <cfRule type="expression" dxfId="325" priority="13">
      <formula>H125&gt;0</formula>
    </cfRule>
    <cfRule type="expression" dxfId="324" priority="14">
      <formula>H125&lt;0</formula>
    </cfRule>
  </conditionalFormatting>
  <conditionalFormatting sqref="F92">
    <cfRule type="expression" dxfId="323" priority="11">
      <formula>F92&gt;0</formula>
    </cfRule>
    <cfRule type="expression" dxfId="322" priority="12">
      <formula>F92&lt;0</formula>
    </cfRule>
  </conditionalFormatting>
  <conditionalFormatting sqref="H92">
    <cfRule type="expression" dxfId="321" priority="9">
      <formula>H92&gt;0</formula>
    </cfRule>
    <cfRule type="expression" dxfId="320" priority="10">
      <formula>H92&lt;0</formula>
    </cfRule>
  </conditionalFormatting>
  <conditionalFormatting sqref="F133">
    <cfRule type="expression" dxfId="319" priority="5">
      <formula>F133&gt;0</formula>
    </cfRule>
    <cfRule type="expression" dxfId="318" priority="6">
      <formula>F133&lt;0</formula>
    </cfRule>
  </conditionalFormatting>
  <conditionalFormatting sqref="F133">
    <cfRule type="expression" dxfId="317" priority="7">
      <formula>F133&gt;0</formula>
    </cfRule>
    <cfRule type="expression" dxfId="316" priority="8">
      <formula>F133&lt;0</formula>
    </cfRule>
  </conditionalFormatting>
  <conditionalFormatting sqref="H133">
    <cfRule type="expression" dxfId="315" priority="3">
      <formula>H133&gt;0</formula>
    </cfRule>
    <cfRule type="expression" dxfId="314" priority="4">
      <formula>H133&lt;0</formula>
    </cfRule>
  </conditionalFormatting>
  <conditionalFormatting sqref="F98 H98">
    <cfRule type="expression" dxfId="313" priority="1">
      <formula>F98&gt;0</formula>
    </cfRule>
    <cfRule type="expression" dxfId="31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(F29-K29-M29)/Q2)</f>
        <v>49.274999999999999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195">
        <v>55.209899999999998</v>
      </c>
      <c r="R4" s="497">
        <v>1.21E-2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5520.99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1791.9599999999969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K29+M29-F29+Q2*Q4</f>
        <v>593.48999999999978</v>
      </c>
      <c r="R8" s="414"/>
      <c r="T8" s="29">
        <v>43202</v>
      </c>
      <c r="U8" t="s">
        <v>1028</v>
      </c>
    </row>
    <row r="9" spans="1:21" x14ac:dyDescent="0.25">
      <c r="B9" s="72"/>
      <c r="C9" s="4"/>
      <c r="D9" s="3"/>
      <c r="E9" s="3"/>
      <c r="F9" s="3"/>
      <c r="G9" s="269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0.1204444444444444</v>
      </c>
      <c r="T9" s="29"/>
      <c r="U9" s="478" t="s">
        <v>1029</v>
      </c>
    </row>
    <row r="10" spans="1:21" x14ac:dyDescent="0.25">
      <c r="B10" s="72"/>
      <c r="C10" s="4"/>
      <c r="D10" s="3"/>
      <c r="E10" s="3"/>
      <c r="F10" s="3"/>
      <c r="G10" s="72"/>
      <c r="H10" s="377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9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2.2097486139261255E-2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O12" s="11" t="s">
        <v>1021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997</v>
      </c>
      <c r="Q13">
        <f>Q4/6.24</f>
        <v>8.847740384615383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9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</row>
    <row r="30" spans="1:20" ht="15.75" thickBot="1" x14ac:dyDescent="0.3">
      <c r="A30" s="344" t="s">
        <v>194</v>
      </c>
      <c r="B30" s="345"/>
      <c r="C30" s="346">
        <f>SumByColor($A$30,C2:C28)</f>
        <v>0</v>
      </c>
      <c r="D30" s="346"/>
      <c r="E30" s="346"/>
      <c r="F30" s="347">
        <f>SumByColor($A$30,F2:F28)</f>
        <v>0</v>
      </c>
      <c r="G30" s="346"/>
      <c r="H30" s="346">
        <f>SumByColor($A$30,H3:H28)</f>
        <v>0</v>
      </c>
      <c r="I30" s="346"/>
      <c r="J30" s="346"/>
      <c r="K30" s="347">
        <f>SumByColor($A$30,K3:K28)</f>
        <v>0</v>
      </c>
      <c r="L30" s="346"/>
      <c r="M30" s="347">
        <f>SumByColor($A$30,M2:M28)</f>
        <v>30</v>
      </c>
    </row>
    <row r="35" spans="2:17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8" t="s">
        <v>65</v>
      </c>
      <c r="G35" s="223" t="s">
        <v>151</v>
      </c>
      <c r="H35" s="223" t="s">
        <v>88</v>
      </c>
      <c r="I35" s="223" t="s">
        <v>154</v>
      </c>
      <c r="J35" s="223" t="s">
        <v>150</v>
      </c>
    </row>
    <row r="36" spans="2:17" x14ac:dyDescent="0.25">
      <c r="B36" s="187">
        <v>43140</v>
      </c>
      <c r="C36" s="10">
        <v>100</v>
      </c>
      <c r="D36" s="194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5">
        <f>(E36-D36)/D36</f>
        <v>1.7749092375958099E-2</v>
      </c>
      <c r="I36" s="39"/>
      <c r="J36" s="39"/>
    </row>
    <row r="37" spans="2:17" x14ac:dyDescent="0.25">
      <c r="B37" s="187">
        <v>43172</v>
      </c>
      <c r="C37" s="10">
        <v>100</v>
      </c>
      <c r="D37" s="194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5">
        <f>(E37-D37)/D37</f>
        <v>0.14138765631302955</v>
      </c>
      <c r="I37" s="39"/>
      <c r="J37" s="39"/>
    </row>
    <row r="38" spans="2:17" x14ac:dyDescent="0.25">
      <c r="B38" s="187">
        <v>43184</v>
      </c>
      <c r="C38" s="10">
        <v>100</v>
      </c>
      <c r="D38" s="194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5">
        <f>(E38-D38)/D38</f>
        <v>8.7131908027430427E-2</v>
      </c>
      <c r="I38" s="39"/>
      <c r="J38" s="39">
        <v>1661</v>
      </c>
    </row>
    <row r="39" spans="2:17" x14ac:dyDescent="0.25">
      <c r="B39" s="187">
        <v>43185</v>
      </c>
      <c r="C39" s="10">
        <v>100</v>
      </c>
      <c r="D39" s="194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5">
        <f>(E39-D39)/D39</f>
        <v>0.11052843888664793</v>
      </c>
      <c r="I39" s="39"/>
      <c r="J39" s="39">
        <v>1777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Q41" s="2"/>
    </row>
    <row r="42" spans="2:17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O42" s="847" t="s">
        <v>78</v>
      </c>
      <c r="P42" s="847"/>
      <c r="Q42" s="2"/>
    </row>
    <row r="43" spans="2:17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O43" s="81">
        <v>1.1000000000000001</v>
      </c>
      <c r="P43" s="81">
        <f>O43*$Q$4</f>
        <v>60.730890000000002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O44" s="81">
        <v>1.0900000000000001</v>
      </c>
      <c r="P44" s="81">
        <f t="shared" ref="P44:P63" si="4">O44*$Q$4</f>
        <v>60.178791000000004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O45" s="81">
        <v>1.08</v>
      </c>
      <c r="P45" s="81">
        <f t="shared" si="4"/>
        <v>59.626691999999998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O46" s="81">
        <v>1.07</v>
      </c>
      <c r="P46" s="81">
        <f t="shared" si="4"/>
        <v>59.074593</v>
      </c>
      <c r="Q46" s="2"/>
    </row>
    <row r="47" spans="2:17" x14ac:dyDescent="0.25">
      <c r="B47" s="187"/>
      <c r="C47" s="10"/>
      <c r="D47" s="39"/>
      <c r="E47" s="39"/>
      <c r="F47" s="39"/>
      <c r="G47" s="39"/>
      <c r="H47" s="225"/>
      <c r="I47" s="39"/>
      <c r="J47" s="39"/>
      <c r="O47" s="81">
        <v>1.06</v>
      </c>
      <c r="P47" s="81">
        <f t="shared" si="4"/>
        <v>58.522494000000002</v>
      </c>
      <c r="Q47" s="2"/>
    </row>
    <row r="48" spans="2:17" x14ac:dyDescent="0.25">
      <c r="B48" s="187"/>
      <c r="C48" s="274"/>
      <c r="D48" s="329"/>
      <c r="E48" s="39"/>
      <c r="F48" s="39"/>
      <c r="G48" s="39"/>
      <c r="H48" s="225"/>
      <c r="I48" s="39"/>
      <c r="J48" s="39"/>
      <c r="O48" s="81">
        <v>1.05</v>
      </c>
      <c r="P48" s="81">
        <f t="shared" si="4"/>
        <v>57.970394999999996</v>
      </c>
      <c r="Q48" s="2"/>
    </row>
    <row r="49" spans="2:17" x14ac:dyDescent="0.25">
      <c r="B49" s="187"/>
      <c r="C49" s="274"/>
      <c r="D49" s="329"/>
      <c r="E49" s="39"/>
      <c r="F49" s="39"/>
      <c r="G49" s="39"/>
      <c r="H49" s="225"/>
      <c r="I49" s="39"/>
      <c r="J49" s="39"/>
      <c r="O49" s="81">
        <v>1.04</v>
      </c>
      <c r="P49" s="81">
        <f t="shared" si="4"/>
        <v>57.418295999999998</v>
      </c>
      <c r="Q49" s="2"/>
    </row>
    <row r="50" spans="2:17" x14ac:dyDescent="0.25">
      <c r="B50" s="187"/>
      <c r="C50" s="274"/>
      <c r="D50" s="329"/>
      <c r="E50" s="39"/>
      <c r="F50" s="39"/>
      <c r="G50" s="39"/>
      <c r="H50" s="225"/>
      <c r="I50" s="39"/>
      <c r="J50" s="39"/>
      <c r="O50" s="81">
        <v>1.03</v>
      </c>
      <c r="P50" s="81">
        <f t="shared" si="4"/>
        <v>56.866197</v>
      </c>
      <c r="Q50" s="2"/>
    </row>
    <row r="51" spans="2:17" x14ac:dyDescent="0.25">
      <c r="B51" s="187"/>
      <c r="C51" s="10"/>
      <c r="D51" s="39"/>
      <c r="E51" s="39"/>
      <c r="F51" s="39"/>
      <c r="G51" s="39"/>
      <c r="H51" s="225"/>
      <c r="I51" s="39"/>
      <c r="J51" s="39"/>
      <c r="O51" s="81">
        <v>1.02</v>
      </c>
      <c r="P51" s="81">
        <f>O51*$Q$4</f>
        <v>56.314098000000001</v>
      </c>
      <c r="Q51" s="2"/>
    </row>
    <row r="52" spans="2:17" x14ac:dyDescent="0.25">
      <c r="B52" s="187"/>
      <c r="C52" s="10"/>
      <c r="D52" s="39"/>
      <c r="E52" s="39"/>
      <c r="F52" s="39"/>
      <c r="G52" s="39"/>
      <c r="H52" s="225"/>
      <c r="I52" s="39"/>
      <c r="J52" s="39"/>
      <c r="O52" s="81">
        <v>1.01</v>
      </c>
      <c r="P52" s="81">
        <f t="shared" si="4"/>
        <v>55.761998999999996</v>
      </c>
      <c r="Q52" s="2"/>
    </row>
    <row r="53" spans="2:17" x14ac:dyDescent="0.25">
      <c r="B53" s="187"/>
      <c r="C53" s="10"/>
      <c r="D53" s="39"/>
      <c r="E53" s="39"/>
      <c r="F53" s="39"/>
      <c r="G53" s="39"/>
      <c r="H53" s="225"/>
      <c r="I53" s="39"/>
      <c r="J53" s="39"/>
      <c r="O53" s="81">
        <v>1</v>
      </c>
      <c r="P53" s="81">
        <f t="shared" si="4"/>
        <v>55.209899999999998</v>
      </c>
      <c r="Q53" s="2"/>
    </row>
    <row r="54" spans="2:17" x14ac:dyDescent="0.25">
      <c r="B54" s="187"/>
      <c r="C54" s="10"/>
      <c r="D54" s="39"/>
      <c r="E54" s="39"/>
      <c r="F54" s="39"/>
      <c r="G54" s="39"/>
      <c r="H54" s="225"/>
      <c r="I54" s="39"/>
      <c r="J54" s="39"/>
      <c r="O54" s="81">
        <v>0.99</v>
      </c>
      <c r="P54" s="81">
        <f t="shared" si="4"/>
        <v>54.657800999999999</v>
      </c>
    </row>
    <row r="55" spans="2:17" x14ac:dyDescent="0.25">
      <c r="B55" s="187"/>
      <c r="C55" s="274"/>
      <c r="D55" s="329"/>
      <c r="E55" s="329"/>
      <c r="F55" s="39"/>
      <c r="G55" s="39"/>
      <c r="H55" s="225"/>
      <c r="I55" s="39"/>
      <c r="J55" s="39"/>
      <c r="O55" s="81">
        <v>0.98</v>
      </c>
      <c r="P55" s="81">
        <f t="shared" si="4"/>
        <v>54.105701999999994</v>
      </c>
    </row>
    <row r="56" spans="2:17" x14ac:dyDescent="0.25">
      <c r="B56" s="187"/>
      <c r="C56" s="10"/>
      <c r="D56" s="39"/>
      <c r="E56" s="39"/>
      <c r="F56" s="39"/>
      <c r="G56" s="39"/>
      <c r="H56" s="225"/>
      <c r="I56" s="39"/>
      <c r="J56" s="39"/>
      <c r="O56" s="81">
        <v>0.97</v>
      </c>
      <c r="P56" s="81">
        <f t="shared" si="4"/>
        <v>53.553602999999995</v>
      </c>
    </row>
    <row r="57" spans="2:17" x14ac:dyDescent="0.25">
      <c r="B57" s="187"/>
      <c r="C57" s="10"/>
      <c r="D57" s="39"/>
      <c r="E57" s="39"/>
      <c r="F57" s="39"/>
      <c r="G57" s="39"/>
      <c r="H57" s="225"/>
      <c r="I57" s="39"/>
      <c r="J57" s="39"/>
      <c r="O57" s="81">
        <v>0.96</v>
      </c>
      <c r="P57" s="81">
        <f t="shared" si="4"/>
        <v>53.001503999999997</v>
      </c>
    </row>
    <row r="58" spans="2:17" x14ac:dyDescent="0.25">
      <c r="B58" s="187"/>
      <c r="C58" s="10"/>
      <c r="D58" s="39"/>
      <c r="E58" s="39"/>
      <c r="F58" s="39"/>
      <c r="G58" s="39"/>
      <c r="H58" s="225"/>
      <c r="I58" s="39"/>
      <c r="J58" s="39"/>
      <c r="O58" s="81">
        <v>0.95</v>
      </c>
      <c r="P58" s="81">
        <f t="shared" si="4"/>
        <v>52.449404999999999</v>
      </c>
    </row>
    <row r="59" spans="2:17" x14ac:dyDescent="0.25">
      <c r="B59" s="187"/>
      <c r="C59" s="10"/>
      <c r="D59" s="39"/>
      <c r="E59" s="39"/>
      <c r="F59" s="39"/>
      <c r="G59" s="39"/>
      <c r="H59" s="225"/>
      <c r="I59" s="39"/>
      <c r="J59" s="39"/>
      <c r="O59" s="81">
        <v>0.94</v>
      </c>
      <c r="P59" s="81">
        <f t="shared" si="4"/>
        <v>51.897305999999993</v>
      </c>
    </row>
    <row r="60" spans="2:17" x14ac:dyDescent="0.25">
      <c r="B60" s="187"/>
      <c r="C60" s="10"/>
      <c r="D60" s="39"/>
      <c r="E60" s="39"/>
      <c r="F60" s="39"/>
      <c r="G60" s="39"/>
      <c r="H60" s="225"/>
      <c r="I60" s="39"/>
      <c r="J60" s="39"/>
      <c r="O60" s="81">
        <v>0.93</v>
      </c>
      <c r="P60" s="81">
        <f t="shared" si="4"/>
        <v>51.345207000000002</v>
      </c>
    </row>
    <row r="61" spans="2:17" x14ac:dyDescent="0.25">
      <c r="B61" s="187"/>
      <c r="C61" s="10"/>
      <c r="D61" s="39"/>
      <c r="E61" s="39"/>
      <c r="F61" s="39"/>
      <c r="G61" s="39"/>
      <c r="H61" s="225"/>
      <c r="I61" s="39"/>
      <c r="J61" s="39"/>
      <c r="O61" s="81">
        <v>0.92</v>
      </c>
      <c r="P61" s="81">
        <f t="shared" si="4"/>
        <v>50.793107999999997</v>
      </c>
    </row>
    <row r="62" spans="2:17" x14ac:dyDescent="0.25">
      <c r="B62" s="187"/>
      <c r="C62" s="10"/>
      <c r="D62" s="39"/>
      <c r="E62" s="39"/>
      <c r="F62" s="39"/>
      <c r="G62" s="39"/>
      <c r="H62" s="225"/>
      <c r="I62" s="39"/>
      <c r="J62" s="39"/>
      <c r="O62" s="81">
        <v>0.91</v>
      </c>
      <c r="P62" s="81">
        <f t="shared" si="4"/>
        <v>50.241008999999998</v>
      </c>
    </row>
    <row r="63" spans="2:17" x14ac:dyDescent="0.25">
      <c r="B63" s="187"/>
      <c r="C63" s="10"/>
      <c r="D63" s="39"/>
      <c r="E63" s="39"/>
      <c r="F63" s="39"/>
      <c r="G63" s="39"/>
      <c r="H63" s="225"/>
      <c r="I63" s="39"/>
      <c r="J63" s="39"/>
      <c r="O63" s="81">
        <v>0.9</v>
      </c>
      <c r="P63" s="81">
        <f t="shared" si="4"/>
        <v>49.68891</v>
      </c>
    </row>
    <row r="64" spans="2:17" x14ac:dyDescent="0.25">
      <c r="B64" s="187"/>
      <c r="C64" s="10"/>
      <c r="D64" s="39"/>
      <c r="E64" s="39"/>
      <c r="F64" s="39"/>
      <c r="G64" s="39"/>
      <c r="H64" s="225"/>
      <c r="I64" s="39"/>
      <c r="J64" s="39"/>
    </row>
    <row r="65" spans="2:10" x14ac:dyDescent="0.25">
      <c r="B65" s="187"/>
      <c r="C65" s="10"/>
      <c r="D65" s="39"/>
      <c r="E65" s="39"/>
      <c r="F65" s="39"/>
      <c r="G65" s="39"/>
      <c r="H65" s="225"/>
      <c r="I65" s="39"/>
      <c r="J65" s="39"/>
    </row>
    <row r="66" spans="2:10" x14ac:dyDescent="0.25">
      <c r="B66" s="187"/>
      <c r="C66" s="10"/>
      <c r="D66" s="39"/>
      <c r="E66" s="39"/>
      <c r="F66" s="39"/>
      <c r="G66" s="39"/>
      <c r="H66" s="225"/>
      <c r="I66" s="39"/>
      <c r="J66" s="39"/>
    </row>
    <row r="67" spans="2:10" x14ac:dyDescent="0.25">
      <c r="B67" s="187"/>
      <c r="C67" s="10"/>
      <c r="D67" s="39"/>
      <c r="E67" s="39"/>
      <c r="F67" s="39"/>
      <c r="G67" s="39"/>
      <c r="H67" s="225"/>
      <c r="I67" s="39"/>
      <c r="J67" s="39"/>
    </row>
    <row r="68" spans="2:10" x14ac:dyDescent="0.25">
      <c r="B68" s="187"/>
      <c r="C68" s="10"/>
      <c r="D68" s="39"/>
      <c r="E68" s="39"/>
      <c r="F68" s="39"/>
      <c r="G68" s="39"/>
      <c r="H68" s="225"/>
      <c r="I68" s="39"/>
      <c r="J68" s="39"/>
    </row>
    <row r="69" spans="2:10" x14ac:dyDescent="0.25">
      <c r="B69" s="187"/>
      <c r="C69" s="10"/>
      <c r="D69" s="39"/>
      <c r="E69" s="39"/>
      <c r="F69" s="39"/>
      <c r="G69" s="39"/>
      <c r="H69" s="225"/>
      <c r="I69" s="39"/>
      <c r="J69" s="39"/>
    </row>
    <row r="70" spans="2:10" x14ac:dyDescent="0.25">
      <c r="B70" s="187"/>
      <c r="C70" s="10"/>
      <c r="D70" s="39"/>
      <c r="E70" s="39"/>
      <c r="F70" s="39"/>
      <c r="G70" s="39"/>
      <c r="H70" s="225"/>
      <c r="I70" s="39"/>
      <c r="J70" s="39"/>
    </row>
    <row r="71" spans="2:10" x14ac:dyDescent="0.25">
      <c r="B71" s="187"/>
      <c r="C71" s="10"/>
      <c r="D71" s="39"/>
      <c r="E71" s="39"/>
      <c r="F71" s="39"/>
      <c r="G71" s="39"/>
      <c r="H71" s="225"/>
      <c r="I71" s="39"/>
      <c r="J71" s="39"/>
    </row>
    <row r="72" spans="2:10" x14ac:dyDescent="0.25">
      <c r="B72" s="187"/>
      <c r="C72" s="10"/>
      <c r="D72" s="39"/>
      <c r="E72" s="39"/>
      <c r="F72" s="39"/>
      <c r="G72" s="39"/>
      <c r="H72" s="225"/>
      <c r="I72" s="39"/>
      <c r="J72" s="39"/>
    </row>
    <row r="73" spans="2:10" x14ac:dyDescent="0.25">
      <c r="B73" s="187"/>
      <c r="C73" s="10"/>
      <c r="D73" s="39"/>
      <c r="E73" s="39"/>
      <c r="F73" s="39"/>
      <c r="G73" s="39"/>
      <c r="H73" s="225"/>
      <c r="I73" s="39"/>
      <c r="J73" s="39"/>
    </row>
    <row r="74" spans="2:10" x14ac:dyDescent="0.25">
      <c r="B74" s="187"/>
      <c r="C74" s="10"/>
      <c r="D74" s="39"/>
      <c r="E74" s="39"/>
      <c r="F74" s="39"/>
      <c r="G74" s="39"/>
      <c r="H74" s="225"/>
      <c r="I74" s="39"/>
      <c r="J74" s="39"/>
    </row>
    <row r="75" spans="2:10" x14ac:dyDescent="0.25">
      <c r="B75" s="187"/>
      <c r="C75" s="10"/>
      <c r="D75" s="39"/>
      <c r="E75" s="39"/>
      <c r="F75" s="39"/>
      <c r="G75" s="39"/>
      <c r="H75" s="225"/>
      <c r="I75" s="39"/>
      <c r="J75" s="39"/>
    </row>
    <row r="76" spans="2:10" x14ac:dyDescent="0.25">
      <c r="B76" s="187"/>
      <c r="C76" s="10"/>
      <c r="D76" s="39"/>
      <c r="E76" s="39"/>
      <c r="F76" s="39"/>
      <c r="G76" s="39"/>
      <c r="H76" s="225"/>
      <c r="I76" s="39"/>
      <c r="J76" s="39"/>
    </row>
    <row r="77" spans="2:10" x14ac:dyDescent="0.25">
      <c r="B77" s="187"/>
      <c r="C77" s="10"/>
      <c r="D77" s="39"/>
      <c r="E77" s="39"/>
      <c r="F77" s="39"/>
      <c r="G77" s="39"/>
      <c r="H77" s="225"/>
      <c r="I77" s="39"/>
      <c r="J77" s="39"/>
    </row>
    <row r="78" spans="2:10" x14ac:dyDescent="0.25">
      <c r="B78" s="187"/>
      <c r="C78" s="10"/>
      <c r="D78" s="39"/>
      <c r="E78" s="39"/>
      <c r="F78" s="39"/>
      <c r="G78" s="39"/>
      <c r="H78" s="225"/>
      <c r="I78" s="39"/>
      <c r="J78" s="39"/>
    </row>
    <row r="79" spans="2:10" x14ac:dyDescent="0.25">
      <c r="B79" s="187"/>
      <c r="C79" s="10"/>
      <c r="D79" s="39"/>
      <c r="E79" s="39"/>
      <c r="F79" s="39"/>
      <c r="G79" s="39"/>
      <c r="H79" s="225"/>
      <c r="I79" s="39"/>
      <c r="J79" s="39"/>
    </row>
    <row r="80" spans="2:10" x14ac:dyDescent="0.25">
      <c r="B80" s="187"/>
      <c r="C80" s="10"/>
      <c r="D80" s="39"/>
      <c r="E80" s="39"/>
      <c r="F80" s="39"/>
      <c r="G80" s="39"/>
      <c r="H80" s="225"/>
      <c r="I80" s="39"/>
      <c r="J80" s="39"/>
    </row>
    <row r="81" spans="2:10" x14ac:dyDescent="0.25">
      <c r="B81" s="187"/>
      <c r="C81" s="10"/>
      <c r="D81" s="39"/>
      <c r="E81" s="39"/>
      <c r="F81" s="39"/>
      <c r="G81" s="39"/>
      <c r="H81" s="225"/>
      <c r="I81" s="39"/>
      <c r="J81" s="39"/>
    </row>
    <row r="82" spans="2:10" x14ac:dyDescent="0.25">
      <c r="B82" s="187"/>
      <c r="C82" s="10"/>
      <c r="D82" s="39"/>
      <c r="E82" s="39"/>
      <c r="F82" s="39"/>
      <c r="G82" s="39"/>
      <c r="H82" s="225"/>
      <c r="I82" s="39"/>
      <c r="J82" s="39"/>
    </row>
    <row r="83" spans="2:10" x14ac:dyDescent="0.25">
      <c r="B83" s="187"/>
      <c r="C83" s="10"/>
      <c r="D83" s="39"/>
      <c r="E83" s="39"/>
      <c r="F83" s="39"/>
      <c r="G83" s="39"/>
      <c r="H83" s="225"/>
      <c r="I83" s="39"/>
      <c r="J83" s="39"/>
    </row>
    <row r="84" spans="2:10" x14ac:dyDescent="0.25">
      <c r="B84" s="187"/>
      <c r="C84" s="10"/>
      <c r="D84" s="39"/>
      <c r="E84" s="39"/>
      <c r="F84" s="39"/>
      <c r="G84" s="39"/>
      <c r="H84" s="225"/>
      <c r="I84" s="39"/>
      <c r="J84" s="39"/>
    </row>
    <row r="85" spans="2:10" x14ac:dyDescent="0.25">
      <c r="B85" s="187"/>
      <c r="C85" s="10"/>
      <c r="D85" s="39"/>
      <c r="E85" s="39"/>
      <c r="F85" s="39"/>
      <c r="G85" s="39"/>
      <c r="H85" s="225"/>
      <c r="I85" s="39"/>
      <c r="J85" s="39"/>
    </row>
    <row r="86" spans="2:10" x14ac:dyDescent="0.25">
      <c r="B86" s="187"/>
      <c r="C86" s="10"/>
      <c r="D86" s="39"/>
      <c r="E86" s="39"/>
      <c r="F86" s="39"/>
      <c r="G86" s="39"/>
      <c r="H86" s="225"/>
      <c r="I86" s="39"/>
      <c r="J86" s="39"/>
    </row>
    <row r="87" spans="2:10" x14ac:dyDescent="0.25">
      <c r="B87" s="187"/>
      <c r="C87" s="10"/>
      <c r="D87" s="39"/>
      <c r="E87" s="39"/>
      <c r="F87" s="39"/>
      <c r="G87" s="39"/>
      <c r="H87" s="225"/>
      <c r="I87" s="39"/>
      <c r="J87" s="39"/>
    </row>
    <row r="88" spans="2:10" x14ac:dyDescent="0.25">
      <c r="B88" s="187"/>
      <c r="C88" s="10"/>
      <c r="D88" s="39"/>
      <c r="E88" s="39"/>
      <c r="F88" s="39"/>
      <c r="G88" s="39"/>
      <c r="H88" s="225"/>
      <c r="I88" s="39"/>
      <c r="J88" s="39"/>
    </row>
    <row r="89" spans="2:10" x14ac:dyDescent="0.25">
      <c r="B89" s="187"/>
      <c r="C89" s="10"/>
      <c r="D89" s="39"/>
      <c r="E89" s="39"/>
      <c r="F89" s="39"/>
      <c r="G89" s="39"/>
      <c r="H89" s="225"/>
      <c r="I89" s="39"/>
      <c r="J89" s="39"/>
    </row>
    <row r="90" spans="2:10" x14ac:dyDescent="0.25">
      <c r="B90" s="187"/>
      <c r="C90" s="10"/>
      <c r="D90" s="39"/>
      <c r="E90" s="39"/>
      <c r="F90" s="39"/>
      <c r="G90" s="39"/>
      <c r="H90" s="225"/>
      <c r="I90" s="39"/>
      <c r="J90" s="39"/>
    </row>
    <row r="91" spans="2:10" x14ac:dyDescent="0.25">
      <c r="B91" s="187"/>
      <c r="C91" s="10"/>
      <c r="D91" s="39"/>
      <c r="E91" s="39"/>
      <c r="F91" s="39"/>
      <c r="G91" s="39"/>
      <c r="H91" s="225"/>
      <c r="I91" s="39"/>
      <c r="J91" s="39"/>
    </row>
    <row r="92" spans="2:10" x14ac:dyDescent="0.25">
      <c r="B92" s="506"/>
      <c r="C92" s="185"/>
      <c r="D92" s="186"/>
      <c r="E92" s="186"/>
      <c r="F92" s="186"/>
      <c r="G92" s="186"/>
      <c r="H92" s="507"/>
      <c r="I92" s="186"/>
      <c r="J92" s="186"/>
    </row>
    <row r="93" spans="2:10" x14ac:dyDescent="0.25">
      <c r="B93" s="187"/>
      <c r="C93" s="10"/>
      <c r="D93" s="39"/>
      <c r="E93" s="39"/>
      <c r="F93" s="39"/>
      <c r="G93" s="39"/>
      <c r="H93" s="225"/>
      <c r="I93" s="39"/>
      <c r="J93" s="39"/>
    </row>
    <row r="94" spans="2:10" x14ac:dyDescent="0.25">
      <c r="B94" s="187"/>
      <c r="C94" s="10"/>
      <c r="D94" s="39"/>
      <c r="E94" s="39"/>
      <c r="F94" s="39"/>
      <c r="G94" s="39"/>
      <c r="H94" s="225"/>
      <c r="I94" s="39"/>
      <c r="J94" s="39"/>
    </row>
    <row r="95" spans="2:10" x14ac:dyDescent="0.25">
      <c r="B95" s="187"/>
      <c r="C95" s="10"/>
      <c r="D95" s="39"/>
      <c r="E95" s="39"/>
      <c r="F95" s="39"/>
      <c r="G95" s="39"/>
      <c r="H95" s="225"/>
      <c r="I95" s="39"/>
      <c r="J95" s="39"/>
    </row>
    <row r="96" spans="2:10" x14ac:dyDescent="0.25">
      <c r="B96" s="187"/>
      <c r="C96" s="10"/>
      <c r="D96" s="39"/>
      <c r="E96" s="39"/>
      <c r="F96" s="39"/>
      <c r="G96" s="39"/>
      <c r="H96" s="225"/>
      <c r="I96" s="39"/>
      <c r="J96" s="39"/>
    </row>
    <row r="97" spans="1:13" x14ac:dyDescent="0.25">
      <c r="B97" s="187"/>
      <c r="C97" s="10"/>
      <c r="D97" s="39"/>
      <c r="E97" s="39"/>
      <c r="F97" s="39"/>
      <c r="G97" s="39"/>
      <c r="H97" s="225"/>
      <c r="I97" s="39"/>
      <c r="J97" s="39"/>
    </row>
    <row r="98" spans="1:13" x14ac:dyDescent="0.25">
      <c r="B98" s="187"/>
      <c r="C98" s="10"/>
      <c r="D98" s="39"/>
      <c r="E98" s="39"/>
      <c r="F98" s="39"/>
      <c r="G98" s="39"/>
      <c r="H98" s="225"/>
      <c r="I98" s="39"/>
      <c r="J98" s="39"/>
    </row>
    <row r="99" spans="1:13" x14ac:dyDescent="0.25">
      <c r="B99" s="187"/>
      <c r="C99" s="10"/>
      <c r="D99" s="39"/>
      <c r="E99" s="39"/>
      <c r="F99" s="39"/>
      <c r="G99" s="39"/>
      <c r="H99" s="225"/>
      <c r="I99" s="39"/>
      <c r="J99" s="39"/>
    </row>
    <row r="100" spans="1:13" x14ac:dyDescent="0.25">
      <c r="B100" s="187"/>
      <c r="C100" s="10"/>
      <c r="D100" s="39"/>
      <c r="E100" s="39"/>
      <c r="F100" s="39"/>
      <c r="G100" s="39"/>
      <c r="H100" s="225"/>
      <c r="I100" s="39"/>
      <c r="J100" s="39"/>
    </row>
    <row r="101" spans="1:13" x14ac:dyDescent="0.25">
      <c r="B101" s="187"/>
      <c r="C101" s="10"/>
      <c r="D101" s="39"/>
      <c r="E101" s="39"/>
      <c r="F101" s="39"/>
      <c r="G101" s="39"/>
      <c r="H101" s="225"/>
      <c r="I101" s="39"/>
      <c r="J101" s="39"/>
    </row>
    <row r="102" spans="1:13" x14ac:dyDescent="0.25">
      <c r="B102" s="187"/>
      <c r="C102" s="10"/>
      <c r="D102" s="39"/>
      <c r="E102" s="39"/>
      <c r="F102" s="39"/>
      <c r="G102" s="39"/>
      <c r="H102" s="225"/>
      <c r="I102" s="39"/>
      <c r="J102" s="39"/>
    </row>
    <row r="104" spans="1:13" x14ac:dyDescent="0.25">
      <c r="L104" t="s">
        <v>209</v>
      </c>
      <c r="M104" s="434">
        <f>M122+K122-F122</f>
        <v>205.01999999999998</v>
      </c>
    </row>
    <row r="105" spans="1:13" x14ac:dyDescent="0.25">
      <c r="A105" s="255" t="s">
        <v>1</v>
      </c>
      <c r="B105" s="255" t="s">
        <v>2</v>
      </c>
      <c r="C105" s="255" t="s">
        <v>4</v>
      </c>
      <c r="D105" s="256" t="s">
        <v>5</v>
      </c>
      <c r="E105" s="256" t="s">
        <v>94</v>
      </c>
      <c r="F105" s="256" t="s">
        <v>60</v>
      </c>
      <c r="G105" s="255" t="s">
        <v>3</v>
      </c>
      <c r="H105" s="255" t="s">
        <v>6</v>
      </c>
      <c r="I105" s="256" t="s">
        <v>7</v>
      </c>
      <c r="J105" s="256" t="s">
        <v>95</v>
      </c>
      <c r="K105" s="256" t="s">
        <v>61</v>
      </c>
      <c r="L105" s="255" t="s">
        <v>37</v>
      </c>
      <c r="M105" s="255" t="s">
        <v>38</v>
      </c>
    </row>
    <row r="106" spans="1:13" x14ac:dyDescent="0.25">
      <c r="A106" s="257" t="s">
        <v>32</v>
      </c>
      <c r="B106" s="258">
        <v>42405</v>
      </c>
      <c r="C106" s="253">
        <v>30</v>
      </c>
      <c r="D106" s="254">
        <v>41.95</v>
      </c>
      <c r="E106" s="254">
        <v>0</v>
      </c>
      <c r="F106" s="254">
        <f>D106*C106+E106</f>
        <v>1258.5</v>
      </c>
      <c r="G106" s="258">
        <v>42445</v>
      </c>
      <c r="H106" s="259">
        <v>30</v>
      </c>
      <c r="I106" s="254">
        <v>48.65</v>
      </c>
      <c r="J106" s="254">
        <v>0.03</v>
      </c>
      <c r="K106" s="254">
        <f>H106*I106-J106</f>
        <v>1459.47</v>
      </c>
      <c r="L106" s="258">
        <v>42438</v>
      </c>
      <c r="M106" s="253">
        <v>4.05</v>
      </c>
    </row>
    <row r="107" spans="1:13" x14ac:dyDescent="0.25">
      <c r="A107" s="260" t="s">
        <v>71</v>
      </c>
      <c r="B107" s="258"/>
      <c r="C107" s="253"/>
      <c r="D107" s="254"/>
      <c r="E107" s="254"/>
      <c r="F107" s="254"/>
      <c r="G107" s="258"/>
      <c r="H107" s="259"/>
      <c r="I107" s="254"/>
      <c r="J107" s="254"/>
      <c r="K107" s="254"/>
      <c r="L107" s="258"/>
      <c r="M107" s="254"/>
    </row>
    <row r="108" spans="1:13" x14ac:dyDescent="0.25">
      <c r="A108" s="253"/>
      <c r="B108" s="258"/>
      <c r="C108" s="253"/>
      <c r="D108" s="254"/>
      <c r="E108" s="254"/>
      <c r="F108" s="254"/>
      <c r="G108" s="258"/>
      <c r="H108" s="259"/>
      <c r="I108" s="254"/>
      <c r="J108" s="254"/>
      <c r="K108" s="254"/>
      <c r="L108" s="253"/>
      <c r="M108" s="253"/>
    </row>
    <row r="109" spans="1:13" x14ac:dyDescent="0.25">
      <c r="A109" s="253"/>
      <c r="B109" s="258"/>
      <c r="C109" s="253"/>
      <c r="D109" s="254"/>
      <c r="E109" s="254"/>
      <c r="F109" s="254"/>
      <c r="G109" s="258"/>
      <c r="H109" s="259"/>
      <c r="I109" s="254"/>
      <c r="J109" s="254"/>
      <c r="K109" s="254"/>
      <c r="L109" s="253"/>
      <c r="M109" s="253"/>
    </row>
    <row r="110" spans="1:13" x14ac:dyDescent="0.25">
      <c r="A110" s="253"/>
      <c r="B110" s="258"/>
      <c r="C110" s="253"/>
      <c r="D110" s="254"/>
      <c r="E110" s="254"/>
      <c r="F110" s="254"/>
      <c r="G110" s="253"/>
      <c r="H110" s="259"/>
      <c r="I110" s="254"/>
      <c r="J110" s="254"/>
      <c r="K110" s="254"/>
      <c r="L110" s="253"/>
      <c r="M110" s="253"/>
    </row>
    <row r="111" spans="1:13" x14ac:dyDescent="0.25">
      <c r="A111" s="253"/>
      <c r="B111" s="258"/>
      <c r="C111" s="253"/>
      <c r="D111" s="254"/>
      <c r="E111" s="254"/>
      <c r="F111" s="254"/>
      <c r="G111" s="253"/>
      <c r="H111" s="259"/>
      <c r="I111" s="254"/>
      <c r="J111" s="254"/>
      <c r="K111" s="254"/>
      <c r="L111" s="253"/>
      <c r="M111" s="253"/>
    </row>
    <row r="112" spans="1:13" x14ac:dyDescent="0.25">
      <c r="A112" s="253"/>
      <c r="B112" s="258"/>
      <c r="C112" s="253"/>
      <c r="D112" s="254"/>
      <c r="E112" s="254"/>
      <c r="F112" s="254"/>
      <c r="G112" s="253"/>
      <c r="H112" s="259"/>
      <c r="I112" s="254"/>
      <c r="J112" s="254"/>
      <c r="K112" s="254"/>
      <c r="L112" s="253"/>
      <c r="M112" s="253"/>
    </row>
    <row r="113" spans="1:13" x14ac:dyDescent="0.25">
      <c r="A113" s="253"/>
      <c r="B113" s="258"/>
      <c r="C113" s="253"/>
      <c r="D113" s="254"/>
      <c r="E113" s="254"/>
      <c r="F113" s="254"/>
      <c r="G113" s="253"/>
      <c r="H113" s="259"/>
      <c r="I113" s="254"/>
      <c r="J113" s="254"/>
      <c r="K113" s="254"/>
      <c r="L113" s="253"/>
      <c r="M113" s="253"/>
    </row>
    <row r="114" spans="1:13" x14ac:dyDescent="0.25">
      <c r="A114" s="253"/>
      <c r="B114" s="253"/>
      <c r="C114" s="253"/>
      <c r="D114" s="254"/>
      <c r="E114" s="254"/>
      <c r="F114" s="254"/>
      <c r="G114" s="253"/>
      <c r="H114" s="253"/>
      <c r="I114" s="254"/>
      <c r="J114" s="254"/>
      <c r="K114" s="254"/>
      <c r="L114" s="253"/>
      <c r="M114" s="253"/>
    </row>
    <row r="115" spans="1:13" x14ac:dyDescent="0.25">
      <c r="A115" s="253"/>
      <c r="B115" s="253"/>
      <c r="C115" s="253"/>
      <c r="D115" s="254"/>
      <c r="E115" s="254"/>
      <c r="F115" s="254"/>
      <c r="G115" s="253"/>
      <c r="H115" s="253"/>
      <c r="I115" s="254"/>
      <c r="J115" s="254"/>
      <c r="K115" s="254"/>
      <c r="L115" s="253"/>
      <c r="M115" s="253"/>
    </row>
    <row r="116" spans="1:13" x14ac:dyDescent="0.25">
      <c r="A116" s="253"/>
      <c r="B116" s="253"/>
      <c r="C116" s="253"/>
      <c r="D116" s="254"/>
      <c r="E116" s="254"/>
      <c r="F116" s="254"/>
      <c r="G116" s="253"/>
      <c r="H116" s="253"/>
      <c r="I116" s="254"/>
      <c r="J116" s="254"/>
      <c r="K116" s="254"/>
      <c r="L116" s="253"/>
      <c r="M116" s="253"/>
    </row>
    <row r="117" spans="1:13" x14ac:dyDescent="0.25">
      <c r="A117" s="253"/>
      <c r="B117" s="253"/>
      <c r="C117" s="253"/>
      <c r="D117" s="254"/>
      <c r="E117" s="254"/>
      <c r="F117" s="254"/>
      <c r="G117" s="253"/>
      <c r="H117" s="253"/>
      <c r="I117" s="254"/>
      <c r="J117" s="254"/>
      <c r="K117" s="254"/>
      <c r="L117" s="253"/>
      <c r="M117" s="253"/>
    </row>
    <row r="118" spans="1:13" x14ac:dyDescent="0.25">
      <c r="A118" s="253"/>
      <c r="B118" s="253"/>
      <c r="C118" s="253"/>
      <c r="D118" s="254"/>
      <c r="E118" s="254"/>
      <c r="F118" s="254"/>
      <c r="G118" s="253"/>
      <c r="H118" s="253"/>
      <c r="I118" s="254"/>
      <c r="J118" s="254"/>
      <c r="K118" s="254"/>
      <c r="L118" s="253"/>
      <c r="M118" s="253"/>
    </row>
    <row r="119" spans="1:13" x14ac:dyDescent="0.25">
      <c r="A119" s="253"/>
      <c r="B119" s="253"/>
      <c r="C119" s="253"/>
      <c r="D119" s="254"/>
      <c r="E119" s="254"/>
      <c r="F119" s="254"/>
      <c r="G119" s="253"/>
      <c r="H119" s="253"/>
      <c r="I119" s="254"/>
      <c r="J119" s="254"/>
      <c r="K119" s="254"/>
      <c r="L119" s="253"/>
      <c r="M119" s="253"/>
    </row>
    <row r="120" spans="1:13" x14ac:dyDescent="0.25">
      <c r="A120" s="253"/>
      <c r="B120" s="253"/>
      <c r="C120" s="253"/>
      <c r="D120" s="254"/>
      <c r="E120" s="254"/>
      <c r="F120" s="254"/>
      <c r="G120" s="253"/>
      <c r="H120" s="253"/>
      <c r="I120" s="254"/>
      <c r="J120" s="254"/>
      <c r="K120" s="254"/>
      <c r="L120" s="253"/>
      <c r="M120" s="253"/>
    </row>
    <row r="121" spans="1:13" x14ac:dyDescent="0.25">
      <c r="A121" s="253"/>
      <c r="B121" s="253"/>
      <c r="C121" s="253"/>
      <c r="D121" s="254"/>
      <c r="E121" s="254"/>
      <c r="F121" s="254"/>
      <c r="G121" s="253"/>
      <c r="H121" s="259"/>
      <c r="I121" s="254"/>
      <c r="J121" s="254"/>
      <c r="K121" s="254"/>
      <c r="L121" s="253"/>
      <c r="M121" s="253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4">
        <f>M155+K155-F155</f>
        <v>993.44999999999709</v>
      </c>
    </row>
    <row r="127" spans="1:13" x14ac:dyDescent="0.25">
      <c r="A127" s="255" t="s">
        <v>1</v>
      </c>
      <c r="B127" s="255" t="s">
        <v>2</v>
      </c>
      <c r="C127" s="255" t="s">
        <v>4</v>
      </c>
      <c r="D127" s="256" t="s">
        <v>5</v>
      </c>
      <c r="E127" s="256" t="s">
        <v>94</v>
      </c>
      <c r="F127" s="256" t="s">
        <v>60</v>
      </c>
      <c r="G127" s="255" t="s">
        <v>3</v>
      </c>
      <c r="H127" s="255" t="s">
        <v>6</v>
      </c>
      <c r="I127" s="256" t="s">
        <v>7</v>
      </c>
      <c r="J127" s="256" t="s">
        <v>95</v>
      </c>
      <c r="K127" s="256" t="s">
        <v>61</v>
      </c>
      <c r="L127" s="255" t="s">
        <v>37</v>
      </c>
      <c r="M127" s="255" t="s">
        <v>38</v>
      </c>
    </row>
    <row r="128" spans="1:13" x14ac:dyDescent="0.25">
      <c r="A128" s="257" t="s">
        <v>32</v>
      </c>
      <c r="B128" s="258">
        <v>42467</v>
      </c>
      <c r="C128" s="253">
        <v>50</v>
      </c>
      <c r="D128" s="254">
        <v>45.5</v>
      </c>
      <c r="E128" s="254">
        <v>0</v>
      </c>
      <c r="F128" s="254">
        <f t="shared" ref="F128:F139" si="5">D128*C128+E128</f>
        <v>2275</v>
      </c>
      <c r="G128" s="253"/>
      <c r="H128" s="253"/>
      <c r="I128" s="254"/>
      <c r="J128" s="254"/>
      <c r="K128" s="254"/>
      <c r="L128" s="258">
        <v>42522</v>
      </c>
      <c r="M128" s="254">
        <v>33.75</v>
      </c>
    </row>
    <row r="129" spans="1:13" x14ac:dyDescent="0.25">
      <c r="A129" s="260" t="s">
        <v>71</v>
      </c>
      <c r="B129" s="258">
        <v>42482</v>
      </c>
      <c r="C129" s="253">
        <v>50</v>
      </c>
      <c r="D129" s="254">
        <v>43.65</v>
      </c>
      <c r="E129" s="254">
        <v>0</v>
      </c>
      <c r="F129" s="254">
        <f t="shared" si="5"/>
        <v>2182.5</v>
      </c>
      <c r="G129" s="258">
        <v>42507</v>
      </c>
      <c r="H129" s="259">
        <v>100</v>
      </c>
      <c r="I129" s="254">
        <v>43.59</v>
      </c>
      <c r="J129" s="254">
        <v>0.1</v>
      </c>
      <c r="K129" s="254">
        <f>H129*I129-J129</f>
        <v>4358.8999999999996</v>
      </c>
      <c r="L129" s="258">
        <v>42615</v>
      </c>
      <c r="M129" s="254">
        <v>81</v>
      </c>
    </row>
    <row r="130" spans="1:13" x14ac:dyDescent="0.25">
      <c r="A130" s="253"/>
      <c r="B130" s="258">
        <v>42486</v>
      </c>
      <c r="C130" s="253">
        <v>50</v>
      </c>
      <c r="D130" s="254">
        <v>43.25</v>
      </c>
      <c r="E130" s="254">
        <v>0</v>
      </c>
      <c r="F130" s="254">
        <f t="shared" si="5"/>
        <v>2162.5</v>
      </c>
      <c r="G130" s="258">
        <v>42509</v>
      </c>
      <c r="H130" s="259">
        <v>50</v>
      </c>
      <c r="I130" s="254">
        <v>43.12</v>
      </c>
      <c r="J130" s="254">
        <v>0.05</v>
      </c>
      <c r="K130" s="254">
        <f>H130*I130-J130</f>
        <v>2155.9499999999998</v>
      </c>
      <c r="L130" s="253"/>
      <c r="M130" s="253"/>
    </row>
    <row r="131" spans="1:13" x14ac:dyDescent="0.25">
      <c r="A131" s="253"/>
      <c r="B131" s="258">
        <v>42489</v>
      </c>
      <c r="C131" s="253">
        <v>50</v>
      </c>
      <c r="D131" s="254">
        <v>41.95</v>
      </c>
      <c r="E131" s="254">
        <v>0</v>
      </c>
      <c r="F131" s="254">
        <f t="shared" si="5"/>
        <v>2097.5</v>
      </c>
      <c r="G131" s="258">
        <v>42515</v>
      </c>
      <c r="H131" s="259">
        <v>50</v>
      </c>
      <c r="I131" s="254">
        <v>43.96</v>
      </c>
      <c r="J131" s="254">
        <v>0.05</v>
      </c>
      <c r="K131" s="254">
        <f>H131*I131-J131</f>
        <v>2197.9499999999998</v>
      </c>
      <c r="L131" s="253"/>
      <c r="M131" s="253"/>
    </row>
    <row r="132" spans="1:13" x14ac:dyDescent="0.25">
      <c r="A132" s="253"/>
      <c r="B132" s="258">
        <v>42489</v>
      </c>
      <c r="C132" s="253">
        <v>50</v>
      </c>
      <c r="D132" s="254">
        <v>41.39</v>
      </c>
      <c r="E132" s="254">
        <v>0</v>
      </c>
      <c r="F132" s="254">
        <f t="shared" si="5"/>
        <v>2069.5</v>
      </c>
      <c r="G132" s="253"/>
      <c r="H132" s="253"/>
      <c r="I132" s="254"/>
      <c r="J132" s="254"/>
      <c r="K132" s="254"/>
      <c r="L132" s="253"/>
      <c r="M132" s="253"/>
    </row>
    <row r="133" spans="1:13" x14ac:dyDescent="0.25">
      <c r="A133" s="253"/>
      <c r="B133" s="258">
        <v>42509</v>
      </c>
      <c r="C133" s="253">
        <v>50</v>
      </c>
      <c r="D133" s="254">
        <v>42.59</v>
      </c>
      <c r="E133" s="254">
        <v>0</v>
      </c>
      <c r="F133" s="254">
        <f t="shared" si="5"/>
        <v>2129.5</v>
      </c>
      <c r="G133" s="258">
        <v>42545</v>
      </c>
      <c r="H133" s="259">
        <v>100</v>
      </c>
      <c r="I133" s="254">
        <v>37.01</v>
      </c>
      <c r="J133" s="254">
        <v>0.57999999999999996</v>
      </c>
      <c r="K133" s="254">
        <f>H133*I133-J133</f>
        <v>3700.42</v>
      </c>
      <c r="L133" s="253"/>
      <c r="M133" s="253"/>
    </row>
    <row r="134" spans="1:13" x14ac:dyDescent="0.25">
      <c r="A134" s="253"/>
      <c r="B134" s="258">
        <v>42509</v>
      </c>
      <c r="C134" s="253">
        <v>50</v>
      </c>
      <c r="D134" s="254">
        <v>42.59</v>
      </c>
      <c r="E134" s="254">
        <v>0</v>
      </c>
      <c r="F134" s="254">
        <f t="shared" si="5"/>
        <v>2129.5</v>
      </c>
      <c r="G134" s="258">
        <v>42563</v>
      </c>
      <c r="H134" s="259">
        <v>100</v>
      </c>
      <c r="I134" s="254">
        <v>39.340000000000003</v>
      </c>
      <c r="J134" s="254">
        <v>0.09</v>
      </c>
      <c r="K134" s="254">
        <f>H134*I134-J134</f>
        <v>3933.9100000000003</v>
      </c>
      <c r="L134" s="253"/>
      <c r="M134" s="253"/>
    </row>
    <row r="135" spans="1:13" x14ac:dyDescent="0.25">
      <c r="A135" s="253"/>
      <c r="B135" s="258">
        <v>42515</v>
      </c>
      <c r="C135" s="253">
        <v>50</v>
      </c>
      <c r="D135" s="254">
        <v>43.45</v>
      </c>
      <c r="E135" s="254">
        <v>0</v>
      </c>
      <c r="F135" s="254">
        <f t="shared" si="5"/>
        <v>2172.5</v>
      </c>
      <c r="G135" s="504"/>
      <c r="H135" s="253"/>
      <c r="I135" s="254"/>
      <c r="J135" s="254"/>
      <c r="K135" s="254"/>
      <c r="L135" s="253"/>
      <c r="M135" s="253"/>
    </row>
    <row r="136" spans="1:13" x14ac:dyDescent="0.25">
      <c r="A136" s="253"/>
      <c r="B136" s="258">
        <v>42535</v>
      </c>
      <c r="C136" s="253">
        <v>100</v>
      </c>
      <c r="D136" s="254">
        <v>39.85</v>
      </c>
      <c r="E136" s="254">
        <v>0</v>
      </c>
      <c r="F136" s="254">
        <f t="shared" si="5"/>
        <v>3985</v>
      </c>
      <c r="G136" s="258">
        <v>42566</v>
      </c>
      <c r="H136" s="395">
        <v>100</v>
      </c>
      <c r="I136" s="357">
        <v>40.479999999999997</v>
      </c>
      <c r="J136" s="357">
        <v>0.09</v>
      </c>
      <c r="K136" s="357">
        <f t="shared" ref="K136:K142" si="6">H136*I136-J136</f>
        <v>4047.9099999999994</v>
      </c>
      <c r="L136" s="253"/>
      <c r="M136" s="253"/>
    </row>
    <row r="137" spans="1:13" x14ac:dyDescent="0.25">
      <c r="A137" s="253"/>
      <c r="B137" s="258">
        <v>42537</v>
      </c>
      <c r="C137" s="253">
        <v>100</v>
      </c>
      <c r="D137" s="254">
        <v>37.85</v>
      </c>
      <c r="E137" s="254">
        <v>0</v>
      </c>
      <c r="F137" s="254">
        <f t="shared" si="5"/>
        <v>3785</v>
      </c>
      <c r="G137" s="258">
        <v>42571</v>
      </c>
      <c r="H137" s="259">
        <v>100</v>
      </c>
      <c r="I137" s="254">
        <v>41.08</v>
      </c>
      <c r="J137" s="254">
        <v>0.09</v>
      </c>
      <c r="K137" s="357">
        <f t="shared" si="6"/>
        <v>4107.91</v>
      </c>
      <c r="L137" s="253"/>
      <c r="M137" s="253"/>
    </row>
    <row r="138" spans="1:13" x14ac:dyDescent="0.25">
      <c r="A138" s="253"/>
      <c r="B138" s="258">
        <v>42545</v>
      </c>
      <c r="C138" s="253">
        <v>50</v>
      </c>
      <c r="D138" s="254">
        <v>36.01</v>
      </c>
      <c r="E138" s="254">
        <v>0</v>
      </c>
      <c r="F138" s="254">
        <f t="shared" si="5"/>
        <v>1800.5</v>
      </c>
      <c r="G138" s="258">
        <v>42580</v>
      </c>
      <c r="H138" s="259">
        <v>50</v>
      </c>
      <c r="I138" s="254">
        <v>39.78</v>
      </c>
      <c r="J138" s="254">
        <v>0.04</v>
      </c>
      <c r="K138" s="254">
        <f t="shared" si="6"/>
        <v>1988.96</v>
      </c>
      <c r="L138" s="253"/>
      <c r="M138" s="253"/>
    </row>
    <row r="139" spans="1:13" x14ac:dyDescent="0.25">
      <c r="A139" s="253"/>
      <c r="B139" s="258">
        <v>42545</v>
      </c>
      <c r="C139" s="253">
        <v>50</v>
      </c>
      <c r="D139" s="254">
        <v>36.01</v>
      </c>
      <c r="E139" s="254">
        <v>0</v>
      </c>
      <c r="F139" s="254">
        <f t="shared" si="5"/>
        <v>1800.5</v>
      </c>
      <c r="G139" s="258">
        <v>42620</v>
      </c>
      <c r="H139" s="259">
        <v>50</v>
      </c>
      <c r="I139" s="254">
        <v>38.18</v>
      </c>
      <c r="J139" s="254">
        <v>0.04</v>
      </c>
      <c r="K139" s="254">
        <f t="shared" si="6"/>
        <v>1908.96</v>
      </c>
      <c r="L139" s="253"/>
      <c r="M139" s="253"/>
    </row>
    <row r="140" spans="1:13" x14ac:dyDescent="0.25">
      <c r="A140" s="253"/>
      <c r="B140" s="258">
        <v>42545</v>
      </c>
      <c r="C140" s="253">
        <v>100</v>
      </c>
      <c r="D140" s="254">
        <v>36.01</v>
      </c>
      <c r="E140" s="254">
        <v>0</v>
      </c>
      <c r="F140" s="254">
        <f>D140*C140+E140</f>
        <v>3601</v>
      </c>
      <c r="G140" s="258">
        <v>42620</v>
      </c>
      <c r="H140" s="259">
        <v>50</v>
      </c>
      <c r="I140" s="254">
        <v>38.880000000000003</v>
      </c>
      <c r="J140" s="254">
        <v>0.04</v>
      </c>
      <c r="K140" s="254">
        <f t="shared" si="6"/>
        <v>1943.9600000000003</v>
      </c>
      <c r="L140" s="253"/>
      <c r="M140" s="253"/>
    </row>
    <row r="141" spans="1:13" x14ac:dyDescent="0.25">
      <c r="A141" s="253"/>
      <c r="B141" s="258">
        <v>42548</v>
      </c>
      <c r="C141" s="253">
        <v>100</v>
      </c>
      <c r="D141" s="254">
        <v>33.880000000000003</v>
      </c>
      <c r="E141" s="254">
        <v>0</v>
      </c>
      <c r="F141" s="254">
        <f>D141*C141+E141</f>
        <v>3388.0000000000005</v>
      </c>
      <c r="G141" s="258">
        <v>42620</v>
      </c>
      <c r="H141" s="259">
        <v>50</v>
      </c>
      <c r="I141" s="254">
        <v>39.090000000000003</v>
      </c>
      <c r="J141" s="254">
        <v>-0.09</v>
      </c>
      <c r="K141" s="254">
        <f t="shared" si="6"/>
        <v>1954.5900000000001</v>
      </c>
      <c r="L141" s="253"/>
      <c r="M141" s="253"/>
    </row>
    <row r="142" spans="1:13" x14ac:dyDescent="0.25">
      <c r="A142" s="253"/>
      <c r="B142" s="258">
        <v>42572</v>
      </c>
      <c r="C142" s="253">
        <v>50</v>
      </c>
      <c r="D142" s="254">
        <v>38.58</v>
      </c>
      <c r="E142" s="254">
        <v>0</v>
      </c>
      <c r="F142" s="254">
        <f>D142*C142+E142</f>
        <v>1929</v>
      </c>
      <c r="G142" s="258">
        <v>42641</v>
      </c>
      <c r="H142" s="259">
        <v>250</v>
      </c>
      <c r="I142" s="254">
        <v>39.68</v>
      </c>
      <c r="J142" s="254">
        <v>0.22</v>
      </c>
      <c r="K142" s="254">
        <f t="shared" si="6"/>
        <v>9919.7800000000007</v>
      </c>
      <c r="L142" s="253"/>
      <c r="M142" s="253"/>
    </row>
    <row r="143" spans="1:13" x14ac:dyDescent="0.25">
      <c r="A143" s="253"/>
      <c r="B143" s="258">
        <v>42580</v>
      </c>
      <c r="C143" s="253">
        <v>50</v>
      </c>
      <c r="D143" s="254">
        <v>38.979999999999997</v>
      </c>
      <c r="E143" s="254">
        <v>0</v>
      </c>
      <c r="F143" s="254">
        <f>D143*C143+E143</f>
        <v>1948.9999999999998</v>
      </c>
      <c r="G143" s="253"/>
      <c r="H143" s="253"/>
      <c r="I143" s="254"/>
      <c r="J143" s="254"/>
      <c r="K143" s="254"/>
      <c r="L143" s="253"/>
      <c r="M143" s="253"/>
    </row>
    <row r="144" spans="1:13" x14ac:dyDescent="0.25">
      <c r="A144" s="253"/>
      <c r="B144" s="258">
        <v>42584</v>
      </c>
      <c r="C144" s="253">
        <v>50</v>
      </c>
      <c r="D144" s="254">
        <v>37.68</v>
      </c>
      <c r="E144" s="254">
        <v>0</v>
      </c>
      <c r="F144" s="254">
        <f>D144*C144+E144</f>
        <v>1884</v>
      </c>
      <c r="G144" s="253"/>
      <c r="H144" s="253"/>
      <c r="I144" s="254"/>
      <c r="J144" s="254"/>
      <c r="K144" s="254"/>
      <c r="L144" s="253"/>
      <c r="M144" s="253"/>
    </row>
    <row r="145" spans="1:13" x14ac:dyDescent="0.25">
      <c r="A145" s="253"/>
      <c r="B145" s="253"/>
      <c r="C145" s="253"/>
      <c r="D145" s="254"/>
      <c r="E145" s="254"/>
      <c r="F145" s="254"/>
      <c r="G145" s="253"/>
      <c r="H145" s="253"/>
      <c r="I145" s="254"/>
      <c r="J145" s="254"/>
      <c r="K145" s="254"/>
      <c r="L145" s="253"/>
      <c r="M145" s="253"/>
    </row>
    <row r="146" spans="1:13" x14ac:dyDescent="0.25">
      <c r="A146" s="253"/>
      <c r="B146" s="253"/>
      <c r="C146" s="253"/>
      <c r="D146" s="254"/>
      <c r="E146" s="254"/>
      <c r="F146" s="254"/>
      <c r="G146" s="253"/>
      <c r="H146" s="253"/>
      <c r="I146" s="254"/>
      <c r="J146" s="254"/>
      <c r="K146" s="254"/>
      <c r="L146" s="253"/>
      <c r="M146" s="253"/>
    </row>
    <row r="147" spans="1:13" x14ac:dyDescent="0.25">
      <c r="A147" s="253"/>
      <c r="B147" s="253"/>
      <c r="C147" s="253"/>
      <c r="D147" s="254"/>
      <c r="E147" s="254"/>
      <c r="F147" s="254"/>
      <c r="G147" s="253"/>
      <c r="H147" s="253"/>
      <c r="I147" s="254"/>
      <c r="J147" s="254"/>
      <c r="K147" s="254"/>
      <c r="L147" s="253"/>
      <c r="M147" s="253"/>
    </row>
    <row r="148" spans="1:13" x14ac:dyDescent="0.25">
      <c r="A148" s="253"/>
      <c r="B148" s="253"/>
      <c r="C148" s="253"/>
      <c r="D148" s="254"/>
      <c r="E148" s="254"/>
      <c r="F148" s="254"/>
      <c r="G148" s="253"/>
      <c r="H148" s="253"/>
      <c r="I148" s="254"/>
      <c r="J148" s="254"/>
      <c r="K148" s="254"/>
      <c r="L148" s="253"/>
      <c r="M148" s="253"/>
    </row>
    <row r="149" spans="1:13" x14ac:dyDescent="0.25">
      <c r="A149" s="253"/>
      <c r="B149" s="253"/>
      <c r="C149" s="253"/>
      <c r="D149" s="254"/>
      <c r="E149" s="254"/>
      <c r="F149" s="254"/>
      <c r="G149" s="253"/>
      <c r="H149" s="253"/>
      <c r="I149" s="254"/>
      <c r="J149" s="254"/>
      <c r="K149" s="254"/>
      <c r="L149" s="253"/>
      <c r="M149" s="253"/>
    </row>
    <row r="150" spans="1:13" x14ac:dyDescent="0.25">
      <c r="A150" s="253"/>
      <c r="B150" s="253"/>
      <c r="C150" s="253"/>
      <c r="D150" s="254"/>
      <c r="E150" s="254"/>
      <c r="F150" s="254"/>
      <c r="G150" s="253"/>
      <c r="H150" s="253"/>
      <c r="I150" s="254"/>
      <c r="J150" s="254"/>
      <c r="K150" s="254"/>
      <c r="L150" s="253"/>
      <c r="M150" s="253"/>
    </row>
    <row r="151" spans="1:13" x14ac:dyDescent="0.25">
      <c r="A151" s="253"/>
      <c r="B151" s="253"/>
      <c r="C151" s="253"/>
      <c r="D151" s="254"/>
      <c r="E151" s="254"/>
      <c r="F151" s="254"/>
      <c r="G151" s="253"/>
      <c r="H151" s="253"/>
      <c r="I151" s="254"/>
      <c r="J151" s="254"/>
      <c r="K151" s="254"/>
      <c r="L151" s="253"/>
      <c r="M151" s="253"/>
    </row>
    <row r="152" spans="1:13" x14ac:dyDescent="0.25">
      <c r="A152" s="253"/>
      <c r="B152" s="253"/>
      <c r="C152" s="253"/>
      <c r="D152" s="254"/>
      <c r="E152" s="254"/>
      <c r="F152" s="254"/>
      <c r="G152" s="253"/>
      <c r="H152" s="253"/>
      <c r="I152" s="254"/>
      <c r="J152" s="254"/>
      <c r="K152" s="254"/>
      <c r="L152" s="253"/>
      <c r="M152" s="253"/>
    </row>
    <row r="153" spans="1:13" x14ac:dyDescent="0.25">
      <c r="A153" s="253"/>
      <c r="B153" s="253"/>
      <c r="C153" s="253"/>
      <c r="D153" s="254"/>
      <c r="E153" s="254"/>
      <c r="F153" s="254"/>
      <c r="G153" s="253"/>
      <c r="H153" s="253"/>
      <c r="I153" s="254"/>
      <c r="J153" s="254"/>
      <c r="K153" s="254"/>
      <c r="L153" s="253"/>
      <c r="M153" s="253"/>
    </row>
    <row r="154" spans="1:13" x14ac:dyDescent="0.25">
      <c r="A154" s="253"/>
      <c r="B154" s="253"/>
      <c r="C154" s="253"/>
      <c r="D154" s="254"/>
      <c r="E154" s="254"/>
      <c r="F154" s="254"/>
      <c r="G154" s="253"/>
      <c r="H154" s="259"/>
      <c r="I154" s="254"/>
      <c r="J154" s="254"/>
      <c r="K154" s="254"/>
      <c r="L154" s="253"/>
      <c r="M154" s="253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2" t="s">
        <v>194</v>
      </c>
      <c r="B156" s="443"/>
      <c r="C156" s="444">
        <f>SumByColor($A$30,C128:C154)</f>
        <v>0</v>
      </c>
      <c r="D156" s="444"/>
      <c r="E156" s="444"/>
      <c r="F156" s="445">
        <f>SumByColor($A$30,F128:F154)</f>
        <v>0</v>
      </c>
      <c r="G156" s="444"/>
      <c r="H156" s="444">
        <f>SumByColor($A$30,H129:H154)</f>
        <v>0</v>
      </c>
      <c r="I156" s="444"/>
      <c r="J156" s="444"/>
      <c r="K156" s="445">
        <f>SumByColor($A$30,K129:K154)</f>
        <v>0</v>
      </c>
      <c r="L156" s="444"/>
      <c r="M156" s="445">
        <f>SumByColor($A$30,M128:M154)</f>
        <v>0</v>
      </c>
    </row>
    <row r="159" spans="1:13" x14ac:dyDescent="0.25">
      <c r="B159" s="261" t="s">
        <v>113</v>
      </c>
      <c r="C159" s="261" t="s">
        <v>146</v>
      </c>
      <c r="D159" s="262" t="s">
        <v>145</v>
      </c>
      <c r="E159" s="263" t="s">
        <v>147</v>
      </c>
      <c r="F159" s="263" t="s">
        <v>65</v>
      </c>
      <c r="G159" s="265" t="s">
        <v>151</v>
      </c>
      <c r="H159" s="265" t="s">
        <v>88</v>
      </c>
      <c r="I159" s="265" t="s">
        <v>154</v>
      </c>
    </row>
    <row r="160" spans="1:13" x14ac:dyDescent="0.25">
      <c r="B160" s="258">
        <v>42524</v>
      </c>
      <c r="C160" s="253">
        <v>200</v>
      </c>
      <c r="D160" s="505">
        <v>42.3598</v>
      </c>
      <c r="E160" s="254">
        <v>41.755000000000003</v>
      </c>
      <c r="F160" s="254">
        <f t="shared" ref="F160:F212" si="7">C160*(E160-D160)</f>
        <v>-120.95999999999947</v>
      </c>
      <c r="G160" s="254">
        <f>D160*C160</f>
        <v>8471.9599999999991</v>
      </c>
      <c r="H160" s="268">
        <f>(E160-D160)/D160</f>
        <v>-1.4277687807779955E-2</v>
      </c>
      <c r="I160" s="254"/>
    </row>
    <row r="161" spans="2:9" x14ac:dyDescent="0.25">
      <c r="B161" s="258">
        <v>42527</v>
      </c>
      <c r="C161" s="253">
        <v>200</v>
      </c>
      <c r="D161" s="254">
        <v>42.3598</v>
      </c>
      <c r="E161" s="254">
        <v>41.28</v>
      </c>
      <c r="F161" s="254">
        <f t="shared" si="7"/>
        <v>-215.95999999999975</v>
      </c>
      <c r="G161" s="254">
        <f>D161*C161</f>
        <v>8471.9599999999991</v>
      </c>
      <c r="H161" s="268">
        <f>(E161-D161)/D161</f>
        <v>-2.5491149627713039E-2</v>
      </c>
      <c r="I161" s="254"/>
    </row>
    <row r="162" spans="2:9" x14ac:dyDescent="0.25">
      <c r="B162" s="258">
        <v>42533</v>
      </c>
      <c r="C162" s="253">
        <v>200</v>
      </c>
      <c r="D162" s="254">
        <v>42.36</v>
      </c>
      <c r="E162" s="254">
        <v>42.04</v>
      </c>
      <c r="F162" s="254">
        <f t="shared" si="7"/>
        <v>-64.000000000000057</v>
      </c>
      <c r="G162" s="254">
        <f>D162*C162</f>
        <v>8472</v>
      </c>
      <c r="H162" s="268">
        <f>(E162-D162)/D162</f>
        <v>-7.5542965061378723E-3</v>
      </c>
      <c r="I162" s="254"/>
    </row>
    <row r="163" spans="2:9" x14ac:dyDescent="0.25">
      <c r="B163" s="258">
        <v>42534</v>
      </c>
      <c r="C163" s="253">
        <v>200</v>
      </c>
      <c r="D163" s="254">
        <v>42.3598</v>
      </c>
      <c r="E163" s="254">
        <v>40.57</v>
      </c>
      <c r="F163" s="254">
        <f t="shared" si="7"/>
        <v>-357.95999999999992</v>
      </c>
      <c r="G163" s="254">
        <f t="shared" ref="G163:G212" si="8">D163*C163</f>
        <v>8471.9599999999991</v>
      </c>
      <c r="H163" s="268">
        <f t="shared" ref="H163:H212" si="9">(E163-D163)/D163</f>
        <v>-4.2252324137507721E-2</v>
      </c>
      <c r="I163" s="254"/>
    </row>
    <row r="164" spans="2:9" x14ac:dyDescent="0.25">
      <c r="B164" s="258">
        <v>42535</v>
      </c>
      <c r="C164" s="253">
        <v>300</v>
      </c>
      <c r="D164" s="254">
        <v>41.523200000000003</v>
      </c>
      <c r="E164" s="254">
        <v>39.11</v>
      </c>
      <c r="F164" s="254">
        <f t="shared" si="7"/>
        <v>-723.96000000000095</v>
      </c>
      <c r="G164" s="254">
        <f t="shared" si="8"/>
        <v>12456.960000000001</v>
      </c>
      <c r="H164" s="268">
        <f t="shared" si="9"/>
        <v>-5.8116908138101185E-2</v>
      </c>
      <c r="I164" s="254"/>
    </row>
    <row r="165" spans="2:9" x14ac:dyDescent="0.25">
      <c r="B165" s="258">
        <v>42537</v>
      </c>
      <c r="C165" s="253">
        <v>400</v>
      </c>
      <c r="D165" s="254">
        <v>40.604900000000001</v>
      </c>
      <c r="E165" s="254">
        <v>38.020000000000003</v>
      </c>
      <c r="F165" s="254">
        <f t="shared" si="7"/>
        <v>-1033.9599999999991</v>
      </c>
      <c r="G165" s="254">
        <f t="shared" si="8"/>
        <v>16241.960000000001</v>
      </c>
      <c r="H165" s="268">
        <f t="shared" si="9"/>
        <v>-6.3659804604862896E-2</v>
      </c>
      <c r="I165" s="254"/>
    </row>
    <row r="166" spans="2:9" x14ac:dyDescent="0.25">
      <c r="B166" s="258">
        <v>42542</v>
      </c>
      <c r="C166" s="253">
        <v>400</v>
      </c>
      <c r="D166" s="254">
        <v>40.604900000000001</v>
      </c>
      <c r="E166" s="254">
        <v>38.67</v>
      </c>
      <c r="F166" s="254">
        <f t="shared" si="7"/>
        <v>-773.95999999999958</v>
      </c>
      <c r="G166" s="254">
        <f t="shared" si="8"/>
        <v>16241.960000000001</v>
      </c>
      <c r="H166" s="268">
        <f t="shared" si="9"/>
        <v>-4.7651884378486317E-2</v>
      </c>
      <c r="I166" s="254"/>
    </row>
    <row r="167" spans="2:9" x14ac:dyDescent="0.25">
      <c r="B167" s="258">
        <v>42545</v>
      </c>
      <c r="C167" s="253">
        <v>500</v>
      </c>
      <c r="D167" s="254">
        <v>39.685899999999997</v>
      </c>
      <c r="E167" s="254">
        <v>38.31</v>
      </c>
      <c r="F167" s="254">
        <f t="shared" si="7"/>
        <v>-687.9499999999972</v>
      </c>
      <c r="G167" s="254">
        <f t="shared" si="8"/>
        <v>19842.949999999997</v>
      </c>
      <c r="H167" s="268">
        <f t="shared" si="9"/>
        <v>-3.466974416606388E-2</v>
      </c>
      <c r="I167" s="254"/>
    </row>
    <row r="168" spans="2:9" x14ac:dyDescent="0.25">
      <c r="B168" s="258">
        <v>42545</v>
      </c>
      <c r="C168" s="253">
        <v>500</v>
      </c>
      <c r="D168" s="254">
        <v>39.487099999999998</v>
      </c>
      <c r="E168" s="254">
        <v>35.18</v>
      </c>
      <c r="F168" s="254">
        <f t="shared" si="7"/>
        <v>-2153.5499999999993</v>
      </c>
      <c r="G168" s="254">
        <f t="shared" si="8"/>
        <v>19743.55</v>
      </c>
      <c r="H168" s="268">
        <f t="shared" si="9"/>
        <v>-0.10907612865973948</v>
      </c>
      <c r="I168" s="254"/>
    </row>
    <row r="169" spans="2:9" x14ac:dyDescent="0.25">
      <c r="B169" s="258">
        <v>42548</v>
      </c>
      <c r="C169" s="253">
        <v>600</v>
      </c>
      <c r="D169" s="254">
        <v>38.552599999999998</v>
      </c>
      <c r="E169" s="254">
        <v>33.36</v>
      </c>
      <c r="F169" s="254">
        <f t="shared" si="7"/>
        <v>-3115.5599999999995</v>
      </c>
      <c r="G169" s="254">
        <f t="shared" si="8"/>
        <v>23131.559999999998</v>
      </c>
      <c r="H169" s="268">
        <f t="shared" si="9"/>
        <v>-0.13468871100781787</v>
      </c>
      <c r="I169" s="254"/>
    </row>
    <row r="170" spans="2:9" x14ac:dyDescent="0.25">
      <c r="B170" s="258">
        <v>42549</v>
      </c>
      <c r="C170" s="253">
        <v>600</v>
      </c>
      <c r="D170" s="254">
        <v>38.552599999999998</v>
      </c>
      <c r="E170" s="254">
        <v>34.67</v>
      </c>
      <c r="F170" s="254">
        <f t="shared" si="7"/>
        <v>-2329.5599999999977</v>
      </c>
      <c r="G170" s="254">
        <f t="shared" si="8"/>
        <v>23131.559999999998</v>
      </c>
      <c r="H170" s="268">
        <f t="shared" si="9"/>
        <v>-0.10070916099043895</v>
      </c>
      <c r="I170" s="254"/>
    </row>
    <row r="171" spans="2:9" x14ac:dyDescent="0.25">
      <c r="B171" s="258">
        <v>42552</v>
      </c>
      <c r="C171" s="253">
        <v>600</v>
      </c>
      <c r="D171" s="254">
        <v>38.552599999999998</v>
      </c>
      <c r="E171" s="254">
        <v>36.770000000000003</v>
      </c>
      <c r="F171" s="254">
        <f t="shared" si="7"/>
        <v>-1069.559999999997</v>
      </c>
      <c r="G171" s="254">
        <f t="shared" si="8"/>
        <v>23131.559999999998</v>
      </c>
      <c r="H171" s="268">
        <f t="shared" si="9"/>
        <v>-4.6238126611434643E-2</v>
      </c>
      <c r="I171" s="254"/>
    </row>
    <row r="172" spans="2:9" x14ac:dyDescent="0.25">
      <c r="B172" s="258">
        <v>42556</v>
      </c>
      <c r="C172" s="267">
        <v>600</v>
      </c>
      <c r="D172" s="357">
        <v>38.552599999999998</v>
      </c>
      <c r="E172" s="254">
        <v>35.619999999999997</v>
      </c>
      <c r="F172" s="254">
        <f t="shared" si="7"/>
        <v>-1759.5600000000004</v>
      </c>
      <c r="G172" s="254">
        <f t="shared" si="8"/>
        <v>23131.559999999998</v>
      </c>
      <c r="H172" s="268">
        <f t="shared" si="9"/>
        <v>-7.6067502580889512E-2</v>
      </c>
      <c r="I172" s="254"/>
    </row>
    <row r="173" spans="2:9" x14ac:dyDescent="0.25">
      <c r="B173" s="258">
        <v>42559</v>
      </c>
      <c r="C173" s="267">
        <v>600</v>
      </c>
      <c r="D173" s="357">
        <v>38.552599999999998</v>
      </c>
      <c r="E173" s="254">
        <v>37.369999999999997</v>
      </c>
      <c r="F173" s="254">
        <f t="shared" si="7"/>
        <v>-709.5600000000004</v>
      </c>
      <c r="G173" s="254">
        <f t="shared" si="8"/>
        <v>23131.559999999998</v>
      </c>
      <c r="H173" s="268">
        <f t="shared" si="9"/>
        <v>-3.0674973931719283E-2</v>
      </c>
      <c r="I173" s="254"/>
    </row>
    <row r="174" spans="2:9" x14ac:dyDescent="0.25">
      <c r="B174" s="258">
        <v>42562</v>
      </c>
      <c r="C174" s="267">
        <v>600</v>
      </c>
      <c r="D174" s="357">
        <v>38.552599999999998</v>
      </c>
      <c r="E174" s="254">
        <v>38.119999999999997</v>
      </c>
      <c r="F174" s="254">
        <f t="shared" si="7"/>
        <v>-259.56000000000046</v>
      </c>
      <c r="G174" s="254">
        <f t="shared" si="8"/>
        <v>23131.559999999998</v>
      </c>
      <c r="H174" s="268">
        <f t="shared" si="9"/>
        <v>-1.1221033082074899E-2</v>
      </c>
      <c r="I174" s="254"/>
    </row>
    <row r="175" spans="2:9" x14ac:dyDescent="0.25">
      <c r="B175" s="258">
        <v>42563</v>
      </c>
      <c r="C175" s="253">
        <v>500</v>
      </c>
      <c r="D175" s="254">
        <v>38.395200000000003</v>
      </c>
      <c r="E175" s="254">
        <v>40.21</v>
      </c>
      <c r="F175" s="254">
        <f t="shared" si="7"/>
        <v>907.39999999999907</v>
      </c>
      <c r="G175" s="254">
        <f t="shared" si="8"/>
        <v>19197.600000000002</v>
      </c>
      <c r="H175" s="268">
        <f t="shared" si="9"/>
        <v>4.7266324957286276E-2</v>
      </c>
      <c r="I175" s="254"/>
    </row>
    <row r="176" spans="2:9" x14ac:dyDescent="0.25">
      <c r="B176" s="258">
        <v>42566</v>
      </c>
      <c r="C176" s="253">
        <v>400</v>
      </c>
      <c r="D176" s="254">
        <v>37.874299999999998</v>
      </c>
      <c r="E176" s="254">
        <v>39.979999999999997</v>
      </c>
      <c r="F176" s="254">
        <f t="shared" si="7"/>
        <v>842.27999999999952</v>
      </c>
      <c r="G176" s="254">
        <f t="shared" si="8"/>
        <v>15149.72</v>
      </c>
      <c r="H176" s="268">
        <f t="shared" si="9"/>
        <v>5.559706714051478E-2</v>
      </c>
      <c r="I176" s="254"/>
    </row>
    <row r="177" spans="2:9" x14ac:dyDescent="0.25">
      <c r="B177" s="258">
        <v>42569</v>
      </c>
      <c r="C177" s="253">
        <v>400</v>
      </c>
      <c r="D177" s="254">
        <v>37.874299999999998</v>
      </c>
      <c r="E177" s="254">
        <v>40.1</v>
      </c>
      <c r="F177" s="254">
        <f t="shared" si="7"/>
        <v>890.28000000000134</v>
      </c>
      <c r="G177" s="254">
        <f t="shared" si="8"/>
        <v>15149.72</v>
      </c>
      <c r="H177" s="268">
        <f t="shared" si="9"/>
        <v>5.8765442529631E-2</v>
      </c>
      <c r="I177" s="254"/>
    </row>
    <row r="178" spans="2:9" x14ac:dyDescent="0.25">
      <c r="B178" s="258">
        <v>42570</v>
      </c>
      <c r="C178" s="253">
        <v>400</v>
      </c>
      <c r="D178" s="254">
        <v>37.874299999999998</v>
      </c>
      <c r="E178" s="254">
        <v>40.53</v>
      </c>
      <c r="F178" s="254">
        <f t="shared" si="7"/>
        <v>1062.2800000000011</v>
      </c>
      <c r="G178" s="254">
        <f t="shared" si="8"/>
        <v>15149.72</v>
      </c>
      <c r="H178" s="268">
        <f t="shared" si="9"/>
        <v>7.0118787673963692E-2</v>
      </c>
      <c r="I178" s="254"/>
    </row>
    <row r="179" spans="2:9" x14ac:dyDescent="0.25">
      <c r="B179" s="258">
        <v>42571</v>
      </c>
      <c r="C179" s="267">
        <v>300</v>
      </c>
      <c r="D179" s="357">
        <v>36.805999999999997</v>
      </c>
      <c r="E179" s="357">
        <v>40.21</v>
      </c>
      <c r="F179" s="254">
        <f t="shared" si="7"/>
        <v>1021.2000000000011</v>
      </c>
      <c r="G179" s="254">
        <f t="shared" si="8"/>
        <v>11041.8</v>
      </c>
      <c r="H179" s="268">
        <f t="shared" si="9"/>
        <v>9.2484920936803883E-2</v>
      </c>
      <c r="I179" s="254"/>
    </row>
    <row r="180" spans="2:9" x14ac:dyDescent="0.25">
      <c r="B180" s="258">
        <v>42572</v>
      </c>
      <c r="C180" s="253">
        <v>350</v>
      </c>
      <c r="D180" s="254">
        <v>37.059399999999997</v>
      </c>
      <c r="E180" s="254">
        <v>38.520000000000003</v>
      </c>
      <c r="F180" s="254">
        <f t="shared" si="7"/>
        <v>511.21000000000231</v>
      </c>
      <c r="G180" s="254">
        <f t="shared" si="8"/>
        <v>12970.789999999999</v>
      </c>
      <c r="H180" s="268">
        <f t="shared" si="9"/>
        <v>3.9412402791194859E-2</v>
      </c>
      <c r="I180" s="254"/>
    </row>
    <row r="181" spans="2:9" x14ac:dyDescent="0.25">
      <c r="B181" s="258">
        <v>42575</v>
      </c>
      <c r="C181" s="253">
        <v>350</v>
      </c>
      <c r="D181" s="254">
        <v>37.059399999999997</v>
      </c>
      <c r="E181" s="254">
        <v>38.96</v>
      </c>
      <c r="F181" s="254">
        <f t="shared" si="7"/>
        <v>665.21000000000151</v>
      </c>
      <c r="G181" s="254">
        <f t="shared" si="8"/>
        <v>12970.789999999999</v>
      </c>
      <c r="H181" s="268">
        <f t="shared" si="9"/>
        <v>5.1285233975725576E-2</v>
      </c>
      <c r="I181" s="254"/>
    </row>
    <row r="182" spans="2:9" x14ac:dyDescent="0.25">
      <c r="B182" s="258">
        <v>42577</v>
      </c>
      <c r="C182" s="253">
        <v>350</v>
      </c>
      <c r="D182" s="254">
        <v>37.059399999999997</v>
      </c>
      <c r="E182" s="254">
        <v>39.03</v>
      </c>
      <c r="F182" s="254">
        <f t="shared" si="7"/>
        <v>689.71000000000163</v>
      </c>
      <c r="G182" s="254">
        <f t="shared" si="8"/>
        <v>12970.789999999999</v>
      </c>
      <c r="H182" s="268">
        <f t="shared" si="9"/>
        <v>5.3174093482355481E-2</v>
      </c>
      <c r="I182" s="254"/>
    </row>
    <row r="183" spans="2:9" x14ac:dyDescent="0.25">
      <c r="B183" s="258">
        <v>42580</v>
      </c>
      <c r="C183" s="253">
        <v>300</v>
      </c>
      <c r="D183" s="254">
        <v>36.606099999999998</v>
      </c>
      <c r="E183" s="254">
        <v>39.659999999999997</v>
      </c>
      <c r="F183" s="254">
        <f t="shared" si="7"/>
        <v>916.16999999999962</v>
      </c>
      <c r="G183" s="254">
        <f t="shared" si="8"/>
        <v>10981.83</v>
      </c>
      <c r="H183" s="268">
        <f t="shared" si="9"/>
        <v>8.3425986379319264E-2</v>
      </c>
      <c r="I183" s="254">
        <v>36</v>
      </c>
    </row>
    <row r="184" spans="2:9" x14ac:dyDescent="0.25">
      <c r="B184" s="258">
        <v>42580</v>
      </c>
      <c r="C184" s="253">
        <v>350</v>
      </c>
      <c r="D184" s="254">
        <v>36.945300000000003</v>
      </c>
      <c r="E184" s="254">
        <v>38.75</v>
      </c>
      <c r="F184" s="254">
        <f t="shared" si="7"/>
        <v>631.64499999999884</v>
      </c>
      <c r="G184" s="254">
        <f t="shared" si="8"/>
        <v>12930.855000000001</v>
      </c>
      <c r="H184" s="268">
        <f t="shared" si="9"/>
        <v>4.8847891342065075E-2</v>
      </c>
      <c r="I184" s="254"/>
    </row>
    <row r="185" spans="2:9" x14ac:dyDescent="0.25">
      <c r="B185" s="258">
        <v>42584</v>
      </c>
      <c r="C185" s="253">
        <v>400</v>
      </c>
      <c r="D185" s="254">
        <v>37.037100000000002</v>
      </c>
      <c r="E185" s="254">
        <v>36.39</v>
      </c>
      <c r="F185" s="254">
        <f t="shared" si="7"/>
        <v>-258.84000000000071</v>
      </c>
      <c r="G185" s="254">
        <f t="shared" si="8"/>
        <v>14814.84</v>
      </c>
      <c r="H185" s="268">
        <f t="shared" si="9"/>
        <v>-1.747167029816054E-2</v>
      </c>
      <c r="I185" s="254">
        <v>36.5</v>
      </c>
    </row>
    <row r="186" spans="2:9" x14ac:dyDescent="0.25">
      <c r="B186" s="258">
        <v>42597</v>
      </c>
      <c r="C186" s="253">
        <v>400</v>
      </c>
      <c r="D186" s="254">
        <v>37.037100000000002</v>
      </c>
      <c r="E186" s="254">
        <v>36.92</v>
      </c>
      <c r="F186" s="254">
        <f t="shared" si="7"/>
        <v>-46.840000000000259</v>
      </c>
      <c r="G186" s="254">
        <f t="shared" si="8"/>
        <v>14814.84</v>
      </c>
      <c r="H186" s="268">
        <f t="shared" si="9"/>
        <v>-3.1616946251191544E-3</v>
      </c>
      <c r="I186" s="254"/>
    </row>
    <row r="187" spans="2:9" x14ac:dyDescent="0.25">
      <c r="B187" s="258">
        <v>42599</v>
      </c>
      <c r="C187" s="253">
        <v>400</v>
      </c>
      <c r="D187" s="254">
        <v>37.037100000000002</v>
      </c>
      <c r="E187" s="254">
        <v>37.51</v>
      </c>
      <c r="F187" s="254">
        <f t="shared" si="7"/>
        <v>189.15999999999826</v>
      </c>
      <c r="G187" s="254">
        <f t="shared" si="8"/>
        <v>14814.84</v>
      </c>
      <c r="H187" s="268">
        <f t="shared" si="9"/>
        <v>1.2768278293926781E-2</v>
      </c>
      <c r="I187" s="254"/>
    </row>
    <row r="188" spans="2:9" x14ac:dyDescent="0.25">
      <c r="B188" s="258">
        <v>42600</v>
      </c>
      <c r="C188" s="253">
        <v>400</v>
      </c>
      <c r="D188" s="254">
        <v>37.037100000000002</v>
      </c>
      <c r="E188" s="254">
        <v>37.07</v>
      </c>
      <c r="F188" s="254">
        <f t="shared" si="7"/>
        <v>13.159999999999172</v>
      </c>
      <c r="G188" s="254">
        <f t="shared" si="8"/>
        <v>14814.84</v>
      </c>
      <c r="H188" s="268">
        <f t="shared" si="9"/>
        <v>8.8829848989251125E-4</v>
      </c>
      <c r="I188" s="254"/>
    </row>
    <row r="189" spans="2:9" x14ac:dyDescent="0.25">
      <c r="B189" s="258">
        <v>42601</v>
      </c>
      <c r="C189" s="253">
        <v>400</v>
      </c>
      <c r="D189" s="254">
        <v>37.037100000000002</v>
      </c>
      <c r="E189" s="254">
        <v>36.770000000000003</v>
      </c>
      <c r="F189" s="254">
        <f t="shared" si="7"/>
        <v>-106.83999999999969</v>
      </c>
      <c r="G189" s="254">
        <f t="shared" si="8"/>
        <v>14814.84</v>
      </c>
      <c r="H189" s="268">
        <f t="shared" si="9"/>
        <v>-7.2116877401308208E-3</v>
      </c>
      <c r="I189" s="254"/>
    </row>
    <row r="190" spans="2:9" x14ac:dyDescent="0.25">
      <c r="B190" s="258">
        <v>42604</v>
      </c>
      <c r="C190" s="253">
        <v>400</v>
      </c>
      <c r="D190" s="254">
        <v>37.037100000000002</v>
      </c>
      <c r="E190" s="254">
        <v>36.61</v>
      </c>
      <c r="F190" s="254">
        <f t="shared" si="7"/>
        <v>-170.84000000000117</v>
      </c>
      <c r="G190" s="254">
        <f t="shared" si="8"/>
        <v>14814.84</v>
      </c>
      <c r="H190" s="268">
        <f t="shared" si="9"/>
        <v>-1.1531680396143405E-2</v>
      </c>
      <c r="I190" s="254"/>
    </row>
    <row r="191" spans="2:9" x14ac:dyDescent="0.25">
      <c r="B191" s="258">
        <v>42605</v>
      </c>
      <c r="C191" s="253">
        <v>400</v>
      </c>
      <c r="D191" s="254">
        <v>37.037100000000002</v>
      </c>
      <c r="E191" s="254">
        <v>36.69</v>
      </c>
      <c r="F191" s="254">
        <f t="shared" si="7"/>
        <v>-138.84000000000185</v>
      </c>
      <c r="G191" s="254">
        <f t="shared" si="8"/>
        <v>14814.84</v>
      </c>
      <c r="H191" s="268">
        <f t="shared" si="9"/>
        <v>-9.3716840681372093E-3</v>
      </c>
      <c r="I191" s="254"/>
    </row>
    <row r="192" spans="2:9" x14ac:dyDescent="0.25">
      <c r="B192" s="258">
        <v>42606</v>
      </c>
      <c r="C192" s="253">
        <v>400</v>
      </c>
      <c r="D192" s="254">
        <v>37.037100000000002</v>
      </c>
      <c r="E192" s="254">
        <v>36.770000000000003</v>
      </c>
      <c r="F192" s="254">
        <f t="shared" si="7"/>
        <v>-106.83999999999969</v>
      </c>
      <c r="G192" s="254">
        <f t="shared" si="8"/>
        <v>14814.84</v>
      </c>
      <c r="H192" s="268">
        <f t="shared" si="9"/>
        <v>-7.2116877401308208E-3</v>
      </c>
      <c r="I192" s="254"/>
    </row>
    <row r="193" spans="2:9" x14ac:dyDescent="0.25">
      <c r="B193" s="258">
        <v>42607</v>
      </c>
      <c r="C193" s="253">
        <v>400</v>
      </c>
      <c r="D193" s="254">
        <v>37.037100000000002</v>
      </c>
      <c r="E193" s="254">
        <v>36.47</v>
      </c>
      <c r="F193" s="254">
        <f t="shared" si="7"/>
        <v>-226.8400000000014</v>
      </c>
      <c r="G193" s="254">
        <f t="shared" si="8"/>
        <v>14814.84</v>
      </c>
      <c r="H193" s="268">
        <f t="shared" si="9"/>
        <v>-1.5311673970154344E-2</v>
      </c>
      <c r="I193" s="254"/>
    </row>
    <row r="194" spans="2:9" x14ac:dyDescent="0.25">
      <c r="B194" s="258">
        <v>42611</v>
      </c>
      <c r="C194" s="253">
        <v>400</v>
      </c>
      <c r="D194" s="254">
        <v>37.037100000000002</v>
      </c>
      <c r="E194" s="254">
        <v>36.549999999999997</v>
      </c>
      <c r="F194" s="254">
        <f t="shared" si="7"/>
        <v>-194.84000000000208</v>
      </c>
      <c r="G194" s="254">
        <f t="shared" si="8"/>
        <v>14814.84</v>
      </c>
      <c r="H194" s="268">
        <f t="shared" si="9"/>
        <v>-1.3151677642148148E-2</v>
      </c>
      <c r="I194" s="254"/>
    </row>
    <row r="195" spans="2:9" x14ac:dyDescent="0.25">
      <c r="B195" s="258">
        <v>42612</v>
      </c>
      <c r="C195" s="253">
        <v>400</v>
      </c>
      <c r="D195" s="254">
        <v>37.037100000000002</v>
      </c>
      <c r="E195" s="254">
        <v>37.159999999999997</v>
      </c>
      <c r="F195" s="254">
        <f t="shared" si="7"/>
        <v>49.159999999997694</v>
      </c>
      <c r="G195" s="254">
        <f t="shared" si="8"/>
        <v>14814.84</v>
      </c>
      <c r="H195" s="268">
        <f t="shared" si="9"/>
        <v>3.3182943588994339E-3</v>
      </c>
      <c r="I195" s="254"/>
    </row>
    <row r="196" spans="2:9" x14ac:dyDescent="0.25">
      <c r="B196" s="258">
        <v>42614</v>
      </c>
      <c r="C196" s="253">
        <v>400</v>
      </c>
      <c r="D196" s="254">
        <v>37.037100000000002</v>
      </c>
      <c r="E196" s="254">
        <v>36.82</v>
      </c>
      <c r="F196" s="254">
        <f t="shared" si="7"/>
        <v>-86.840000000000828</v>
      </c>
      <c r="G196" s="254">
        <f t="shared" si="8"/>
        <v>14814.84</v>
      </c>
      <c r="H196" s="268">
        <f t="shared" si="9"/>
        <v>-5.8616900351269961E-3</v>
      </c>
      <c r="I196" s="254"/>
    </row>
    <row r="197" spans="2:9" x14ac:dyDescent="0.25">
      <c r="B197" s="258">
        <v>42615</v>
      </c>
      <c r="C197" s="253">
        <v>400</v>
      </c>
      <c r="D197" s="254">
        <v>37.037100000000002</v>
      </c>
      <c r="E197" s="254">
        <v>37.17</v>
      </c>
      <c r="F197" s="254">
        <f t="shared" si="7"/>
        <v>53.159999999999741</v>
      </c>
      <c r="G197" s="254">
        <f t="shared" si="8"/>
        <v>14814.84</v>
      </c>
      <c r="H197" s="268">
        <f t="shared" si="9"/>
        <v>3.5882938999003524E-3</v>
      </c>
      <c r="I197" s="254"/>
    </row>
    <row r="198" spans="2:9" x14ac:dyDescent="0.25">
      <c r="B198" s="258">
        <v>42615</v>
      </c>
      <c r="C198" s="253">
        <v>400</v>
      </c>
      <c r="D198" s="254">
        <v>36.834600000000002</v>
      </c>
      <c r="E198" s="254">
        <v>37.17</v>
      </c>
      <c r="F198" s="254">
        <f t="shared" si="7"/>
        <v>134.15999999999997</v>
      </c>
      <c r="G198" s="254">
        <f t="shared" si="8"/>
        <v>14733.84</v>
      </c>
      <c r="H198" s="268">
        <f t="shared" si="9"/>
        <v>9.1055692202440079E-3</v>
      </c>
      <c r="I198" s="254" t="s">
        <v>262</v>
      </c>
    </row>
    <row r="199" spans="2:9" x14ac:dyDescent="0.25">
      <c r="B199" s="258">
        <v>42619</v>
      </c>
      <c r="C199" s="253">
        <v>400</v>
      </c>
      <c r="D199" s="254">
        <v>36.834600000000002</v>
      </c>
      <c r="E199" s="254">
        <v>36.82</v>
      </c>
      <c r="F199" s="254">
        <f t="shared" si="7"/>
        <v>-5.8400000000006003</v>
      </c>
      <c r="G199" s="254">
        <f t="shared" si="8"/>
        <v>14733.84</v>
      </c>
      <c r="H199" s="268">
        <f t="shared" si="9"/>
        <v>-3.9636645979599343E-4</v>
      </c>
      <c r="I199" s="254"/>
    </row>
    <row r="200" spans="2:9" x14ac:dyDescent="0.25">
      <c r="B200" s="258">
        <v>42620</v>
      </c>
      <c r="C200" s="253">
        <v>350</v>
      </c>
      <c r="D200" s="254">
        <v>36.642400000000002</v>
      </c>
      <c r="E200" s="254">
        <v>38.9</v>
      </c>
      <c r="F200" s="254">
        <f t="shared" si="7"/>
        <v>790.15999999999872</v>
      </c>
      <c r="G200" s="254">
        <f t="shared" si="8"/>
        <v>12824.84</v>
      </c>
      <c r="H200" s="268">
        <f t="shared" si="9"/>
        <v>6.1611684824138056E-2</v>
      </c>
      <c r="I200" s="254"/>
    </row>
    <row r="201" spans="2:9" x14ac:dyDescent="0.25">
      <c r="B201" s="258">
        <v>42620</v>
      </c>
      <c r="C201" s="253">
        <v>300</v>
      </c>
      <c r="D201" s="254">
        <v>36.269399999999997</v>
      </c>
      <c r="E201" s="254">
        <v>38.9</v>
      </c>
      <c r="F201" s="254">
        <f t="shared" si="7"/>
        <v>789.18000000000029</v>
      </c>
      <c r="G201" s="254">
        <f t="shared" si="8"/>
        <v>10880.82</v>
      </c>
      <c r="H201" s="268">
        <f t="shared" si="9"/>
        <v>7.2529460095838397E-2</v>
      </c>
      <c r="I201" s="254">
        <v>36</v>
      </c>
    </row>
    <row r="202" spans="2:9" x14ac:dyDescent="0.25">
      <c r="B202" s="258">
        <v>42620</v>
      </c>
      <c r="C202" s="253">
        <v>250</v>
      </c>
      <c r="D202" s="254">
        <v>35.705300000000001</v>
      </c>
      <c r="E202" s="254">
        <v>38.9</v>
      </c>
      <c r="F202" s="254">
        <f t="shared" si="7"/>
        <v>798.67499999999939</v>
      </c>
      <c r="G202" s="254">
        <f t="shared" si="8"/>
        <v>8926.3250000000007</v>
      </c>
      <c r="H202" s="268">
        <f t="shared" si="9"/>
        <v>8.9474111686500254E-2</v>
      </c>
      <c r="I202" s="254"/>
    </row>
    <row r="203" spans="2:9" x14ac:dyDescent="0.25">
      <c r="B203" s="258">
        <v>42622</v>
      </c>
      <c r="C203" s="253">
        <v>250</v>
      </c>
      <c r="D203" s="254">
        <v>35.705300000000001</v>
      </c>
      <c r="E203" s="254">
        <v>37.75</v>
      </c>
      <c r="F203" s="254">
        <f t="shared" si="7"/>
        <v>511.17499999999973</v>
      </c>
      <c r="G203" s="254">
        <f t="shared" si="8"/>
        <v>8926.3250000000007</v>
      </c>
      <c r="H203" s="268">
        <f t="shared" si="9"/>
        <v>5.7266008127644881E-2</v>
      </c>
      <c r="I203" s="254"/>
    </row>
    <row r="204" spans="2:9" x14ac:dyDescent="0.25">
      <c r="B204" s="258">
        <v>42625</v>
      </c>
      <c r="C204" s="253">
        <v>250</v>
      </c>
      <c r="D204" s="254">
        <v>35.705300000000001</v>
      </c>
      <c r="E204" s="254">
        <v>38.44</v>
      </c>
      <c r="F204" s="254">
        <f t="shared" si="7"/>
        <v>683.67499999999916</v>
      </c>
      <c r="G204" s="254">
        <f t="shared" si="8"/>
        <v>8926.3250000000007</v>
      </c>
      <c r="H204" s="268">
        <f t="shared" si="9"/>
        <v>7.6590870262958063E-2</v>
      </c>
      <c r="I204" s="254"/>
    </row>
    <row r="205" spans="2:9" x14ac:dyDescent="0.25">
      <c r="B205" s="258">
        <v>42627</v>
      </c>
      <c r="C205" s="253">
        <v>250</v>
      </c>
      <c r="D205" s="254">
        <v>35.705300000000001</v>
      </c>
      <c r="E205" s="254">
        <v>37.119999999999997</v>
      </c>
      <c r="F205" s="254">
        <f t="shared" si="7"/>
        <v>353.67499999999905</v>
      </c>
      <c r="G205" s="254">
        <f t="shared" si="8"/>
        <v>8926.3250000000007</v>
      </c>
      <c r="H205" s="268">
        <f t="shared" si="9"/>
        <v>3.9621568786706633E-2</v>
      </c>
      <c r="I205" s="254"/>
    </row>
    <row r="206" spans="2:9" x14ac:dyDescent="0.25">
      <c r="B206" s="258">
        <v>42629</v>
      </c>
      <c r="C206" s="253">
        <v>250</v>
      </c>
      <c r="D206" s="254">
        <v>35.705300000000001</v>
      </c>
      <c r="E206" s="254">
        <v>36.770000000000003</v>
      </c>
      <c r="F206" s="254">
        <f t="shared" si="7"/>
        <v>266.17500000000052</v>
      </c>
      <c r="G206" s="254">
        <f t="shared" si="8"/>
        <v>8926.3250000000007</v>
      </c>
      <c r="H206" s="268">
        <f t="shared" si="9"/>
        <v>2.9819102486185578E-2</v>
      </c>
      <c r="I206" s="254"/>
    </row>
    <row r="207" spans="2:9" x14ac:dyDescent="0.25">
      <c r="B207" s="258">
        <v>42632</v>
      </c>
      <c r="C207" s="253">
        <v>250</v>
      </c>
      <c r="D207" s="254">
        <v>35.705300000000001</v>
      </c>
      <c r="E207" s="254">
        <v>37.57</v>
      </c>
      <c r="F207" s="254">
        <f t="shared" si="7"/>
        <v>466.17499999999978</v>
      </c>
      <c r="G207" s="254">
        <f t="shared" si="8"/>
        <v>8926.3250000000007</v>
      </c>
      <c r="H207" s="268">
        <f t="shared" si="9"/>
        <v>5.2224739744519695E-2</v>
      </c>
      <c r="I207" s="254"/>
    </row>
    <row r="208" spans="2:9" x14ac:dyDescent="0.25">
      <c r="B208" s="258">
        <v>42633</v>
      </c>
      <c r="C208" s="253">
        <v>250</v>
      </c>
      <c r="D208" s="254">
        <v>35.705300000000001</v>
      </c>
      <c r="E208" s="254">
        <v>38.049999999999997</v>
      </c>
      <c r="F208" s="254">
        <f t="shared" si="7"/>
        <v>586.17499999999905</v>
      </c>
      <c r="G208" s="254">
        <f t="shared" si="8"/>
        <v>8926.3250000000007</v>
      </c>
      <c r="H208" s="268">
        <f t="shared" si="9"/>
        <v>6.5668122099520124E-2</v>
      </c>
      <c r="I208" s="254"/>
    </row>
    <row r="209" spans="2:9" x14ac:dyDescent="0.25">
      <c r="B209" s="258">
        <v>42635</v>
      </c>
      <c r="C209" s="253">
        <v>250</v>
      </c>
      <c r="D209" s="254">
        <v>35.705300000000001</v>
      </c>
      <c r="E209" s="254">
        <v>38.5</v>
      </c>
      <c r="F209" s="254">
        <f t="shared" si="7"/>
        <v>698.67499999999973</v>
      </c>
      <c r="G209" s="254">
        <f t="shared" si="8"/>
        <v>8926.3250000000007</v>
      </c>
      <c r="H209" s="268">
        <f t="shared" si="9"/>
        <v>7.8271293057333186E-2</v>
      </c>
      <c r="I209" s="254"/>
    </row>
    <row r="210" spans="2:9" x14ac:dyDescent="0.25">
      <c r="B210" s="258">
        <v>42636</v>
      </c>
      <c r="C210" s="253">
        <v>250</v>
      </c>
      <c r="D210" s="254">
        <v>35.705300000000001</v>
      </c>
      <c r="E210" s="254">
        <v>38.78</v>
      </c>
      <c r="F210" s="254">
        <f t="shared" si="7"/>
        <v>768.67499999999995</v>
      </c>
      <c r="G210" s="254">
        <f t="shared" si="8"/>
        <v>8926.3250000000007</v>
      </c>
      <c r="H210" s="268">
        <f t="shared" si="9"/>
        <v>8.6113266097750191E-2</v>
      </c>
      <c r="I210" s="254"/>
    </row>
    <row r="211" spans="2:9" x14ac:dyDescent="0.25">
      <c r="B211" s="258">
        <v>42639</v>
      </c>
      <c r="C211" s="253">
        <v>250</v>
      </c>
      <c r="D211" s="254">
        <v>35.705300000000001</v>
      </c>
      <c r="E211" s="254">
        <v>38.04</v>
      </c>
      <c r="F211" s="254">
        <f t="shared" si="7"/>
        <v>583.6749999999995</v>
      </c>
      <c r="G211" s="254">
        <f t="shared" si="8"/>
        <v>8926.3250000000007</v>
      </c>
      <c r="H211" s="268">
        <f t="shared" si="9"/>
        <v>6.5388051633791008E-2</v>
      </c>
      <c r="I211" s="254"/>
    </row>
    <row r="212" spans="2:9" x14ac:dyDescent="0.25">
      <c r="B212" s="258">
        <v>42640</v>
      </c>
      <c r="C212" s="253">
        <v>250</v>
      </c>
      <c r="D212" s="254">
        <v>35.705300000000001</v>
      </c>
      <c r="E212" s="254">
        <v>39.21</v>
      </c>
      <c r="F212" s="254">
        <f t="shared" si="7"/>
        <v>876.17499999999995</v>
      </c>
      <c r="G212" s="254">
        <f t="shared" si="8"/>
        <v>8926.3250000000007</v>
      </c>
      <c r="H212" s="268">
        <f t="shared" si="9"/>
        <v>9.8156296124104814E-2</v>
      </c>
      <c r="I212" s="254"/>
    </row>
    <row r="213" spans="2:9" x14ac:dyDescent="0.25">
      <c r="B213" s="258">
        <v>42641</v>
      </c>
      <c r="C213" s="253">
        <v>0</v>
      </c>
      <c r="D213" s="254"/>
      <c r="E213" s="254"/>
      <c r="F213" s="254">
        <v>993.45</v>
      </c>
      <c r="G213" s="254"/>
      <c r="H213" s="268"/>
      <c r="I213" s="254"/>
    </row>
    <row r="214" spans="2:9" x14ac:dyDescent="0.25">
      <c r="B214" s="187"/>
      <c r="C214" s="10"/>
      <c r="D214" s="39"/>
      <c r="E214" s="39"/>
      <c r="F214" s="39"/>
      <c r="G214" s="39"/>
      <c r="H214" s="225"/>
      <c r="I214" s="39"/>
    </row>
    <row r="215" spans="2:9" x14ac:dyDescent="0.25">
      <c r="B215" s="187"/>
      <c r="C215" s="10"/>
      <c r="D215" s="39"/>
      <c r="E215" s="39"/>
      <c r="F215" s="39"/>
      <c r="G215" s="39"/>
      <c r="H215" s="225"/>
      <c r="I215" s="39"/>
    </row>
    <row r="216" spans="2:9" x14ac:dyDescent="0.25">
      <c r="B216" s="506"/>
      <c r="C216" s="185"/>
      <c r="D216" s="186"/>
      <c r="E216" s="186"/>
      <c r="F216" s="186"/>
      <c r="G216" s="186"/>
      <c r="H216" s="507"/>
      <c r="I216" s="186"/>
    </row>
    <row r="217" spans="2:9" x14ac:dyDescent="0.25">
      <c r="B217" s="187"/>
      <c r="C217" s="10"/>
      <c r="D217" s="39"/>
      <c r="E217" s="39"/>
      <c r="F217" s="39"/>
      <c r="G217" s="39"/>
      <c r="H217" s="225"/>
      <c r="I217" s="39"/>
    </row>
    <row r="218" spans="2:9" x14ac:dyDescent="0.25">
      <c r="B218" s="187"/>
      <c r="C218" s="10"/>
      <c r="D218" s="39"/>
      <c r="E218" s="39"/>
      <c r="F218" s="39"/>
      <c r="G218" s="39"/>
      <c r="H218" s="225"/>
      <c r="I218" s="39"/>
    </row>
    <row r="219" spans="2:9" x14ac:dyDescent="0.25">
      <c r="B219" s="187"/>
      <c r="C219" s="10"/>
      <c r="D219" s="39"/>
      <c r="E219" s="39"/>
      <c r="F219" s="39"/>
      <c r="G219" s="39"/>
      <c r="H219" s="225"/>
      <c r="I219" s="39"/>
    </row>
    <row r="220" spans="2:9" x14ac:dyDescent="0.25">
      <c r="B220" s="187"/>
      <c r="C220" s="10"/>
      <c r="D220" s="39"/>
      <c r="E220" s="39"/>
      <c r="F220" s="39"/>
      <c r="G220" s="39"/>
      <c r="H220" s="225"/>
      <c r="I220" s="39"/>
    </row>
    <row r="221" spans="2:9" x14ac:dyDescent="0.25">
      <c r="B221" s="187"/>
      <c r="C221" s="10"/>
      <c r="D221" s="39"/>
      <c r="E221" s="39"/>
      <c r="F221" s="39"/>
      <c r="G221" s="39"/>
      <c r="H221" s="225"/>
      <c r="I221" s="39"/>
    </row>
    <row r="222" spans="2:9" x14ac:dyDescent="0.25">
      <c r="B222" s="187"/>
      <c r="C222" s="10"/>
      <c r="D222" s="39"/>
      <c r="E222" s="39"/>
      <c r="F222" s="39"/>
      <c r="G222" s="39"/>
      <c r="H222" s="225"/>
      <c r="I222" s="39"/>
    </row>
    <row r="223" spans="2:9" x14ac:dyDescent="0.25">
      <c r="B223" s="187"/>
      <c r="C223" s="10"/>
      <c r="D223" s="39"/>
      <c r="E223" s="39"/>
      <c r="F223" s="39"/>
      <c r="G223" s="39"/>
      <c r="H223" s="225"/>
      <c r="I223" s="39"/>
    </row>
    <row r="224" spans="2:9" x14ac:dyDescent="0.25">
      <c r="B224" s="187"/>
      <c r="C224" s="10"/>
      <c r="D224" s="39"/>
      <c r="E224" s="39"/>
      <c r="F224" s="39"/>
      <c r="G224" s="39"/>
      <c r="H224" s="225"/>
      <c r="I224" s="39"/>
    </row>
    <row r="225" spans="2:9" x14ac:dyDescent="0.25">
      <c r="B225" s="187"/>
      <c r="C225" s="10"/>
      <c r="D225" s="39"/>
      <c r="E225" s="39"/>
      <c r="F225" s="39"/>
      <c r="G225" s="39"/>
      <c r="H225" s="225"/>
      <c r="I225" s="39"/>
    </row>
    <row r="226" spans="2:9" x14ac:dyDescent="0.25">
      <c r="B226" s="187"/>
      <c r="C226" s="10"/>
      <c r="D226" s="39"/>
      <c r="E226" s="39"/>
      <c r="F226" s="39"/>
      <c r="G226" s="39"/>
      <c r="H226" s="225"/>
      <c r="I226" s="39"/>
    </row>
  </sheetData>
  <mergeCells count="1">
    <mergeCell ref="O42:P42"/>
  </mergeCells>
  <conditionalFormatting sqref="F45:F59 F61:F91 F93:F102">
    <cfRule type="expression" dxfId="311" priority="57">
      <formula>F45&gt;0</formula>
    </cfRule>
    <cfRule type="expression" dxfId="310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9" priority="59">
      <formula>F40&gt;0</formula>
    </cfRule>
    <cfRule type="expression" dxfId="308" priority="60">
      <formula>F40&lt;0</formula>
    </cfRule>
  </conditionalFormatting>
  <conditionalFormatting sqref="F45:F59 F61:F91 F93:F102">
    <cfRule type="expression" dxfId="307" priority="55">
      <formula>F45&gt;0</formula>
    </cfRule>
    <cfRule type="expression" dxfId="306" priority="56">
      <formula>F45&lt;0</formula>
    </cfRule>
  </conditionalFormatting>
  <conditionalFormatting sqref="H40:H59 H61:H91 H93:H102">
    <cfRule type="expression" dxfId="305" priority="53">
      <formula>H40&gt;0</formula>
    </cfRule>
    <cfRule type="expression" dxfId="304" priority="54">
      <formula>H40&lt;0</formula>
    </cfRule>
  </conditionalFormatting>
  <conditionalFormatting sqref="F36:F39">
    <cfRule type="expression" dxfId="303" priority="51">
      <formula>F36&gt;0</formula>
    </cfRule>
    <cfRule type="expression" dxfId="302" priority="52">
      <formula>F36&lt;0</formula>
    </cfRule>
  </conditionalFormatting>
  <conditionalFormatting sqref="H36:H39">
    <cfRule type="expression" dxfId="301" priority="49">
      <formula>H36&gt;0</formula>
    </cfRule>
    <cfRule type="expression" dxfId="300" priority="50">
      <formula>H36&lt;0</formula>
    </cfRule>
  </conditionalFormatting>
  <conditionalFormatting sqref="Q7">
    <cfRule type="expression" dxfId="299" priority="43">
      <formula>Q7&gt;0</formula>
    </cfRule>
    <cfRule type="expression" dxfId="298" priority="44">
      <formula>Q7&lt;0</formula>
    </cfRule>
  </conditionalFormatting>
  <conditionalFormatting sqref="Q8">
    <cfRule type="expression" dxfId="297" priority="41">
      <formula>Q8&gt;0</formula>
    </cfRule>
    <cfRule type="expression" dxfId="296" priority="42">
      <formula>Q8&lt;0</formula>
    </cfRule>
  </conditionalFormatting>
  <conditionalFormatting sqref="Q10">
    <cfRule type="expression" dxfId="295" priority="39">
      <formula>Q10&gt;0</formula>
    </cfRule>
    <cfRule type="expression" dxfId="294" priority="40">
      <formula>Q10&lt;0</formula>
    </cfRule>
  </conditionalFormatting>
  <conditionalFormatting sqref="F60">
    <cfRule type="expression" dxfId="293" priority="37">
      <formula>F60&gt;0</formula>
    </cfRule>
    <cfRule type="expression" dxfId="292" priority="38">
      <formula>F60&lt;0</formula>
    </cfRule>
  </conditionalFormatting>
  <conditionalFormatting sqref="F60">
    <cfRule type="expression" dxfId="291" priority="35">
      <formula>F60&gt;0</formula>
    </cfRule>
    <cfRule type="expression" dxfId="290" priority="36">
      <formula>F60&lt;0</formula>
    </cfRule>
  </conditionalFormatting>
  <conditionalFormatting sqref="H60">
    <cfRule type="expression" dxfId="289" priority="33">
      <formula>H60&gt;0</formula>
    </cfRule>
    <cfRule type="expression" dxfId="288" priority="34">
      <formula>H60&lt;0</formula>
    </cfRule>
  </conditionalFormatting>
  <conditionalFormatting sqref="F92">
    <cfRule type="expression" dxfId="287" priority="31">
      <formula>F92&gt;0</formula>
    </cfRule>
    <cfRule type="expression" dxfId="286" priority="32">
      <formula>F92&lt;0</formula>
    </cfRule>
  </conditionalFormatting>
  <conditionalFormatting sqref="F92">
    <cfRule type="expression" dxfId="285" priority="29">
      <formula>F92&gt;0</formula>
    </cfRule>
    <cfRule type="expression" dxfId="284" priority="30">
      <formula>F92&lt;0</formula>
    </cfRule>
  </conditionalFormatting>
  <conditionalFormatting sqref="H92">
    <cfRule type="expression" dxfId="283" priority="27">
      <formula>H92&gt;0</formula>
    </cfRule>
    <cfRule type="expression" dxfId="282" priority="28">
      <formula>H92&lt;0</formula>
    </cfRule>
  </conditionalFormatting>
  <conditionalFormatting sqref="F169:F183 F185:F215 F217:F226">
    <cfRule type="expression" dxfId="281" priority="23">
      <formula>F169&gt;0</formula>
    </cfRule>
    <cfRule type="expression" dxfId="280" priority="24">
      <formula>F169&lt;0</formula>
    </cfRule>
  </conditionalFormatting>
  <conditionalFormatting sqref="F164:F168">
    <cfRule type="expression" dxfId="279" priority="25">
      <formula>F164&gt;0</formula>
    </cfRule>
    <cfRule type="expression" dxfId="278" priority="26">
      <formula>F164&lt;0</formula>
    </cfRule>
  </conditionalFormatting>
  <conditionalFormatting sqref="F169:F183 F185:F215 F217:F226">
    <cfRule type="expression" dxfId="277" priority="21">
      <formula>F169&gt;0</formula>
    </cfRule>
    <cfRule type="expression" dxfId="276" priority="22">
      <formula>F169&lt;0</formula>
    </cfRule>
  </conditionalFormatting>
  <conditionalFormatting sqref="H164:H183 H185:H215 H217:H226">
    <cfRule type="expression" dxfId="275" priority="19">
      <formula>H164&gt;0</formula>
    </cfRule>
    <cfRule type="expression" dxfId="274" priority="20">
      <formula>H164&lt;0</formula>
    </cfRule>
  </conditionalFormatting>
  <conditionalFormatting sqref="F160:F163">
    <cfRule type="expression" dxfId="273" priority="17">
      <formula>F160&gt;0</formula>
    </cfRule>
    <cfRule type="expression" dxfId="272" priority="18">
      <formula>F160&lt;0</formula>
    </cfRule>
  </conditionalFormatting>
  <conditionalFormatting sqref="H160:H163">
    <cfRule type="expression" dxfId="271" priority="15">
      <formula>H160&gt;0</formula>
    </cfRule>
    <cfRule type="expression" dxfId="270" priority="16">
      <formula>H160&lt;0</formula>
    </cfRule>
  </conditionalFormatting>
  <conditionalFormatting sqref="F184">
    <cfRule type="expression" dxfId="269" priority="13">
      <formula>F184&gt;0</formula>
    </cfRule>
    <cfRule type="expression" dxfId="268" priority="14">
      <formula>F184&lt;0</formula>
    </cfRule>
  </conditionalFormatting>
  <conditionalFormatting sqref="F184">
    <cfRule type="expression" dxfId="267" priority="11">
      <formula>F184&gt;0</formula>
    </cfRule>
    <cfRule type="expression" dxfId="266" priority="12">
      <formula>F184&lt;0</formula>
    </cfRule>
  </conditionalFormatting>
  <conditionalFormatting sqref="H184">
    <cfRule type="expression" dxfId="265" priority="9">
      <formula>H184&gt;0</formula>
    </cfRule>
    <cfRule type="expression" dxfId="264" priority="10">
      <formula>H184&lt;0</formula>
    </cfRule>
  </conditionalFormatting>
  <conditionalFormatting sqref="F216">
    <cfRule type="expression" dxfId="263" priority="7">
      <formula>F216&gt;0</formula>
    </cfRule>
    <cfRule type="expression" dxfId="262" priority="8">
      <formula>F216&lt;0</formula>
    </cfRule>
  </conditionalFormatting>
  <conditionalFormatting sqref="F216">
    <cfRule type="expression" dxfId="261" priority="5">
      <formula>F216&gt;0</formula>
    </cfRule>
    <cfRule type="expression" dxfId="260" priority="6">
      <formula>F216&lt;0</formula>
    </cfRule>
  </conditionalFormatting>
  <conditionalFormatting sqref="H216">
    <cfRule type="expression" dxfId="259" priority="3">
      <formula>H216&gt;0</formula>
    </cfRule>
    <cfRule type="expression" dxfId="258" priority="4">
      <formula>H216&lt;0</formula>
    </cfRule>
  </conditionalFormatting>
  <conditionalFormatting sqref="J38:J39">
    <cfRule type="expression" dxfId="257" priority="1">
      <formula>J38&gt;0</formula>
    </cfRule>
    <cfRule type="expression" dxfId="256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79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788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(F17-K17-M17)/Q2)</f>
        <v>19.327500000000001</v>
      </c>
      <c r="T3" s="1">
        <v>43088</v>
      </c>
      <c r="U3" t="s">
        <v>793</v>
      </c>
      <c r="Z3" s="228"/>
      <c r="AC3" s="228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79"/>
      <c r="I4" s="3"/>
      <c r="J4" s="3"/>
      <c r="K4" s="3"/>
      <c r="L4" s="72"/>
      <c r="M4" s="3"/>
      <c r="O4" s="11" t="s">
        <v>66</v>
      </c>
      <c r="Q4" s="195">
        <v>17.919899999999998</v>
      </c>
      <c r="R4" s="478">
        <v>4.4999999999999997E-3</v>
      </c>
      <c r="U4" t="s">
        <v>794</v>
      </c>
    </row>
    <row r="5" spans="1:29" x14ac:dyDescent="0.25">
      <c r="B5" s="477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7167.9599999999991</v>
      </c>
    </row>
    <row r="6" spans="1:29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-278.06999999999607</v>
      </c>
      <c r="R7">
        <v>300</v>
      </c>
      <c r="T7" s="1">
        <v>43103</v>
      </c>
      <c r="U7" t="s">
        <v>860</v>
      </c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K17+M17-F17+Q2*Q4</f>
        <v>-563.04000000000087</v>
      </c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-7.2828870779976823E-2</v>
      </c>
      <c r="U9" t="s">
        <v>952</v>
      </c>
    </row>
    <row r="10" spans="1:29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1017</v>
      </c>
      <c r="P11" s="33"/>
      <c r="Q11" s="134">
        <f>4*R11/Q4</f>
        <v>1.6071518256240269E-2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968</v>
      </c>
    </row>
    <row r="13" spans="1:29" x14ac:dyDescent="0.25">
      <c r="O13" s="11" t="s">
        <v>997</v>
      </c>
      <c r="Q13" s="2">
        <f>Q4/2.45</f>
        <v>7.3142448979591821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4" t="s">
        <v>194</v>
      </c>
      <c r="B18" s="345"/>
      <c r="C18" s="346">
        <f>SumByColor($A$18,C2:C16)</f>
        <v>0</v>
      </c>
      <c r="D18" s="346"/>
      <c r="E18" s="346"/>
      <c r="F18" s="347">
        <f>SumByColor($A$18,F2:F16)</f>
        <v>0</v>
      </c>
      <c r="G18" s="346"/>
      <c r="H18" s="346">
        <f>SumByColor($A$18,H2:H16)</f>
        <v>0</v>
      </c>
      <c r="I18" s="346"/>
      <c r="J18" s="346"/>
      <c r="K18" s="347">
        <f>SumByColor($A$18,K3:K16)</f>
        <v>0</v>
      </c>
      <c r="L18" s="346"/>
      <c r="M18" s="347">
        <f>SumByColor($A$18,M2:M16)</f>
        <v>0</v>
      </c>
    </row>
    <row r="20" spans="1:13" x14ac:dyDescent="0.25">
      <c r="A20" s="185" t="s">
        <v>231</v>
      </c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K20" s="189" t="s">
        <v>504</v>
      </c>
    </row>
    <row r="21" spans="1:13" x14ac:dyDescent="0.25">
      <c r="A21" s="10"/>
      <c r="B21" s="187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5">
        <f t="shared" ref="H21:H27" si="2">(E21-D21)/D21</f>
        <v>6.1090225563909303E-3</v>
      </c>
      <c r="I21" s="225"/>
      <c r="J21" s="225"/>
      <c r="K21" s="225"/>
    </row>
    <row r="22" spans="1:13" x14ac:dyDescent="0.25">
      <c r="A22" s="10"/>
      <c r="B22" s="187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5">
        <f t="shared" si="2"/>
        <v>-3.3364661654135375E-2</v>
      </c>
      <c r="I22" s="225"/>
      <c r="J22" s="225"/>
      <c r="K22" s="225"/>
    </row>
    <row r="23" spans="1:13" x14ac:dyDescent="0.25">
      <c r="A23" s="10"/>
      <c r="B23" s="187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5">
        <f t="shared" si="2"/>
        <v>-6.2374245472836945E-2</v>
      </c>
      <c r="I23" s="225"/>
      <c r="J23" s="225"/>
      <c r="K23" s="225"/>
    </row>
    <row r="24" spans="1:13" x14ac:dyDescent="0.25">
      <c r="A24" s="10"/>
      <c r="B24" s="187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5">
        <f t="shared" si="2"/>
        <v>5.1307847082494952E-2</v>
      </c>
      <c r="I24" s="225"/>
      <c r="J24" s="733">
        <v>489</v>
      </c>
      <c r="K24" s="733"/>
    </row>
    <row r="25" spans="1:13" x14ac:dyDescent="0.25">
      <c r="A25" s="10"/>
      <c r="B25" s="187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5">
        <f t="shared" si="2"/>
        <v>-2.6846922174147431E-3</v>
      </c>
      <c r="I25" s="226"/>
      <c r="J25" s="733">
        <v>269</v>
      </c>
      <c r="K25" s="733"/>
    </row>
    <row r="26" spans="1:13" x14ac:dyDescent="0.25">
      <c r="A26" s="10"/>
      <c r="B26" s="187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5">
        <f t="shared" si="2"/>
        <v>-2.3839865412803002E-2</v>
      </c>
      <c r="I26" s="226"/>
      <c r="J26" s="733">
        <v>143</v>
      </c>
      <c r="K26" s="733"/>
    </row>
    <row r="27" spans="1:13" x14ac:dyDescent="0.25">
      <c r="A27" s="10">
        <v>200</v>
      </c>
      <c r="B27" s="187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6">
        <f t="shared" si="2"/>
        <v>-7.3341094295692688E-2</v>
      </c>
      <c r="I27" s="226"/>
      <c r="J27" s="733">
        <v>-282</v>
      </c>
      <c r="K27" s="733"/>
    </row>
    <row r="28" spans="1:13" x14ac:dyDescent="0.25">
      <c r="A28" s="10">
        <v>300</v>
      </c>
      <c r="B28" s="187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6">
        <f t="shared" ref="H28" si="5">(E28-D28)/D28</f>
        <v>-0.12715043332039838</v>
      </c>
      <c r="I28" s="226"/>
      <c r="J28" s="733">
        <v>-698</v>
      </c>
      <c r="K28" s="39">
        <v>36.6</v>
      </c>
    </row>
    <row r="29" spans="1:13" x14ac:dyDescent="0.25">
      <c r="A29" s="10"/>
      <c r="B29" s="187"/>
      <c r="C29" s="10"/>
      <c r="D29" s="39"/>
      <c r="E29" s="39"/>
      <c r="F29" s="39"/>
      <c r="G29" s="39"/>
      <c r="H29" s="226"/>
      <c r="I29" s="226"/>
      <c r="J29" s="733"/>
      <c r="K29" s="733"/>
    </row>
    <row r="30" spans="1:13" x14ac:dyDescent="0.25">
      <c r="A30" s="10"/>
      <c r="B30" s="187"/>
      <c r="C30" s="10"/>
      <c r="D30" s="39"/>
      <c r="E30" s="39"/>
      <c r="F30" s="39"/>
      <c r="G30" s="39"/>
      <c r="H30" s="226"/>
      <c r="I30" s="226"/>
      <c r="J30" s="733"/>
      <c r="K30" s="733"/>
    </row>
    <row r="31" spans="1:13" x14ac:dyDescent="0.25">
      <c r="A31" s="10"/>
      <c r="B31" s="187"/>
      <c r="C31" s="10"/>
      <c r="D31" s="39"/>
      <c r="E31" s="39"/>
      <c r="F31" s="39"/>
      <c r="G31" s="39"/>
      <c r="H31" s="226"/>
      <c r="I31" s="226"/>
      <c r="J31" s="733"/>
      <c r="K31" s="733"/>
    </row>
    <row r="32" spans="1:13" x14ac:dyDescent="0.25">
      <c r="A32" s="10"/>
      <c r="B32" s="187"/>
      <c r="C32" s="10"/>
      <c r="D32" s="39"/>
      <c r="E32" s="39"/>
      <c r="F32" s="39"/>
      <c r="G32" s="39"/>
      <c r="H32" s="226"/>
      <c r="I32" s="226"/>
      <c r="J32" s="733"/>
      <c r="K32" s="733"/>
    </row>
    <row r="33" spans="1:18" x14ac:dyDescent="0.25">
      <c r="A33" s="10"/>
      <c r="B33" s="187"/>
      <c r="C33" s="10"/>
      <c r="D33" s="39"/>
      <c r="E33" s="39"/>
      <c r="F33" s="39"/>
      <c r="G33" s="39"/>
      <c r="H33" s="226"/>
      <c r="I33" s="226"/>
      <c r="J33" s="733"/>
      <c r="K33" s="733"/>
    </row>
    <row r="34" spans="1:18" x14ac:dyDescent="0.25">
      <c r="A34" s="10"/>
      <c r="B34" s="187"/>
      <c r="C34" s="10"/>
      <c r="D34" s="39"/>
      <c r="E34" s="39"/>
      <c r="F34" s="39"/>
      <c r="G34" s="39"/>
      <c r="H34" s="226"/>
      <c r="I34" s="39"/>
      <c r="J34" s="733"/>
      <c r="K34" s="733"/>
    </row>
    <row r="35" spans="1:18" x14ac:dyDescent="0.25">
      <c r="A35" s="10"/>
      <c r="B35" s="187"/>
      <c r="C35" s="10"/>
      <c r="D35" s="39"/>
      <c r="E35" s="39"/>
      <c r="F35" s="39"/>
      <c r="G35" s="39"/>
      <c r="H35" s="226"/>
      <c r="I35" s="226"/>
      <c r="J35" s="733"/>
      <c r="K35" s="733"/>
    </row>
    <row r="36" spans="1:18" x14ac:dyDescent="0.25">
      <c r="A36" s="10"/>
      <c r="B36" s="187"/>
      <c r="C36" s="10"/>
      <c r="D36" s="39"/>
      <c r="E36" s="39"/>
      <c r="F36" s="39"/>
      <c r="G36" s="39"/>
      <c r="H36" s="226"/>
      <c r="I36" s="39"/>
      <c r="J36" s="733"/>
      <c r="K36" s="733"/>
    </row>
    <row r="37" spans="1:18" x14ac:dyDescent="0.25">
      <c r="A37" s="10"/>
      <c r="B37" s="187"/>
      <c r="C37" s="10"/>
      <c r="D37" s="39"/>
      <c r="E37" s="39"/>
      <c r="F37" s="39"/>
      <c r="G37" s="39"/>
      <c r="H37" s="226"/>
      <c r="I37" s="39"/>
      <c r="J37" s="733"/>
      <c r="K37" s="733"/>
    </row>
    <row r="38" spans="1:18" x14ac:dyDescent="0.25">
      <c r="A38" s="10"/>
      <c r="B38" s="187"/>
      <c r="C38" s="10"/>
      <c r="D38" s="39"/>
      <c r="E38" s="39"/>
      <c r="F38" s="39"/>
      <c r="G38" s="39"/>
      <c r="H38" s="226"/>
      <c r="I38" s="226"/>
      <c r="J38" s="226"/>
      <c r="K38" s="226"/>
    </row>
    <row r="39" spans="1:18" x14ac:dyDescent="0.25">
      <c r="A39" s="10"/>
      <c r="B39" s="187"/>
      <c r="C39" s="10"/>
      <c r="D39" s="39"/>
      <c r="E39" s="39"/>
      <c r="F39" s="39"/>
      <c r="G39" s="39"/>
      <c r="H39" s="226"/>
      <c r="I39" s="196"/>
      <c r="J39" s="196"/>
      <c r="K39" s="196"/>
    </row>
    <row r="40" spans="1:18" x14ac:dyDescent="0.25">
      <c r="A40" s="10"/>
      <c r="B40" s="187"/>
      <c r="C40" s="10"/>
      <c r="D40" s="39"/>
      <c r="E40" s="39"/>
      <c r="F40" s="39"/>
      <c r="G40" s="39"/>
      <c r="H40" s="226"/>
      <c r="I40" s="226"/>
      <c r="J40" s="226"/>
      <c r="K40" s="226"/>
    </row>
    <row r="41" spans="1:18" x14ac:dyDescent="0.25">
      <c r="A41" s="10"/>
      <c r="B41" s="187"/>
      <c r="C41" s="10"/>
      <c r="D41" s="39"/>
      <c r="E41" s="39"/>
      <c r="F41" s="39"/>
      <c r="G41" s="39"/>
      <c r="H41" s="226"/>
      <c r="I41" s="226"/>
      <c r="J41" s="226"/>
      <c r="K41" s="226"/>
      <c r="O41" s="33"/>
      <c r="R41" s="33"/>
    </row>
    <row r="42" spans="1:18" ht="20.25" thickBot="1" x14ac:dyDescent="0.35">
      <c r="A42" s="10"/>
      <c r="B42" s="187"/>
      <c r="C42" s="10"/>
      <c r="D42" s="39"/>
      <c r="E42" s="39"/>
      <c r="F42" s="39"/>
      <c r="G42" s="39"/>
      <c r="H42" s="226"/>
      <c r="I42" s="226"/>
      <c r="J42" s="226"/>
      <c r="K42" s="226"/>
      <c r="O42" s="563" t="s">
        <v>78</v>
      </c>
      <c r="P42" s="563"/>
      <c r="Q42" s="33"/>
      <c r="R42" s="33"/>
    </row>
    <row r="43" spans="1:18" ht="15.75" thickTop="1" x14ac:dyDescent="0.25">
      <c r="A43" s="10"/>
      <c r="B43" s="187"/>
      <c r="C43" s="10"/>
      <c r="D43" s="39"/>
      <c r="E43" s="39"/>
      <c r="F43" s="39"/>
      <c r="G43" s="39"/>
      <c r="H43" s="226"/>
      <c r="I43" s="226"/>
      <c r="J43" s="226"/>
      <c r="K43" s="226"/>
      <c r="O43" s="81">
        <v>1.1000000000000001</v>
      </c>
      <c r="P43" s="81">
        <f>O43*$Q$4</f>
        <v>19.71189</v>
      </c>
      <c r="Q43" s="33"/>
      <c r="R43" s="33"/>
    </row>
    <row r="44" spans="1:18" x14ac:dyDescent="0.25">
      <c r="A44" s="10"/>
      <c r="B44" s="187"/>
      <c r="C44" s="10"/>
      <c r="D44" s="39"/>
      <c r="E44" s="39"/>
      <c r="F44" s="39"/>
      <c r="G44" s="39"/>
      <c r="H44" s="226"/>
      <c r="I44" s="226"/>
      <c r="J44" s="226"/>
      <c r="K44" s="226"/>
      <c r="O44" s="81">
        <v>1.0900000000000001</v>
      </c>
      <c r="P44" s="81">
        <f t="shared" ref="P44:P63" si="6">O44*$Q$4</f>
        <v>19.532691</v>
      </c>
      <c r="Q44" s="33"/>
      <c r="R44" s="33"/>
    </row>
    <row r="45" spans="1:18" x14ac:dyDescent="0.25">
      <c r="A45" s="10"/>
      <c r="B45" s="187"/>
      <c r="C45" s="10"/>
      <c r="D45" s="39"/>
      <c r="E45" s="39"/>
      <c r="F45" s="39"/>
      <c r="G45" s="39"/>
      <c r="H45" s="226"/>
      <c r="I45" s="226"/>
      <c r="J45" s="226"/>
      <c r="K45" s="226"/>
      <c r="O45" s="81">
        <v>1.08</v>
      </c>
      <c r="P45" s="81">
        <f t="shared" si="6"/>
        <v>19.353491999999999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6"/>
      <c r="I46" s="226"/>
      <c r="J46" s="226"/>
      <c r="K46" s="226"/>
      <c r="O46" s="81">
        <v>1.07</v>
      </c>
      <c r="P46" s="81">
        <f t="shared" si="6"/>
        <v>19.174292999999999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6"/>
      <c r="I47" s="226"/>
      <c r="J47" s="226"/>
      <c r="K47" s="226"/>
      <c r="O47" s="81">
        <v>1.06</v>
      </c>
      <c r="P47" s="81">
        <f t="shared" si="6"/>
        <v>18.995093999999998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6"/>
      <c r="I48" s="226"/>
      <c r="J48" s="226"/>
      <c r="K48" s="226"/>
      <c r="O48" s="81">
        <v>1.05</v>
      </c>
      <c r="P48" s="81">
        <f t="shared" si="6"/>
        <v>18.815894999999998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6"/>
      <c r="I49" s="226"/>
      <c r="J49" s="226"/>
      <c r="K49" s="226"/>
      <c r="O49" s="81">
        <v>1.04</v>
      </c>
      <c r="P49" s="81">
        <f t="shared" si="6"/>
        <v>18.636696000000001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6"/>
      <c r="I50" s="226"/>
      <c r="J50" s="226"/>
      <c r="K50" s="226"/>
      <c r="O50" s="81">
        <v>1.03</v>
      </c>
      <c r="P50" s="81">
        <f t="shared" si="6"/>
        <v>18.457497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6"/>
      <c r="I51" s="226"/>
      <c r="J51" s="226"/>
      <c r="K51" s="226"/>
      <c r="O51" s="81">
        <v>1.02</v>
      </c>
      <c r="P51" s="81">
        <f t="shared" si="6"/>
        <v>18.278297999999999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6"/>
      <c r="I52" s="226"/>
      <c r="J52" s="226"/>
      <c r="K52" s="226"/>
      <c r="O52" s="81">
        <v>1.01</v>
      </c>
      <c r="P52" s="81">
        <f t="shared" si="6"/>
        <v>18.099098999999999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6"/>
      <c r="I53" s="226"/>
      <c r="J53" s="226"/>
      <c r="K53" s="226"/>
      <c r="O53" s="81">
        <v>1</v>
      </c>
      <c r="P53" s="81">
        <f t="shared" si="6"/>
        <v>17.919899999999998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6"/>
      <c r="I54" s="226"/>
      <c r="J54" s="226"/>
      <c r="K54" s="226"/>
      <c r="O54" s="81">
        <v>0.99</v>
      </c>
      <c r="P54" s="81">
        <f t="shared" si="6"/>
        <v>17.740700999999998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6"/>
      <c r="I55" s="226"/>
      <c r="J55" s="226"/>
      <c r="K55" s="226"/>
      <c r="O55" s="81">
        <v>0.98</v>
      </c>
      <c r="P55" s="81">
        <f t="shared" si="6"/>
        <v>17.561501999999997</v>
      </c>
      <c r="Q55" s="81"/>
    </row>
    <row r="56" spans="1:18" x14ac:dyDescent="0.25">
      <c r="O56" s="81">
        <v>0.97</v>
      </c>
      <c r="P56" s="81">
        <f t="shared" si="6"/>
        <v>17.382302999999997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17.203103999999996</v>
      </c>
      <c r="Q57" s="81"/>
    </row>
    <row r="58" spans="1:18" x14ac:dyDescent="0.25">
      <c r="A58" s="371" t="s">
        <v>1</v>
      </c>
      <c r="B58" s="371" t="s">
        <v>2</v>
      </c>
      <c r="C58" s="371" t="s">
        <v>4</v>
      </c>
      <c r="D58" s="373" t="s">
        <v>5</v>
      </c>
      <c r="E58" s="373" t="s">
        <v>94</v>
      </c>
      <c r="F58" s="373" t="s">
        <v>60</v>
      </c>
      <c r="G58" s="371" t="s">
        <v>3</v>
      </c>
      <c r="H58" s="371" t="s">
        <v>6</v>
      </c>
      <c r="I58" s="373" t="s">
        <v>7</v>
      </c>
      <c r="J58" s="373" t="s">
        <v>95</v>
      </c>
      <c r="K58" s="373" t="s">
        <v>61</v>
      </c>
      <c r="L58" s="371" t="s">
        <v>77</v>
      </c>
      <c r="M58" s="371" t="s">
        <v>38</v>
      </c>
      <c r="O58" s="81">
        <v>0.95</v>
      </c>
      <c r="P58" s="81">
        <f t="shared" si="6"/>
        <v>17.023904999999999</v>
      </c>
      <c r="Q58" s="81"/>
    </row>
    <row r="59" spans="1:18" x14ac:dyDescent="0.25">
      <c r="A59" s="374" t="s">
        <v>332</v>
      </c>
      <c r="B59" s="437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37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16.844705999999999</v>
      </c>
      <c r="Q59" s="81"/>
    </row>
    <row r="60" spans="1:18" x14ac:dyDescent="0.25">
      <c r="A60" s="375" t="s">
        <v>71</v>
      </c>
      <c r="B60" s="437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37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16.665506999999998</v>
      </c>
      <c r="Q60" s="81"/>
    </row>
    <row r="61" spans="1:18" x14ac:dyDescent="0.25">
      <c r="A61" s="365"/>
      <c r="B61" s="437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37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16.486307999999998</v>
      </c>
      <c r="Q61" s="81"/>
    </row>
    <row r="62" spans="1:18" x14ac:dyDescent="0.25">
      <c r="A62" s="365"/>
      <c r="B62" s="437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37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16.307109000000001</v>
      </c>
      <c r="Q62" s="81"/>
    </row>
    <row r="63" spans="1:18" x14ac:dyDescent="0.25">
      <c r="A63" s="365"/>
      <c r="B63" s="437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37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16.12791</v>
      </c>
      <c r="Q63" s="81"/>
    </row>
    <row r="64" spans="1:18" x14ac:dyDescent="0.25">
      <c r="A64" s="365"/>
      <c r="B64" s="437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37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5"/>
      <c r="B65" s="437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37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5"/>
      <c r="B66" s="437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37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5"/>
      <c r="B67" s="437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37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9" t="s">
        <v>231</v>
      </c>
      <c r="B81" s="759" t="s">
        <v>113</v>
      </c>
      <c r="C81" s="759" t="s">
        <v>146</v>
      </c>
      <c r="D81" s="760" t="s">
        <v>145</v>
      </c>
      <c r="E81" s="761" t="s">
        <v>147</v>
      </c>
      <c r="F81" s="762" t="s">
        <v>65</v>
      </c>
      <c r="G81" s="763" t="s">
        <v>151</v>
      </c>
      <c r="H81" s="762" t="s">
        <v>88</v>
      </c>
      <c r="I81" s="762" t="s">
        <v>154</v>
      </c>
    </row>
    <row r="82" spans="1:9" x14ac:dyDescent="0.25">
      <c r="A82" s="764"/>
      <c r="B82" s="765"/>
      <c r="C82" s="764"/>
      <c r="D82" s="766"/>
      <c r="E82" s="766"/>
      <c r="F82" s="766"/>
      <c r="G82" s="766"/>
      <c r="H82" s="767"/>
      <c r="I82" s="767"/>
    </row>
    <row r="83" spans="1:9" x14ac:dyDescent="0.25">
      <c r="A83" s="764"/>
      <c r="B83" s="765">
        <v>42746</v>
      </c>
      <c r="C83" s="764">
        <v>80</v>
      </c>
      <c r="D83" s="766">
        <v>34.020000000000003</v>
      </c>
      <c r="E83" s="766">
        <v>34.28</v>
      </c>
      <c r="F83" s="766">
        <f>C83*(E83-D83)</f>
        <v>20.799999999999841</v>
      </c>
      <c r="G83" s="766">
        <f>D83*C83</f>
        <v>2721.6000000000004</v>
      </c>
      <c r="H83" s="767">
        <f>(E83-D83)/D83</f>
        <v>7.6425631981186948E-3</v>
      </c>
      <c r="I83" s="767"/>
    </row>
    <row r="84" spans="1:9" x14ac:dyDescent="0.25">
      <c r="A84" s="764"/>
      <c r="B84" s="765">
        <v>42758</v>
      </c>
      <c r="C84" s="764">
        <v>120</v>
      </c>
      <c r="D84" s="766">
        <v>33.44</v>
      </c>
      <c r="E84" s="766">
        <v>32.71</v>
      </c>
      <c r="F84" s="766">
        <f>C84*(E84-D84)</f>
        <v>-87.599999999999625</v>
      </c>
      <c r="G84" s="766">
        <f>D84*C84</f>
        <v>4012.7999999999997</v>
      </c>
      <c r="H84" s="767">
        <f>(E84-D84)/D84</f>
        <v>-2.1830143540669766E-2</v>
      </c>
      <c r="I84" s="767"/>
    </row>
    <row r="85" spans="1:9" x14ac:dyDescent="0.25">
      <c r="A85" s="764" t="s">
        <v>364</v>
      </c>
      <c r="B85" s="765">
        <v>42760</v>
      </c>
      <c r="C85" s="764">
        <v>40</v>
      </c>
      <c r="D85" s="766">
        <v>32.961500000000001</v>
      </c>
      <c r="E85" s="766">
        <v>33.68</v>
      </c>
      <c r="F85" s="766">
        <f>C85*(E85-D85)</f>
        <v>28.739999999999952</v>
      </c>
      <c r="G85" s="766">
        <f>D85*C85</f>
        <v>1318.46</v>
      </c>
      <c r="H85" s="767">
        <f>(E85-D85)/D85</f>
        <v>2.1798158457594429E-2</v>
      </c>
      <c r="I85" s="767"/>
    </row>
    <row r="86" spans="1:9" x14ac:dyDescent="0.25">
      <c r="A86" s="764"/>
      <c r="B86" s="765">
        <v>42766</v>
      </c>
      <c r="C86" s="764">
        <v>0</v>
      </c>
      <c r="D86" s="766"/>
      <c r="E86" s="766"/>
      <c r="F86" s="766">
        <v>-46.49</v>
      </c>
      <c r="G86" s="766"/>
      <c r="H86" s="767"/>
      <c r="I86" s="767"/>
    </row>
    <row r="87" spans="1:9" x14ac:dyDescent="0.25">
      <c r="A87" s="764">
        <v>0</v>
      </c>
      <c r="B87" s="765">
        <v>42843</v>
      </c>
      <c r="C87" s="764">
        <v>80</v>
      </c>
      <c r="D87" s="766">
        <v>31.661100000000001</v>
      </c>
      <c r="E87" s="766">
        <v>30.99</v>
      </c>
      <c r="F87" s="766">
        <f t="shared" ref="F87:F106" si="9">C87*(E87-D87)</f>
        <v>-53.688000000000216</v>
      </c>
      <c r="G87" s="766">
        <f t="shared" ref="G87:G106" si="10">D87*C87</f>
        <v>2532.8879999999999</v>
      </c>
      <c r="H87" s="767">
        <f t="shared" ref="H87:H106" si="11">(E87-D87)/D87</f>
        <v>-2.1196357675507253E-2</v>
      </c>
      <c r="I87" s="768"/>
    </row>
    <row r="88" spans="1:9" x14ac:dyDescent="0.25">
      <c r="A88" s="764">
        <v>0</v>
      </c>
      <c r="B88" s="765">
        <v>42873</v>
      </c>
      <c r="C88" s="764">
        <v>160</v>
      </c>
      <c r="D88" s="766">
        <v>30.6706</v>
      </c>
      <c r="E88" s="766">
        <v>29.73</v>
      </c>
      <c r="F88" s="766">
        <f t="shared" si="9"/>
        <v>-150.49599999999998</v>
      </c>
      <c r="G88" s="766">
        <f t="shared" si="10"/>
        <v>4907.2960000000003</v>
      </c>
      <c r="H88" s="768">
        <f t="shared" si="11"/>
        <v>-3.0667805651014322E-2</v>
      </c>
      <c r="I88" s="768"/>
    </row>
    <row r="89" spans="1:9" x14ac:dyDescent="0.25">
      <c r="A89" s="764"/>
      <c r="B89" s="765">
        <v>42901</v>
      </c>
      <c r="C89" s="764">
        <v>80</v>
      </c>
      <c r="D89" s="766">
        <v>30.041799999999999</v>
      </c>
      <c r="E89" s="766">
        <v>30.43</v>
      </c>
      <c r="F89" s="766">
        <f t="shared" si="9"/>
        <v>31.056000000000097</v>
      </c>
      <c r="G89" s="766">
        <f t="shared" si="10"/>
        <v>2403.3440000000001</v>
      </c>
      <c r="H89" s="768">
        <f t="shared" si="11"/>
        <v>1.2921995353141331E-2</v>
      </c>
      <c r="I89" s="768"/>
    </row>
    <row r="90" spans="1:9" x14ac:dyDescent="0.25">
      <c r="A90" s="764">
        <v>80</v>
      </c>
      <c r="B90" s="765">
        <v>42917</v>
      </c>
      <c r="C90" s="764">
        <v>80</v>
      </c>
      <c r="D90" s="766">
        <v>29.463799999999999</v>
      </c>
      <c r="E90" s="766">
        <v>33.22</v>
      </c>
      <c r="F90" s="766">
        <f t="shared" si="9"/>
        <v>300.49599999999998</v>
      </c>
      <c r="G90" s="766">
        <f t="shared" si="10"/>
        <v>2357.1039999999998</v>
      </c>
      <c r="H90" s="768">
        <f t="shared" si="11"/>
        <v>0.12748525309023276</v>
      </c>
      <c r="I90" s="768"/>
    </row>
    <row r="91" spans="1:9" x14ac:dyDescent="0.25">
      <c r="A91" s="764">
        <v>80</v>
      </c>
      <c r="B91" s="765">
        <v>42957</v>
      </c>
      <c r="C91" s="764">
        <v>180</v>
      </c>
      <c r="D91" s="766">
        <v>22.695</v>
      </c>
      <c r="E91" s="766">
        <v>17.190000000000001</v>
      </c>
      <c r="F91" s="766">
        <f t="shared" si="9"/>
        <v>-990.89999999999986</v>
      </c>
      <c r="G91" s="766">
        <f t="shared" si="10"/>
        <v>4085.1</v>
      </c>
      <c r="H91" s="768">
        <f t="shared" si="11"/>
        <v>-0.24256444150693982</v>
      </c>
      <c r="I91" s="768"/>
    </row>
    <row r="92" spans="1:9" x14ac:dyDescent="0.25">
      <c r="A92" s="764">
        <v>80</v>
      </c>
      <c r="B92" s="765">
        <v>42983</v>
      </c>
      <c r="C92" s="764">
        <v>180</v>
      </c>
      <c r="D92" s="766">
        <v>22.695</v>
      </c>
      <c r="E92" s="766">
        <v>15.41</v>
      </c>
      <c r="F92" s="766">
        <f t="shared" si="9"/>
        <v>-1311.3</v>
      </c>
      <c r="G92" s="766">
        <f t="shared" si="10"/>
        <v>4085.1</v>
      </c>
      <c r="H92" s="768">
        <f t="shared" si="11"/>
        <v>-0.32099581405595945</v>
      </c>
      <c r="I92" s="768"/>
    </row>
    <row r="93" spans="1:9" x14ac:dyDescent="0.25">
      <c r="A93" s="764">
        <v>80</v>
      </c>
      <c r="B93" s="765">
        <v>42989</v>
      </c>
      <c r="C93" s="764">
        <v>80</v>
      </c>
      <c r="D93" s="766">
        <v>27.8643</v>
      </c>
      <c r="E93" s="766">
        <v>18.5</v>
      </c>
      <c r="F93" s="766">
        <f t="shared" si="9"/>
        <v>-749.14400000000001</v>
      </c>
      <c r="G93" s="766">
        <f t="shared" si="10"/>
        <v>2229.1440000000002</v>
      </c>
      <c r="H93" s="768">
        <f t="shared" si="11"/>
        <v>-0.33606801534580089</v>
      </c>
      <c r="I93" s="768"/>
    </row>
    <row r="94" spans="1:9" x14ac:dyDescent="0.25">
      <c r="A94" s="764">
        <v>80</v>
      </c>
      <c r="B94" s="765">
        <v>42996</v>
      </c>
      <c r="C94" s="764">
        <v>180</v>
      </c>
      <c r="D94" s="766">
        <v>22.1341</v>
      </c>
      <c r="E94" s="766">
        <v>16.989999999999998</v>
      </c>
      <c r="F94" s="766">
        <f t="shared" si="9"/>
        <v>-925.93800000000033</v>
      </c>
      <c r="G94" s="766">
        <f t="shared" si="10"/>
        <v>3984.1379999999999</v>
      </c>
      <c r="H94" s="768">
        <f t="shared" si="11"/>
        <v>-0.23240610641498871</v>
      </c>
      <c r="I94" s="768"/>
    </row>
    <row r="95" spans="1:9" x14ac:dyDescent="0.25">
      <c r="A95" s="764">
        <v>0</v>
      </c>
      <c r="B95" s="765">
        <v>43010</v>
      </c>
      <c r="C95" s="764">
        <v>100</v>
      </c>
      <c r="D95" s="766">
        <v>24.8977</v>
      </c>
      <c r="E95" s="766">
        <v>18.47</v>
      </c>
      <c r="F95" s="766">
        <f t="shared" si="9"/>
        <v>-642.77000000000021</v>
      </c>
      <c r="G95" s="766">
        <f t="shared" si="10"/>
        <v>2489.77</v>
      </c>
      <c r="H95" s="768">
        <f t="shared" si="11"/>
        <v>-0.25816440876064861</v>
      </c>
      <c r="I95" s="768"/>
    </row>
    <row r="96" spans="1:9" x14ac:dyDescent="0.25">
      <c r="A96" s="764">
        <v>0</v>
      </c>
      <c r="B96" s="765">
        <v>43011</v>
      </c>
      <c r="C96" s="764">
        <v>180</v>
      </c>
      <c r="D96" s="766">
        <v>21.809799999999999</v>
      </c>
      <c r="E96" s="766">
        <v>18.82</v>
      </c>
      <c r="F96" s="766">
        <f t="shared" si="9"/>
        <v>-538.16399999999976</v>
      </c>
      <c r="G96" s="766">
        <f t="shared" si="10"/>
        <v>3925.7639999999997</v>
      </c>
      <c r="H96" s="768">
        <f t="shared" si="11"/>
        <v>-0.13708516355033054</v>
      </c>
      <c r="I96" s="766">
        <v>21.5</v>
      </c>
    </row>
    <row r="97" spans="1:9" x14ac:dyDescent="0.25">
      <c r="A97" s="764">
        <v>0</v>
      </c>
      <c r="B97" s="765">
        <v>43012</v>
      </c>
      <c r="C97" s="764">
        <v>180</v>
      </c>
      <c r="D97" s="766">
        <v>21.81</v>
      </c>
      <c r="E97" s="766">
        <v>16.079999999999998</v>
      </c>
      <c r="F97" s="766">
        <f t="shared" si="9"/>
        <v>-1031.4000000000001</v>
      </c>
      <c r="G97" s="766">
        <f t="shared" si="10"/>
        <v>3925.7999999999997</v>
      </c>
      <c r="H97" s="768">
        <f t="shared" si="11"/>
        <v>-0.2627235213204952</v>
      </c>
      <c r="I97" s="768"/>
    </row>
    <row r="98" spans="1:9" x14ac:dyDescent="0.25">
      <c r="A98" s="764">
        <v>0</v>
      </c>
      <c r="B98" s="765">
        <v>43013</v>
      </c>
      <c r="C98" s="764">
        <v>280</v>
      </c>
      <c r="D98" s="766">
        <v>19.663499999999999</v>
      </c>
      <c r="E98" s="766">
        <v>15.68</v>
      </c>
      <c r="F98" s="766">
        <f t="shared" si="9"/>
        <v>-1115.3799999999999</v>
      </c>
      <c r="G98" s="766">
        <f t="shared" si="10"/>
        <v>5505.78</v>
      </c>
      <c r="H98" s="768">
        <f t="shared" si="11"/>
        <v>-0.2025834668294047</v>
      </c>
      <c r="I98" s="766">
        <v>19.5</v>
      </c>
    </row>
    <row r="99" spans="1:9" x14ac:dyDescent="0.25">
      <c r="A99" s="764">
        <v>100</v>
      </c>
      <c r="B99" s="765">
        <v>43031</v>
      </c>
      <c r="C99" s="764">
        <v>280</v>
      </c>
      <c r="D99" s="766">
        <v>19.663499999999999</v>
      </c>
      <c r="E99" s="766">
        <v>14.54</v>
      </c>
      <c r="F99" s="766">
        <f t="shared" si="9"/>
        <v>-1434.58</v>
      </c>
      <c r="G99" s="766">
        <f t="shared" si="10"/>
        <v>5505.78</v>
      </c>
      <c r="H99" s="768">
        <f t="shared" si="11"/>
        <v>-0.26055890355226691</v>
      </c>
      <c r="I99" s="766"/>
    </row>
    <row r="100" spans="1:9" x14ac:dyDescent="0.25">
      <c r="A100" s="764"/>
      <c r="B100" s="765">
        <v>43044</v>
      </c>
      <c r="C100" s="764">
        <v>480</v>
      </c>
      <c r="D100" s="766">
        <v>16.170000000000002</v>
      </c>
      <c r="E100" s="766">
        <v>11.4</v>
      </c>
      <c r="F100" s="766">
        <f t="shared" si="9"/>
        <v>-2289.6000000000008</v>
      </c>
      <c r="G100" s="766">
        <f t="shared" si="10"/>
        <v>7761.6</v>
      </c>
      <c r="H100" s="768">
        <f t="shared" si="11"/>
        <v>-0.29499072356215217</v>
      </c>
      <c r="I100" s="768"/>
    </row>
    <row r="101" spans="1:9" x14ac:dyDescent="0.25">
      <c r="A101" s="764">
        <v>80</v>
      </c>
      <c r="B101" s="765">
        <v>43045</v>
      </c>
      <c r="C101" s="764">
        <v>280</v>
      </c>
      <c r="D101" s="766">
        <v>19.092300000000002</v>
      </c>
      <c r="E101" s="766">
        <v>12.41</v>
      </c>
      <c r="F101" s="766">
        <f t="shared" si="9"/>
        <v>-1871.0440000000003</v>
      </c>
      <c r="G101" s="766">
        <f t="shared" si="10"/>
        <v>5345.8440000000001</v>
      </c>
      <c r="H101" s="768">
        <f t="shared" si="11"/>
        <v>-0.34999973811431839</v>
      </c>
      <c r="I101" s="769" t="s">
        <v>780</v>
      </c>
    </row>
    <row r="102" spans="1:9" x14ac:dyDescent="0.25">
      <c r="A102" s="764">
        <v>0</v>
      </c>
      <c r="B102" s="765">
        <v>43070</v>
      </c>
      <c r="C102" s="764">
        <v>200</v>
      </c>
      <c r="D102" s="766">
        <v>20.621300000000002</v>
      </c>
      <c r="E102" s="766">
        <v>15.26</v>
      </c>
      <c r="F102" s="766">
        <f t="shared" si="9"/>
        <v>-1072.2600000000004</v>
      </c>
      <c r="G102" s="766">
        <f t="shared" si="10"/>
        <v>4124.26</v>
      </c>
      <c r="H102" s="768">
        <f t="shared" si="11"/>
        <v>-0.25998845853559188</v>
      </c>
      <c r="I102" s="768"/>
    </row>
    <row r="103" spans="1:9" x14ac:dyDescent="0.25">
      <c r="A103" s="764">
        <v>200</v>
      </c>
      <c r="B103" s="765">
        <v>43077</v>
      </c>
      <c r="C103" s="764">
        <v>200</v>
      </c>
      <c r="D103" s="766">
        <v>20.62</v>
      </c>
      <c r="E103" s="766">
        <v>16.059999999999999</v>
      </c>
      <c r="F103" s="766">
        <f t="shared" si="9"/>
        <v>-912.00000000000045</v>
      </c>
      <c r="G103" s="766">
        <f t="shared" si="10"/>
        <v>4124</v>
      </c>
      <c r="H103" s="768">
        <f t="shared" si="11"/>
        <v>-0.22114451988360825</v>
      </c>
      <c r="I103" s="768"/>
    </row>
    <row r="104" spans="1:9" x14ac:dyDescent="0.25">
      <c r="A104" s="764">
        <v>200</v>
      </c>
      <c r="B104" s="765">
        <v>43082</v>
      </c>
      <c r="C104" s="764">
        <v>200</v>
      </c>
      <c r="D104" s="766">
        <v>20.52</v>
      </c>
      <c r="E104" s="766">
        <v>15.7</v>
      </c>
      <c r="F104" s="766">
        <f t="shared" si="9"/>
        <v>-964</v>
      </c>
      <c r="G104" s="766">
        <f t="shared" si="10"/>
        <v>4104</v>
      </c>
      <c r="H104" s="768">
        <f t="shared" si="11"/>
        <v>-0.23489278752436649</v>
      </c>
      <c r="I104" s="768" t="s">
        <v>185</v>
      </c>
    </row>
    <row r="105" spans="1:9" x14ac:dyDescent="0.25">
      <c r="A105" s="764">
        <v>200</v>
      </c>
      <c r="B105" s="765">
        <v>43083</v>
      </c>
      <c r="C105" s="764">
        <v>200</v>
      </c>
      <c r="D105" s="766">
        <v>20.520199999999999</v>
      </c>
      <c r="E105" s="766">
        <v>19.22</v>
      </c>
      <c r="F105" s="766">
        <f t="shared" si="9"/>
        <v>-260.04000000000008</v>
      </c>
      <c r="G105" s="766">
        <f t="shared" si="10"/>
        <v>4104.04</v>
      </c>
      <c r="H105" s="768">
        <f t="shared" si="11"/>
        <v>-6.3361955536495762E-2</v>
      </c>
      <c r="I105" s="768"/>
    </row>
    <row r="106" spans="1:9" x14ac:dyDescent="0.25">
      <c r="A106" s="764">
        <v>100</v>
      </c>
      <c r="B106" s="765">
        <v>43111</v>
      </c>
      <c r="C106" s="764">
        <v>100</v>
      </c>
      <c r="D106" s="766">
        <v>19.73</v>
      </c>
      <c r="E106" s="766">
        <v>21.74</v>
      </c>
      <c r="F106" s="766">
        <f t="shared" si="9"/>
        <v>200.9999999999998</v>
      </c>
      <c r="G106" s="766">
        <f t="shared" si="10"/>
        <v>1973</v>
      </c>
      <c r="H106" s="768">
        <f t="shared" si="11"/>
        <v>0.10187531677648241</v>
      </c>
      <c r="I106" s="768"/>
    </row>
    <row r="107" spans="1:9" x14ac:dyDescent="0.25">
      <c r="A107" s="764"/>
      <c r="B107" s="765">
        <v>43112</v>
      </c>
      <c r="C107" s="764">
        <v>0</v>
      </c>
      <c r="D107" s="766"/>
      <c r="E107" s="766">
        <v>22.07</v>
      </c>
      <c r="F107" s="766">
        <v>284.97000000000003</v>
      </c>
      <c r="G107" s="766"/>
      <c r="H107" s="768"/>
      <c r="I107" s="768"/>
    </row>
    <row r="108" spans="1:9" x14ac:dyDescent="0.25">
      <c r="A108" s="764"/>
      <c r="B108" s="765"/>
      <c r="C108" s="764"/>
      <c r="D108" s="766"/>
      <c r="E108" s="766"/>
      <c r="F108" s="766"/>
      <c r="G108" s="766"/>
      <c r="H108" s="768"/>
      <c r="I108" s="768"/>
    </row>
    <row r="109" spans="1:9" x14ac:dyDescent="0.25">
      <c r="A109" s="764"/>
      <c r="B109" s="765"/>
      <c r="C109" s="764"/>
      <c r="D109" s="766"/>
      <c r="E109" s="766"/>
      <c r="F109" s="766"/>
      <c r="G109" s="766"/>
      <c r="H109" s="768"/>
      <c r="I109" s="768"/>
    </row>
    <row r="110" spans="1:9" x14ac:dyDescent="0.25">
      <c r="A110" s="764"/>
      <c r="B110" s="765"/>
      <c r="C110" s="764"/>
      <c r="D110" s="766"/>
      <c r="E110" s="766"/>
      <c r="F110" s="766"/>
      <c r="G110" s="766"/>
      <c r="H110" s="768"/>
      <c r="I110" s="768"/>
    </row>
    <row r="111" spans="1:9" x14ac:dyDescent="0.25">
      <c r="A111" s="764"/>
      <c r="B111" s="765"/>
      <c r="C111" s="764"/>
      <c r="D111" s="766"/>
      <c r="E111" s="766"/>
      <c r="F111" s="766"/>
      <c r="G111" s="766"/>
      <c r="H111" s="768"/>
      <c r="I111" s="768"/>
    </row>
    <row r="112" spans="1:9" x14ac:dyDescent="0.25">
      <c r="A112" s="764"/>
      <c r="B112" s="765"/>
      <c r="C112" s="764"/>
      <c r="D112" s="766"/>
      <c r="E112" s="766"/>
      <c r="F112" s="766"/>
      <c r="G112" s="766"/>
      <c r="H112" s="768"/>
      <c r="I112" s="768"/>
    </row>
    <row r="113" spans="1:9" x14ac:dyDescent="0.25">
      <c r="A113" s="764"/>
      <c r="B113" s="765"/>
      <c r="C113" s="764"/>
      <c r="D113" s="766"/>
      <c r="E113" s="766"/>
      <c r="F113" s="766"/>
      <c r="G113" s="766"/>
      <c r="H113" s="768"/>
      <c r="I113" s="768"/>
    </row>
    <row r="114" spans="1:9" x14ac:dyDescent="0.25">
      <c r="A114" s="764"/>
      <c r="B114" s="765"/>
      <c r="C114" s="764"/>
      <c r="D114" s="766"/>
      <c r="E114" s="766"/>
      <c r="F114" s="766"/>
      <c r="G114" s="766"/>
      <c r="H114" s="768"/>
      <c r="I114" s="768"/>
    </row>
    <row r="115" spans="1:9" x14ac:dyDescent="0.25">
      <c r="A115" s="764"/>
      <c r="B115" s="765"/>
      <c r="C115" s="764"/>
      <c r="D115" s="766"/>
      <c r="E115" s="766"/>
      <c r="F115" s="766"/>
      <c r="G115" s="766"/>
      <c r="H115" s="768"/>
      <c r="I115" s="768"/>
    </row>
    <row r="116" spans="1:9" x14ac:dyDescent="0.25">
      <c r="A116" s="764"/>
      <c r="B116" s="765"/>
      <c r="C116" s="764"/>
      <c r="D116" s="766"/>
      <c r="E116" s="766"/>
      <c r="F116" s="766"/>
      <c r="G116" s="766"/>
      <c r="H116" s="768"/>
      <c r="I116" s="768"/>
    </row>
    <row r="117" spans="1:9" x14ac:dyDescent="0.25">
      <c r="A117" s="764"/>
      <c r="B117" s="765"/>
      <c r="C117" s="764"/>
      <c r="D117" s="766"/>
      <c r="E117" s="766"/>
      <c r="F117" s="766"/>
      <c r="G117" s="766"/>
      <c r="H117" s="768"/>
      <c r="I117" s="768"/>
    </row>
    <row r="118" spans="1:9" x14ac:dyDescent="0.25">
      <c r="A118" s="764"/>
      <c r="B118" s="765"/>
      <c r="C118" s="764"/>
      <c r="D118" s="766"/>
      <c r="E118" s="766"/>
      <c r="F118" s="766"/>
      <c r="G118" s="766"/>
      <c r="H118" s="768"/>
      <c r="I118" s="76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5" priority="99">
      <formula>F27&gt;0</formula>
    </cfRule>
    <cfRule type="expression" dxfId="254" priority="100">
      <formula>F27&lt;0</formula>
    </cfRule>
  </conditionalFormatting>
  <conditionalFormatting sqref="H27:H28">
    <cfRule type="expression" dxfId="253" priority="97">
      <formula>H27&gt;0</formula>
    </cfRule>
    <cfRule type="expression" dxfId="252" priority="98">
      <formula>H27&lt;0</formula>
    </cfRule>
  </conditionalFormatting>
  <conditionalFormatting sqref="H29:H30">
    <cfRule type="expression" dxfId="251" priority="93">
      <formula>H29&gt;0</formula>
    </cfRule>
    <cfRule type="expression" dxfId="250" priority="94">
      <formula>H29&lt;0</formula>
    </cfRule>
  </conditionalFormatting>
  <conditionalFormatting sqref="H31:H55">
    <cfRule type="expression" dxfId="249" priority="91">
      <formula>H31&gt;0</formula>
    </cfRule>
    <cfRule type="expression" dxfId="248" priority="92">
      <formula>H31&lt;0</formula>
    </cfRule>
  </conditionalFormatting>
  <conditionalFormatting sqref="F31">
    <cfRule type="expression" dxfId="247" priority="85">
      <formula>F31&gt;0</formula>
    </cfRule>
    <cfRule type="expression" dxfId="246" priority="86">
      <formula>F31&lt;0</formula>
    </cfRule>
  </conditionalFormatting>
  <conditionalFormatting sqref="I25:I28">
    <cfRule type="expression" dxfId="245" priority="83">
      <formula>I25&gt;0</formula>
    </cfRule>
    <cfRule type="expression" dxfId="244" priority="84">
      <formula>I25&lt;0</formula>
    </cfRule>
  </conditionalFormatting>
  <conditionalFormatting sqref="I29">
    <cfRule type="expression" dxfId="243" priority="79">
      <formula>I29&gt;0</formula>
    </cfRule>
    <cfRule type="expression" dxfId="242" priority="80">
      <formula>I29&lt;0</formula>
    </cfRule>
  </conditionalFormatting>
  <conditionalFormatting sqref="I30:I33 I35 I38:K38 I40:K55">
    <cfRule type="expression" dxfId="241" priority="77">
      <formula>I30&gt;0</formula>
    </cfRule>
    <cfRule type="expression" dxfId="240" priority="78">
      <formula>I30&lt;0</formula>
    </cfRule>
  </conditionalFormatting>
  <conditionalFormatting sqref="I21:K24">
    <cfRule type="expression" dxfId="239" priority="75">
      <formula>I21&gt;0</formula>
    </cfRule>
    <cfRule type="expression" dxfId="238" priority="76">
      <formula>I21&lt;0</formula>
    </cfRule>
  </conditionalFormatting>
  <conditionalFormatting sqref="F32:F55">
    <cfRule type="expression" dxfId="237" priority="73">
      <formula>F32&gt;0</formula>
    </cfRule>
    <cfRule type="expression" dxfId="236" priority="74">
      <formula>F32&lt;0</formula>
    </cfRule>
  </conditionalFormatting>
  <conditionalFormatting sqref="Q8">
    <cfRule type="expression" dxfId="235" priority="69">
      <formula>Q8&gt;0</formula>
    </cfRule>
    <cfRule type="expression" dxfId="234" priority="70">
      <formula>Q8&lt;0</formula>
    </cfRule>
  </conditionalFormatting>
  <conditionalFormatting sqref="Q7">
    <cfRule type="expression" dxfId="233" priority="71">
      <formula>Q7&gt;0</formula>
    </cfRule>
    <cfRule type="expression" dxfId="232" priority="72">
      <formula>Q7&lt;0</formula>
    </cfRule>
  </conditionalFormatting>
  <conditionalFormatting sqref="F82">
    <cfRule type="expression" dxfId="231" priority="57">
      <formula>F82&gt;0</formula>
    </cfRule>
    <cfRule type="expression" dxfId="230" priority="58">
      <formula>F82&lt;0</formula>
    </cfRule>
  </conditionalFormatting>
  <conditionalFormatting sqref="H82">
    <cfRule type="expression" dxfId="229" priority="55">
      <formula>H82&gt;0</formula>
    </cfRule>
    <cfRule type="expression" dxfId="228" priority="56">
      <formula>H82&lt;0</formula>
    </cfRule>
  </conditionalFormatting>
  <conditionalFormatting sqref="I82">
    <cfRule type="expression" dxfId="227" priority="43">
      <formula>I82&gt;0</formula>
    </cfRule>
    <cfRule type="expression" dxfId="226" priority="44">
      <formula>I82&lt;0</formula>
    </cfRule>
  </conditionalFormatting>
  <conditionalFormatting sqref="F25:F26">
    <cfRule type="expression" dxfId="225" priority="39">
      <formula>F25&gt;0</formula>
    </cfRule>
    <cfRule type="expression" dxfId="224" priority="40">
      <formula>F25&lt;0</formula>
    </cfRule>
  </conditionalFormatting>
  <conditionalFormatting sqref="H25:H26">
    <cfRule type="expression" dxfId="223" priority="37">
      <formula>H25&gt;0</formula>
    </cfRule>
    <cfRule type="expression" dxfId="222" priority="38">
      <formula>H25&lt;0</formula>
    </cfRule>
  </conditionalFormatting>
  <conditionalFormatting sqref="F88:F92">
    <cfRule type="expression" dxfId="221" priority="35">
      <formula>F88&gt;0</formula>
    </cfRule>
    <cfRule type="expression" dxfId="220" priority="36">
      <formula>F88&lt;0</formula>
    </cfRule>
  </conditionalFormatting>
  <conditionalFormatting sqref="H88:H90">
    <cfRule type="expression" dxfId="219" priority="33">
      <formula>H88&gt;0</formula>
    </cfRule>
    <cfRule type="expression" dxfId="218" priority="34">
      <formula>H88&lt;0</formula>
    </cfRule>
  </conditionalFormatting>
  <conditionalFormatting sqref="H91:H92">
    <cfRule type="expression" dxfId="217" priority="31">
      <formula>H91&gt;0</formula>
    </cfRule>
    <cfRule type="expression" dxfId="216" priority="32">
      <formula>H91&lt;0</formula>
    </cfRule>
  </conditionalFormatting>
  <conditionalFormatting sqref="H93:H118">
    <cfRule type="expression" dxfId="215" priority="29">
      <formula>H93&gt;0</formula>
    </cfRule>
    <cfRule type="expression" dxfId="214" priority="30">
      <formula>H93&lt;0</formula>
    </cfRule>
  </conditionalFormatting>
  <conditionalFormatting sqref="F83:F86">
    <cfRule type="expression" dxfId="213" priority="27">
      <formula>F83&gt;0</formula>
    </cfRule>
    <cfRule type="expression" dxfId="212" priority="28">
      <formula>F83&lt;0</formula>
    </cfRule>
  </conditionalFormatting>
  <conditionalFormatting sqref="H83:H86">
    <cfRule type="expression" dxfId="211" priority="25">
      <formula>H83&gt;0</formula>
    </cfRule>
    <cfRule type="expression" dxfId="210" priority="26">
      <formula>H83&lt;0</formula>
    </cfRule>
  </conditionalFormatting>
  <conditionalFormatting sqref="F93">
    <cfRule type="expression" dxfId="209" priority="23">
      <formula>F93&gt;0</formula>
    </cfRule>
    <cfRule type="expression" dxfId="208" priority="24">
      <formula>F93&lt;0</formula>
    </cfRule>
  </conditionalFormatting>
  <conditionalFormatting sqref="I87:I89">
    <cfRule type="expression" dxfId="207" priority="21">
      <formula>I87&gt;0</formula>
    </cfRule>
    <cfRule type="expression" dxfId="206" priority="22">
      <formula>I87&lt;0</formula>
    </cfRule>
  </conditionalFormatting>
  <conditionalFormatting sqref="I90">
    <cfRule type="expression" dxfId="205" priority="19">
      <formula>I90&gt;0</formula>
    </cfRule>
    <cfRule type="expression" dxfId="204" priority="20">
      <formula>I90&lt;0</formula>
    </cfRule>
  </conditionalFormatting>
  <conditionalFormatting sqref="I91">
    <cfRule type="expression" dxfId="203" priority="17">
      <formula>I91&gt;0</formula>
    </cfRule>
    <cfRule type="expression" dxfId="202" priority="18">
      <formula>I91&lt;0</formula>
    </cfRule>
  </conditionalFormatting>
  <conditionalFormatting sqref="I92:I95 I97 I100 I102:I118">
    <cfRule type="expression" dxfId="201" priority="15">
      <formula>I92&gt;0</formula>
    </cfRule>
    <cfRule type="expression" dxfId="200" priority="16">
      <formula>I92&lt;0</formula>
    </cfRule>
  </conditionalFormatting>
  <conditionalFormatting sqref="I83:I86">
    <cfRule type="expression" dxfId="199" priority="13">
      <formula>I83&gt;0</formula>
    </cfRule>
    <cfRule type="expression" dxfId="198" priority="14">
      <formula>I83&lt;0</formula>
    </cfRule>
  </conditionalFormatting>
  <conditionalFormatting sqref="F94:F118">
    <cfRule type="expression" dxfId="197" priority="11">
      <formula>F94&gt;0</formula>
    </cfRule>
    <cfRule type="expression" dxfId="196" priority="12">
      <formula>F94&lt;0</formula>
    </cfRule>
  </conditionalFormatting>
  <conditionalFormatting sqref="F87">
    <cfRule type="expression" dxfId="195" priority="9">
      <formula>F87&gt;0</formula>
    </cfRule>
    <cfRule type="expression" dxfId="194" priority="10">
      <formula>F87&lt;0</formula>
    </cfRule>
  </conditionalFormatting>
  <conditionalFormatting sqref="H87">
    <cfRule type="expression" dxfId="193" priority="7">
      <formula>H87&gt;0</formula>
    </cfRule>
    <cfRule type="expression" dxfId="192" priority="8">
      <formula>H87&lt;0</formula>
    </cfRule>
  </conditionalFormatting>
  <conditionalFormatting sqref="F21:F24">
    <cfRule type="expression" dxfId="191" priority="5">
      <formula>F21&gt;0</formula>
    </cfRule>
    <cfRule type="expression" dxfId="190" priority="6">
      <formula>F21&lt;0</formula>
    </cfRule>
  </conditionalFormatting>
  <conditionalFormatting sqref="H21:H24">
    <cfRule type="expression" dxfId="189" priority="3">
      <formula>H21&gt;0</formula>
    </cfRule>
    <cfRule type="expression" dxfId="188" priority="4">
      <formula>H21&lt;0</formula>
    </cfRule>
  </conditionalFormatting>
  <conditionalFormatting sqref="J25:K27 J29:K37 J28">
    <cfRule type="expression" dxfId="187" priority="1">
      <formula>J25&gt;0</formula>
    </cfRule>
    <cfRule type="expression" dxfId="186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100.95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100.95</v>
      </c>
      <c r="R4" s="478">
        <v>1.54E-2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7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5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7">
        <v>42374</v>
      </c>
      <c r="C26" s="252">
        <v>25</v>
      </c>
      <c r="D26" s="230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5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7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5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7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5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7">
        <v>42416</v>
      </c>
      <c r="C29" s="252">
        <v>25</v>
      </c>
      <c r="D29" s="230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5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7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5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7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5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7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5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7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5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7">
        <v>42482</v>
      </c>
      <c r="C34" s="231">
        <v>15</v>
      </c>
      <c r="D34" s="232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5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7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5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7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5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7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5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7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5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7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5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7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5">
        <f t="shared" si="7"/>
        <v>6.55933343459109E-2</v>
      </c>
      <c r="I40" s="39"/>
      <c r="O40" s="847" t="s">
        <v>78</v>
      </c>
      <c r="P40" s="84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7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5">
        <f t="shared" si="7"/>
        <v>6.0060320697810518E-2</v>
      </c>
      <c r="I41" s="39"/>
      <c r="O41" s="81">
        <v>1.1000000000000001</v>
      </c>
      <c r="P41" s="81">
        <f>O41*$Q$4</f>
        <v>111.04500000000002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7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5">
        <f t="shared" si="7"/>
        <v>5.6588625859786856E-2</v>
      </c>
      <c r="I42" s="39"/>
      <c r="O42" s="81">
        <v>1.0900000000000001</v>
      </c>
      <c r="P42" s="81">
        <f t="shared" ref="P42:P61" si="8">O42*$Q$4</f>
        <v>110.03550000000001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7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5">
        <f t="shared" ref="H43:H65" si="11">(E43-D43)/D43</f>
        <v>4.8994293401609899E-2</v>
      </c>
      <c r="I43" s="39"/>
      <c r="O43" s="81">
        <v>1.08</v>
      </c>
      <c r="P43" s="81">
        <f t="shared" si="8"/>
        <v>109.02600000000001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7">
        <v>42579</v>
      </c>
      <c r="C44" s="231">
        <v>15</v>
      </c>
      <c r="D44" s="232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5">
        <f t="shared" si="11"/>
        <v>4.8609288900551016E-2</v>
      </c>
      <c r="I44" s="39" t="s">
        <v>185</v>
      </c>
      <c r="O44" s="81">
        <v>1.07</v>
      </c>
      <c r="P44" s="81">
        <f t="shared" si="8"/>
        <v>108.01650000000001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7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5">
        <f t="shared" si="11"/>
        <v>2.1336882325162062E-2</v>
      </c>
      <c r="I45" s="39"/>
      <c r="O45" s="81">
        <v>1.06</v>
      </c>
      <c r="P45" s="81">
        <f t="shared" si="8"/>
        <v>107.00700000000001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7">
        <v>42593</v>
      </c>
      <c r="C46" s="231">
        <v>15</v>
      </c>
      <c r="D46" s="232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5">
        <f t="shared" si="11"/>
        <v>0.10618768792530471</v>
      </c>
      <c r="I46" s="39"/>
      <c r="O46" s="81">
        <v>1.05</v>
      </c>
      <c r="P46" s="81">
        <f t="shared" si="8"/>
        <v>105.9975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7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5">
        <f t="shared" si="11"/>
        <v>4.7939735370933899E-2</v>
      </c>
      <c r="I47" s="39"/>
      <c r="O47" s="81">
        <v>1.04</v>
      </c>
      <c r="P47" s="81">
        <f t="shared" si="8"/>
        <v>104.988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7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5">
        <f t="shared" si="11"/>
        <v>4.3083166051501268E-2</v>
      </c>
      <c r="I48" s="39"/>
      <c r="O48" s="81">
        <v>1.03</v>
      </c>
      <c r="P48" s="81">
        <f t="shared" si="8"/>
        <v>103.97850000000001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7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5">
        <f t="shared" si="11"/>
        <v>3.4665112564484485E-2</v>
      </c>
      <c r="I49" s="39"/>
      <c r="O49" s="81">
        <v>1.02</v>
      </c>
      <c r="P49" s="81">
        <f t="shared" si="8"/>
        <v>102.96900000000001</v>
      </c>
      <c r="Q49" s="2"/>
      <c r="T49" s="91" t="s">
        <v>103</v>
      </c>
      <c r="U49" s="86" t="s">
        <v>521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7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5">
        <f t="shared" si="11"/>
        <v>3.1211552159554446E-2</v>
      </c>
      <c r="I50" s="39"/>
      <c r="O50" s="81">
        <v>1.01</v>
      </c>
      <c r="P50" s="81">
        <f t="shared" si="8"/>
        <v>101.95950000000001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7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5">
        <f t="shared" si="11"/>
        <v>1.4309602316222615E-2</v>
      </c>
      <c r="I51" s="39"/>
      <c r="O51" s="81">
        <v>1</v>
      </c>
      <c r="P51" s="81">
        <f t="shared" si="8"/>
        <v>100.95</v>
      </c>
      <c r="Q51" s="2"/>
      <c r="T51" s="91" t="s">
        <v>104</v>
      </c>
      <c r="U51" s="86" t="s">
        <v>652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7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5">
        <f t="shared" si="11"/>
        <v>9.4983941256217615E-3</v>
      </c>
      <c r="I52" s="39"/>
      <c r="O52" s="81">
        <v>0.99</v>
      </c>
      <c r="P52" s="81">
        <f t="shared" si="8"/>
        <v>99.9405</v>
      </c>
      <c r="Q52" s="2"/>
      <c r="T52" s="91" t="s">
        <v>105</v>
      </c>
      <c r="U52" s="86" t="s">
        <v>653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7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5">
        <f t="shared" si="11"/>
        <v>2.8696183963494663E-3</v>
      </c>
      <c r="I53" s="39"/>
      <c r="O53" s="81">
        <v>0.98</v>
      </c>
      <c r="P53" s="81">
        <f t="shared" si="8"/>
        <v>98.930999999999997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7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5">
        <f t="shared" si="11"/>
        <v>1.9073767582292653E-3</v>
      </c>
      <c r="I54" s="39"/>
      <c r="O54" s="81">
        <v>0.97</v>
      </c>
      <c r="P54" s="81">
        <f t="shared" si="8"/>
        <v>97.921499999999995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7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5">
        <f t="shared" si="11"/>
        <v>5.9701747858478416E-3</v>
      </c>
      <c r="I55" s="39"/>
      <c r="O55" s="81">
        <v>0.96</v>
      </c>
      <c r="P55" s="81">
        <f t="shared" si="8"/>
        <v>96.912000000000006</v>
      </c>
      <c r="T55" s="91" t="s">
        <v>107</v>
      </c>
      <c r="U55" s="86" t="s">
        <v>654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7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5">
        <f t="shared" si="11"/>
        <v>-9.5444676167551392E-3</v>
      </c>
      <c r="I56" s="39"/>
      <c r="O56" s="81">
        <v>0.95</v>
      </c>
      <c r="P56" s="81">
        <f t="shared" si="8"/>
        <v>95.902500000000003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7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5">
        <f t="shared" si="11"/>
        <v>-1.1259170983789502E-2</v>
      </c>
      <c r="I57" s="39"/>
      <c r="O57" s="81">
        <v>0.94</v>
      </c>
      <c r="P57" s="81">
        <f t="shared" si="8"/>
        <v>94.893000000000001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7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5">
        <f t="shared" si="11"/>
        <v>1.0652594667701508E-3</v>
      </c>
      <c r="I58" s="39"/>
      <c r="O58" s="81">
        <v>0.93</v>
      </c>
      <c r="P58" s="81">
        <f t="shared" si="8"/>
        <v>93.883500000000012</v>
      </c>
      <c r="T58" s="91" t="s">
        <v>108</v>
      </c>
      <c r="U58" s="86" t="s">
        <v>541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7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5">
        <f t="shared" si="11"/>
        <v>-1.4474239796979123E-2</v>
      </c>
      <c r="I59" s="39"/>
      <c r="O59" s="81">
        <v>0.92</v>
      </c>
      <c r="P59" s="81">
        <f t="shared" si="8"/>
        <v>92.874000000000009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7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5">
        <f t="shared" si="11"/>
        <v>-1.7046294847530667E-2</v>
      </c>
      <c r="I60" s="39"/>
      <c r="O60" s="81">
        <v>0.91</v>
      </c>
      <c r="P60" s="81">
        <f t="shared" si="8"/>
        <v>91.864500000000007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7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5">
        <f t="shared" si="11"/>
        <v>-1.1902184746427426E-2</v>
      </c>
      <c r="I61" s="39"/>
      <c r="O61" s="81">
        <v>0.9</v>
      </c>
      <c r="P61" s="81">
        <f t="shared" si="8"/>
        <v>90.855000000000004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7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5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7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5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7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5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7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5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7">
        <v>42701</v>
      </c>
      <c r="C66" s="10">
        <v>0</v>
      </c>
      <c r="D66" s="39"/>
      <c r="E66" s="39"/>
      <c r="F66" s="39">
        <v>257.31</v>
      </c>
      <c r="G66" s="39"/>
      <c r="H66" s="225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7" t="s">
        <v>1</v>
      </c>
      <c r="B82" s="527" t="s">
        <v>2</v>
      </c>
      <c r="C82" s="527" t="s">
        <v>4</v>
      </c>
      <c r="D82" s="528" t="s">
        <v>5</v>
      </c>
      <c r="E82" s="528" t="s">
        <v>94</v>
      </c>
      <c r="F82" s="528" t="s">
        <v>60</v>
      </c>
      <c r="G82" s="527" t="s">
        <v>3</v>
      </c>
      <c r="H82" s="527" t="s">
        <v>6</v>
      </c>
      <c r="I82" s="528" t="s">
        <v>7</v>
      </c>
      <c r="J82" s="528" t="s">
        <v>95</v>
      </c>
      <c r="K82" s="528" t="s">
        <v>61</v>
      </c>
      <c r="L82" s="527" t="s">
        <v>37</v>
      </c>
      <c r="M82" s="527" t="s">
        <v>38</v>
      </c>
    </row>
    <row r="83" spans="1:13" x14ac:dyDescent="0.25">
      <c r="A83" s="529" t="s">
        <v>63</v>
      </c>
      <c r="B83" s="526">
        <v>42226</v>
      </c>
      <c r="C83" s="530">
        <v>10</v>
      </c>
      <c r="D83" s="531">
        <v>113.72</v>
      </c>
      <c r="E83" s="531">
        <v>0</v>
      </c>
      <c r="F83" s="531">
        <f t="shared" ref="F83:F92" si="12">C83*D83</f>
        <v>1137.2</v>
      </c>
      <c r="G83" s="526">
        <v>42304</v>
      </c>
      <c r="H83" s="532">
        <v>30</v>
      </c>
      <c r="I83" s="531">
        <v>111.35</v>
      </c>
      <c r="J83" s="531">
        <v>0.06</v>
      </c>
      <c r="K83" s="531">
        <f t="shared" ref="K83:K88" si="13">I83*H83-J83</f>
        <v>3340.44</v>
      </c>
      <c r="L83" s="526">
        <v>42580</v>
      </c>
      <c r="M83" s="531">
        <v>10.65</v>
      </c>
    </row>
    <row r="84" spans="1:13" x14ac:dyDescent="0.25">
      <c r="A84" s="533" t="s">
        <v>71</v>
      </c>
      <c r="B84" s="526">
        <v>42226</v>
      </c>
      <c r="C84" s="530">
        <v>5</v>
      </c>
      <c r="D84" s="531">
        <v>112.2</v>
      </c>
      <c r="E84" s="531">
        <v>0</v>
      </c>
      <c r="F84" s="531">
        <f t="shared" si="12"/>
        <v>561</v>
      </c>
      <c r="G84" s="526">
        <v>42416</v>
      </c>
      <c r="H84" s="532">
        <v>15</v>
      </c>
      <c r="I84" s="531">
        <v>92.85</v>
      </c>
      <c r="J84" s="531">
        <v>0.03</v>
      </c>
      <c r="K84" s="531">
        <f t="shared" si="13"/>
        <v>1392.72</v>
      </c>
      <c r="L84" s="530"/>
      <c r="M84" s="530"/>
    </row>
    <row r="85" spans="1:13" x14ac:dyDescent="0.25">
      <c r="A85" s="530"/>
      <c r="B85" s="526">
        <v>42226</v>
      </c>
      <c r="C85" s="530">
        <v>5</v>
      </c>
      <c r="D85" s="531">
        <v>110.93</v>
      </c>
      <c r="E85" s="531">
        <v>0</v>
      </c>
      <c r="F85" s="531">
        <f t="shared" si="12"/>
        <v>554.65000000000009</v>
      </c>
      <c r="G85" s="526">
        <v>42482</v>
      </c>
      <c r="H85" s="532">
        <v>10</v>
      </c>
      <c r="I85" s="531">
        <v>103.71</v>
      </c>
      <c r="J85" s="531">
        <v>0.02</v>
      </c>
      <c r="K85" s="531">
        <f t="shared" si="13"/>
        <v>1037.08</v>
      </c>
      <c r="L85" s="530"/>
      <c r="M85" s="530"/>
    </row>
    <row r="86" spans="1:13" x14ac:dyDescent="0.25">
      <c r="A86" s="530"/>
      <c r="B86" s="526">
        <v>42227</v>
      </c>
      <c r="C86" s="530">
        <v>10</v>
      </c>
      <c r="D86" s="531">
        <v>105</v>
      </c>
      <c r="E86" s="531">
        <v>0</v>
      </c>
      <c r="F86" s="531">
        <f t="shared" si="12"/>
        <v>1050</v>
      </c>
      <c r="G86" s="526">
        <v>42592</v>
      </c>
      <c r="H86" s="532">
        <v>15</v>
      </c>
      <c r="I86" s="531">
        <v>97.88</v>
      </c>
      <c r="J86" s="531">
        <v>0.03</v>
      </c>
      <c r="K86" s="531">
        <f t="shared" si="13"/>
        <v>1468.1699999999998</v>
      </c>
      <c r="L86" s="530"/>
      <c r="M86" s="530"/>
    </row>
    <row r="87" spans="1:13" x14ac:dyDescent="0.25">
      <c r="A87" s="530"/>
      <c r="B87" s="526">
        <v>42374</v>
      </c>
      <c r="C87" s="530">
        <v>25</v>
      </c>
      <c r="D87" s="531">
        <v>100.9</v>
      </c>
      <c r="E87" s="531">
        <v>0</v>
      </c>
      <c r="F87" s="531">
        <f t="shared" si="12"/>
        <v>2522.5</v>
      </c>
      <c r="G87" s="526">
        <v>42684</v>
      </c>
      <c r="H87" s="532">
        <v>50</v>
      </c>
      <c r="I87" s="531">
        <v>97.5</v>
      </c>
      <c r="J87" s="531">
        <v>0.11</v>
      </c>
      <c r="K87" s="531">
        <f t="shared" si="13"/>
        <v>4874.8900000000003</v>
      </c>
      <c r="L87" s="530"/>
      <c r="M87" s="530"/>
    </row>
    <row r="88" spans="1:13" x14ac:dyDescent="0.25">
      <c r="A88" s="530"/>
      <c r="B88" s="526">
        <v>42409</v>
      </c>
      <c r="C88" s="530">
        <v>15</v>
      </c>
      <c r="D88" s="531">
        <v>88.5</v>
      </c>
      <c r="E88" s="531">
        <v>0</v>
      </c>
      <c r="F88" s="531">
        <f t="shared" si="12"/>
        <v>1327.5</v>
      </c>
      <c r="G88" s="526">
        <v>42684</v>
      </c>
      <c r="H88" s="532">
        <v>20</v>
      </c>
      <c r="I88" s="531">
        <v>95.71</v>
      </c>
      <c r="J88" s="531">
        <v>0.04</v>
      </c>
      <c r="K88" s="531">
        <f t="shared" si="13"/>
        <v>1914.1599999999999</v>
      </c>
      <c r="L88" s="530"/>
      <c r="M88" s="530"/>
    </row>
    <row r="89" spans="1:13" x14ac:dyDescent="0.25">
      <c r="A89" s="530"/>
      <c r="B89" s="526">
        <v>42586</v>
      </c>
      <c r="C89" s="530">
        <v>15</v>
      </c>
      <c r="D89" s="531">
        <v>94.88</v>
      </c>
      <c r="E89" s="531">
        <v>0</v>
      </c>
      <c r="F89" s="531">
        <f t="shared" si="12"/>
        <v>1423.1999999999998</v>
      </c>
      <c r="G89" s="530"/>
      <c r="H89" s="532"/>
      <c r="I89" s="531"/>
      <c r="J89" s="531"/>
      <c r="K89" s="531"/>
      <c r="L89" s="530"/>
      <c r="M89" s="530"/>
    </row>
    <row r="90" spans="1:13" x14ac:dyDescent="0.25">
      <c r="A90" s="530"/>
      <c r="B90" s="526">
        <v>42594</v>
      </c>
      <c r="C90" s="530">
        <v>15</v>
      </c>
      <c r="D90" s="531">
        <v>96.85</v>
      </c>
      <c r="E90" s="531">
        <v>0</v>
      </c>
      <c r="F90" s="531">
        <f t="shared" si="12"/>
        <v>1452.75</v>
      </c>
      <c r="G90" s="530"/>
      <c r="H90" s="532"/>
      <c r="I90" s="531"/>
      <c r="J90" s="531"/>
      <c r="K90" s="531"/>
      <c r="L90" s="530"/>
      <c r="M90" s="530"/>
    </row>
    <row r="91" spans="1:13" x14ac:dyDescent="0.25">
      <c r="A91" s="530"/>
      <c r="B91" s="526">
        <v>42611</v>
      </c>
      <c r="C91" s="530">
        <v>25</v>
      </c>
      <c r="D91" s="531">
        <v>94.58</v>
      </c>
      <c r="E91" s="531">
        <v>0</v>
      </c>
      <c r="F91" s="531">
        <f t="shared" si="12"/>
        <v>2364.5</v>
      </c>
      <c r="G91" s="530"/>
      <c r="H91" s="530"/>
      <c r="I91" s="531"/>
      <c r="J91" s="531"/>
      <c r="K91" s="531"/>
      <c r="L91" s="530"/>
      <c r="M91" s="530"/>
    </row>
    <row r="92" spans="1:13" x14ac:dyDescent="0.25">
      <c r="A92" s="530"/>
      <c r="B92" s="526">
        <v>42622</v>
      </c>
      <c r="C92" s="530">
        <v>15</v>
      </c>
      <c r="D92" s="531">
        <v>92.5</v>
      </c>
      <c r="E92" s="531">
        <v>0</v>
      </c>
      <c r="F92" s="531">
        <f t="shared" si="12"/>
        <v>1387.5</v>
      </c>
      <c r="G92" s="530"/>
      <c r="H92" s="530"/>
      <c r="I92" s="531"/>
      <c r="J92" s="531"/>
      <c r="K92" s="531"/>
      <c r="L92" s="530"/>
      <c r="M92" s="530"/>
    </row>
    <row r="93" spans="1:13" x14ac:dyDescent="0.25">
      <c r="A93" s="530"/>
      <c r="B93" s="530"/>
      <c r="C93" s="530"/>
      <c r="D93" s="531"/>
      <c r="E93" s="531"/>
      <c r="F93" s="531"/>
      <c r="G93" s="530"/>
      <c r="H93" s="530"/>
      <c r="I93" s="531"/>
      <c r="J93" s="531"/>
      <c r="K93" s="531"/>
      <c r="L93" s="530"/>
      <c r="M93" s="530"/>
    </row>
    <row r="94" spans="1:13" x14ac:dyDescent="0.25">
      <c r="A94" s="530"/>
      <c r="B94" s="530"/>
      <c r="C94" s="530"/>
      <c r="D94" s="531"/>
      <c r="E94" s="531"/>
      <c r="F94" s="531"/>
      <c r="G94" s="530"/>
      <c r="H94" s="530"/>
      <c r="I94" s="531"/>
      <c r="J94" s="531"/>
      <c r="K94" s="531"/>
      <c r="L94" s="530"/>
      <c r="M94" s="530"/>
    </row>
    <row r="95" spans="1:13" x14ac:dyDescent="0.25">
      <c r="A95" s="530"/>
      <c r="B95" s="530"/>
      <c r="C95" s="530"/>
      <c r="D95" s="531"/>
      <c r="E95" s="531"/>
      <c r="F95" s="531"/>
      <c r="G95" s="530"/>
      <c r="H95" s="530"/>
      <c r="I95" s="531"/>
      <c r="J95" s="531"/>
      <c r="K95" s="531"/>
      <c r="L95" s="530"/>
      <c r="M95" s="530"/>
    </row>
    <row r="96" spans="1:13" x14ac:dyDescent="0.25">
      <c r="A96" s="530"/>
      <c r="B96" s="530"/>
      <c r="C96" s="530"/>
      <c r="D96" s="531"/>
      <c r="E96" s="531"/>
      <c r="F96" s="531"/>
      <c r="G96" s="530"/>
      <c r="H96" s="530"/>
      <c r="I96" s="531"/>
      <c r="J96" s="531"/>
      <c r="K96" s="531"/>
      <c r="L96" s="530"/>
      <c r="M96" s="530"/>
    </row>
    <row r="97" spans="1:13" x14ac:dyDescent="0.25">
      <c r="A97" s="530"/>
      <c r="B97" s="530"/>
      <c r="C97" s="530"/>
      <c r="D97" s="531"/>
      <c r="E97" s="531"/>
      <c r="F97" s="531"/>
      <c r="G97" s="530"/>
      <c r="H97" s="530"/>
      <c r="I97" s="531"/>
      <c r="J97" s="531"/>
      <c r="K97" s="531"/>
      <c r="L97" s="530"/>
      <c r="M97" s="530"/>
    </row>
    <row r="98" spans="1:13" x14ac:dyDescent="0.25">
      <c r="A98" s="530"/>
      <c r="B98" s="530"/>
      <c r="C98" s="530"/>
      <c r="D98" s="531"/>
      <c r="E98" s="531"/>
      <c r="F98" s="531"/>
      <c r="G98" s="530"/>
      <c r="H98" s="530"/>
      <c r="I98" s="531"/>
      <c r="J98" s="531"/>
      <c r="K98" s="531"/>
      <c r="L98" s="530"/>
      <c r="M98" s="530"/>
    </row>
    <row r="99" spans="1:13" x14ac:dyDescent="0.25">
      <c r="A99" s="534" t="s">
        <v>81</v>
      </c>
      <c r="B99" s="535"/>
      <c r="C99" s="535">
        <f>SUM(C83:C92)</f>
        <v>140</v>
      </c>
      <c r="D99" s="536"/>
      <c r="E99" s="536"/>
      <c r="F99" s="536">
        <f>SUM(F83:F92)</f>
        <v>13780.8</v>
      </c>
      <c r="G99" s="535"/>
      <c r="H99" s="537">
        <f>SUM(H83:H88)</f>
        <v>140</v>
      </c>
      <c r="I99" s="536"/>
      <c r="J99" s="536"/>
      <c r="K99" s="536">
        <f>SUM(K83:K88)</f>
        <v>14027.46</v>
      </c>
      <c r="L99" s="535"/>
      <c r="M99" s="536">
        <f>SUM(M83:M86)</f>
        <v>10.65</v>
      </c>
    </row>
    <row r="100" spans="1:13" ht="15.75" thickBot="1" x14ac:dyDescent="0.3">
      <c r="A100" s="538" t="s">
        <v>194</v>
      </c>
      <c r="B100" s="539"/>
      <c r="C100" s="540">
        <f>SumByColor($A$19,C83:C98)</f>
        <v>0</v>
      </c>
      <c r="D100" s="540"/>
      <c r="E100" s="540"/>
      <c r="F100" s="541">
        <f>SumByColor($A$19,F83:F98)</f>
        <v>0</v>
      </c>
      <c r="G100" s="540"/>
      <c r="H100" s="540">
        <f>SumByColor($A$19,H83:H98)</f>
        <v>0</v>
      </c>
      <c r="I100" s="540"/>
      <c r="J100" s="540"/>
      <c r="K100" s="541">
        <f>SumByColor($A$19,K83:K98)</f>
        <v>0</v>
      </c>
      <c r="L100" s="540"/>
      <c r="M100" s="54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5" priority="15">
      <formula>F25&gt;0</formula>
    </cfRule>
    <cfRule type="expression" dxfId="184" priority="16">
      <formula>F25&lt;0</formula>
    </cfRule>
  </conditionalFormatting>
  <conditionalFormatting sqref="F32:F70">
    <cfRule type="expression" dxfId="183" priority="11">
      <formula>F32&gt;0</formula>
    </cfRule>
    <cfRule type="expression" dxfId="182" priority="12">
      <formula>F32&lt;0</formula>
    </cfRule>
  </conditionalFormatting>
  <conditionalFormatting sqref="F32:F70">
    <cfRule type="expression" dxfId="181" priority="13">
      <formula>F32&gt;0</formula>
    </cfRule>
    <cfRule type="expression" dxfId="180" priority="14">
      <formula>F32&lt;0</formula>
    </cfRule>
  </conditionalFormatting>
  <conditionalFormatting sqref="H25 H30:H70">
    <cfRule type="expression" dxfId="179" priority="9">
      <formula>H25&gt;0</formula>
    </cfRule>
    <cfRule type="expression" dxfId="178" priority="10">
      <formula>H25&lt;0</formula>
    </cfRule>
  </conditionalFormatting>
  <conditionalFormatting sqref="F26:F29">
    <cfRule type="expression" dxfId="177" priority="7">
      <formula>F26&gt;0</formula>
    </cfRule>
    <cfRule type="expression" dxfId="176" priority="8">
      <formula>F26&lt;0</formula>
    </cfRule>
  </conditionalFormatting>
  <conditionalFormatting sqref="H26:H29">
    <cfRule type="expression" dxfId="175" priority="5">
      <formula>H26&gt;0</formula>
    </cfRule>
    <cfRule type="expression" dxfId="174" priority="6">
      <formula>H26&lt;0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conditionalFormatting sqref="Q8">
    <cfRule type="expression" dxfId="171" priority="1">
      <formula>Q8&gt;0</formula>
    </cfRule>
    <cfRule type="expression" dxfId="17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690</v>
      </c>
      <c r="U2" s="84">
        <v>15</v>
      </c>
    </row>
    <row r="3" spans="1:21" x14ac:dyDescent="0.25">
      <c r="A3" s="22" t="s">
        <v>71</v>
      </c>
      <c r="B3" s="47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9">
        <f>IF(Q2=0, Q4, (F29-M29-K29)/Q2)</f>
        <v>7.88</v>
      </c>
      <c r="T3" s="1"/>
    </row>
    <row r="4" spans="1:21" x14ac:dyDescent="0.25">
      <c r="B4" s="47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5">
        <v>7.88</v>
      </c>
      <c r="R4" s="478">
        <v>0</v>
      </c>
      <c r="T4" s="158"/>
    </row>
    <row r="5" spans="1:21" x14ac:dyDescent="0.25">
      <c r="B5" s="47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7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7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7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7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7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7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7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7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7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7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7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4" t="s">
        <v>194</v>
      </c>
      <c r="B30" s="345"/>
      <c r="C30" s="346">
        <f>SumByColor($A$30,C2:C28)</f>
        <v>13800</v>
      </c>
      <c r="D30" s="346"/>
      <c r="E30" s="346"/>
      <c r="F30" s="347">
        <f>SumByColor($A$30,F2:F28)</f>
        <v>32192</v>
      </c>
      <c r="G30" s="346"/>
      <c r="H30" s="346">
        <f>SumByColor($A$30,H2:H28)</f>
        <v>13800</v>
      </c>
      <c r="I30" s="346"/>
      <c r="J30" s="346"/>
      <c r="K30" s="347">
        <f>SumByColor($A$30,K2:K28)</f>
        <v>23206</v>
      </c>
      <c r="L30" s="346"/>
      <c r="M30" s="555">
        <f>SumByColor($A$30,M2:M28)</f>
        <v>486</v>
      </c>
    </row>
    <row r="34" spans="2:21" x14ac:dyDescent="0.25">
      <c r="B34" s="187"/>
      <c r="C34" s="10"/>
      <c r="D34" s="196"/>
      <c r="E34" s="39"/>
      <c r="F34" s="230"/>
      <c r="G34" s="39"/>
      <c r="H34" s="226"/>
      <c r="I34" s="39"/>
      <c r="J34" s="39"/>
      <c r="K34" s="39"/>
    </row>
    <row r="35" spans="2:2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9" t="s">
        <v>65</v>
      </c>
      <c r="G35" s="223" t="s">
        <v>151</v>
      </c>
      <c r="H35" s="189" t="s">
        <v>88</v>
      </c>
      <c r="I35" s="223" t="s">
        <v>154</v>
      </c>
      <c r="J35" s="223" t="s">
        <v>504</v>
      </c>
      <c r="K35" s="223" t="s">
        <v>150</v>
      </c>
    </row>
    <row r="36" spans="2:21" x14ac:dyDescent="0.25">
      <c r="B36" s="187">
        <v>42629</v>
      </c>
      <c r="C36" s="231">
        <v>400</v>
      </c>
      <c r="D36" s="51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6">
        <f t="shared" ref="H36:H42" si="6">(E36-D36)/D36</f>
        <v>0</v>
      </c>
      <c r="I36" s="39"/>
      <c r="J36" s="39"/>
      <c r="K36" s="39"/>
    </row>
    <row r="37" spans="2:21" x14ac:dyDescent="0.25">
      <c r="B37" s="187">
        <v>42632</v>
      </c>
      <c r="C37" s="10">
        <v>400</v>
      </c>
      <c r="D37" s="196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6">
        <f t="shared" si="6"/>
        <v>4.6728971962615821E-3</v>
      </c>
      <c r="I37" s="39"/>
      <c r="J37" s="39"/>
      <c r="K37" s="39"/>
    </row>
    <row r="38" spans="2:21" x14ac:dyDescent="0.25">
      <c r="B38" s="187">
        <v>42633</v>
      </c>
      <c r="C38" s="10">
        <v>400</v>
      </c>
      <c r="D38" s="196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6">
        <f t="shared" si="6"/>
        <v>-1.6355140186915952E-2</v>
      </c>
      <c r="I38" s="39"/>
      <c r="J38" s="39"/>
      <c r="K38" s="39"/>
    </row>
    <row r="39" spans="2:21" x14ac:dyDescent="0.25">
      <c r="B39" s="187">
        <v>42634</v>
      </c>
      <c r="C39" s="7">
        <v>800</v>
      </c>
      <c r="D39" s="51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6">
        <f t="shared" si="6"/>
        <v>-1.1961722488038236E-2</v>
      </c>
      <c r="I39" s="39"/>
      <c r="J39" s="39"/>
      <c r="K39" s="39"/>
    </row>
    <row r="40" spans="2:21" ht="20.25" thickBot="1" x14ac:dyDescent="0.35">
      <c r="B40" s="187">
        <v>42635</v>
      </c>
      <c r="C40" s="10">
        <v>400</v>
      </c>
      <c r="D40" s="196">
        <v>4.1600999999999999</v>
      </c>
      <c r="E40" s="39">
        <v>4.33</v>
      </c>
      <c r="F40" s="230">
        <f t="shared" si="4"/>
        <v>67.960000000000065</v>
      </c>
      <c r="G40" s="39">
        <f t="shared" si="5"/>
        <v>1664.04</v>
      </c>
      <c r="H40" s="226">
        <f t="shared" si="6"/>
        <v>4.0840364414317001E-2</v>
      </c>
      <c r="I40" s="39"/>
      <c r="J40" s="39"/>
      <c r="K40" s="39"/>
      <c r="O40" s="847" t="s">
        <v>78</v>
      </c>
      <c r="P40" s="847"/>
    </row>
    <row r="41" spans="2:21" ht="15.75" thickTop="1" x14ac:dyDescent="0.25">
      <c r="B41" s="187">
        <v>42643</v>
      </c>
      <c r="C41" s="10">
        <v>400</v>
      </c>
      <c r="D41" s="196">
        <v>4.1600999999999999</v>
      </c>
      <c r="E41" s="39">
        <v>4.16</v>
      </c>
      <c r="F41" s="230">
        <f t="shared" si="4"/>
        <v>-3.9999999999906777E-2</v>
      </c>
      <c r="G41" s="39">
        <f t="shared" si="5"/>
        <v>1664.04</v>
      </c>
      <c r="H41" s="226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8.668000000000001</v>
      </c>
      <c r="Q41" s="2"/>
    </row>
    <row r="42" spans="2:21" ht="20.25" thickBot="1" x14ac:dyDescent="0.35">
      <c r="B42" s="187">
        <v>42648</v>
      </c>
      <c r="C42" s="7">
        <v>800</v>
      </c>
      <c r="D42" s="511">
        <v>4.0900499999999997</v>
      </c>
      <c r="E42" s="39">
        <v>4.03</v>
      </c>
      <c r="F42" s="230">
        <f t="shared" si="4"/>
        <v>-48.039999999999594</v>
      </c>
      <c r="G42" s="39">
        <f t="shared" si="5"/>
        <v>3272.04</v>
      </c>
      <c r="H42" s="226">
        <f t="shared" si="6"/>
        <v>-1.4681972103030402E-2</v>
      </c>
      <c r="I42" s="511">
        <v>4</v>
      </c>
      <c r="J42" s="39"/>
      <c r="K42" s="39"/>
      <c r="O42" s="81">
        <v>1.0900000000000001</v>
      </c>
      <c r="P42" s="81">
        <f t="shared" ref="P42:P61" si="7">O42*$Q$4</f>
        <v>8.5891999999999999</v>
      </c>
      <c r="Q42" s="2"/>
      <c r="T42" s="89" t="s">
        <v>112</v>
      </c>
    </row>
    <row r="43" spans="2:21" ht="15.75" thickTop="1" x14ac:dyDescent="0.25">
      <c r="B43" s="187">
        <v>42649</v>
      </c>
      <c r="C43" s="10">
        <v>800</v>
      </c>
      <c r="D43" s="196">
        <v>4.0900499999999997</v>
      </c>
      <c r="E43" s="39">
        <v>3.99</v>
      </c>
      <c r="F43" s="230">
        <f>C43*(E43-D43)</f>
        <v>-80.039999999999623</v>
      </c>
      <c r="G43" s="39">
        <f>D43*C43</f>
        <v>3272.04</v>
      </c>
      <c r="H43" s="226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8.5104000000000006</v>
      </c>
      <c r="Q43" s="2"/>
      <c r="T43" s="125" t="s">
        <v>97</v>
      </c>
      <c r="U43" s="96">
        <v>2.13</v>
      </c>
    </row>
    <row r="44" spans="2:21" x14ac:dyDescent="0.25">
      <c r="B44" s="187">
        <v>42650</v>
      </c>
      <c r="C44" s="10">
        <v>800</v>
      </c>
      <c r="D44" s="196">
        <v>4.0900499999999997</v>
      </c>
      <c r="E44" s="39">
        <v>4.2300000000000004</v>
      </c>
      <c r="F44" s="230">
        <f>C44*(E44-D44)</f>
        <v>111.96000000000055</v>
      </c>
      <c r="G44" s="39">
        <f>D44*C44</f>
        <v>3272.04</v>
      </c>
      <c r="H44" s="226">
        <f>(E44-D44)/D44</f>
        <v>3.4217185608978053E-2</v>
      </c>
      <c r="I44" s="196" t="s">
        <v>295</v>
      </c>
      <c r="J44" s="39"/>
      <c r="K44" s="39"/>
      <c r="O44" s="81">
        <v>1.07</v>
      </c>
      <c r="P44" s="81">
        <f t="shared" si="7"/>
        <v>8.4315999999999995</v>
      </c>
      <c r="Q44" s="2"/>
      <c r="T44" s="91" t="s">
        <v>98</v>
      </c>
      <c r="U44" s="86">
        <v>2.15</v>
      </c>
    </row>
    <row r="45" spans="2:21" x14ac:dyDescent="0.25">
      <c r="B45" s="187">
        <v>42661</v>
      </c>
      <c r="C45" s="10">
        <v>800</v>
      </c>
      <c r="D45" s="196">
        <v>4.0900499999999997</v>
      </c>
      <c r="E45" s="39">
        <v>4.08</v>
      </c>
      <c r="F45" s="230">
        <f t="shared" ref="F45:F51" si="8">C45*(E45-D45)</f>
        <v>-8.0399999999997362</v>
      </c>
      <c r="G45" s="39">
        <f t="shared" ref="G45:G51" si="9">D45*C45</f>
        <v>3272.04</v>
      </c>
      <c r="H45" s="226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8.3528000000000002</v>
      </c>
      <c r="Q45" s="2"/>
      <c r="T45" s="91" t="s">
        <v>99</v>
      </c>
      <c r="U45" s="86" t="s">
        <v>655</v>
      </c>
    </row>
    <row r="46" spans="2:21" x14ac:dyDescent="0.25">
      <c r="B46" s="187">
        <v>42670</v>
      </c>
      <c r="C46" s="231">
        <v>400</v>
      </c>
      <c r="D46" s="512">
        <v>3.9802</v>
      </c>
      <c r="E46" s="39">
        <v>4.17</v>
      </c>
      <c r="F46" s="230">
        <f t="shared" si="8"/>
        <v>75.919999999999987</v>
      </c>
      <c r="G46" s="39">
        <f t="shared" si="9"/>
        <v>1592.08</v>
      </c>
      <c r="H46" s="226">
        <f t="shared" si="10"/>
        <v>4.7686045927340326E-2</v>
      </c>
      <c r="I46" s="512">
        <v>3.9</v>
      </c>
      <c r="J46" s="39"/>
      <c r="K46" s="39"/>
      <c r="O46" s="81">
        <v>1.05</v>
      </c>
      <c r="P46" s="81">
        <f t="shared" si="7"/>
        <v>8.2740000000000009</v>
      </c>
      <c r="Q46" s="2"/>
      <c r="T46" s="91" t="s">
        <v>100</v>
      </c>
      <c r="U46" s="86" t="s">
        <v>656</v>
      </c>
    </row>
    <row r="47" spans="2:21" x14ac:dyDescent="0.25">
      <c r="B47" s="187">
        <v>42674</v>
      </c>
      <c r="C47" s="7">
        <v>800</v>
      </c>
      <c r="D47" s="511">
        <v>4.0000999999999998</v>
      </c>
      <c r="E47" s="39">
        <v>4.0199999999999996</v>
      </c>
      <c r="F47" s="230">
        <f t="shared" si="8"/>
        <v>15.919999999999845</v>
      </c>
      <c r="G47" s="39">
        <f t="shared" si="9"/>
        <v>3200.08</v>
      </c>
      <c r="H47" s="226">
        <f t="shared" si="10"/>
        <v>4.9748756281092496E-3</v>
      </c>
      <c r="I47" s="511" t="s">
        <v>302</v>
      </c>
      <c r="J47" s="39"/>
      <c r="K47" s="39"/>
      <c r="O47" s="81">
        <v>1.04</v>
      </c>
      <c r="P47" s="81">
        <f t="shared" si="7"/>
        <v>8.1951999999999998</v>
      </c>
      <c r="Q47" s="2"/>
      <c r="T47" s="91" t="s">
        <v>101</v>
      </c>
      <c r="U47" s="86">
        <v>3.22</v>
      </c>
    </row>
    <row r="48" spans="2:21" x14ac:dyDescent="0.25">
      <c r="B48" s="187">
        <v>42676</v>
      </c>
      <c r="C48" s="10">
        <v>1100</v>
      </c>
      <c r="D48" s="196">
        <v>3.8882500000000002</v>
      </c>
      <c r="E48" s="39">
        <v>3.39</v>
      </c>
      <c r="F48" s="230">
        <f t="shared" si="8"/>
        <v>-548.07500000000005</v>
      </c>
      <c r="G48" s="39">
        <f t="shared" si="9"/>
        <v>4277.0749999999998</v>
      </c>
      <c r="H48" s="226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8.1164000000000005</v>
      </c>
      <c r="Q48" s="2"/>
      <c r="T48" s="91" t="s">
        <v>102</v>
      </c>
      <c r="U48" s="86">
        <v>0.447965</v>
      </c>
    </row>
    <row r="49" spans="1:21" x14ac:dyDescent="0.25">
      <c r="B49" s="187">
        <v>42678</v>
      </c>
      <c r="C49" s="556">
        <v>1500</v>
      </c>
      <c r="D49" s="557">
        <v>3.6860499999999998</v>
      </c>
      <c r="E49" s="39">
        <v>3.12</v>
      </c>
      <c r="F49" s="230">
        <f t="shared" si="8"/>
        <v>-849.07499999999959</v>
      </c>
      <c r="G49" s="39">
        <f t="shared" si="9"/>
        <v>5529.0749999999998</v>
      </c>
      <c r="H49" s="226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8.0375999999999994</v>
      </c>
      <c r="Q49" s="2"/>
      <c r="T49" s="91" t="s">
        <v>121</v>
      </c>
      <c r="U49" s="86" t="s">
        <v>428</v>
      </c>
    </row>
    <row r="50" spans="1:21" x14ac:dyDescent="0.25">
      <c r="B50" s="187">
        <v>42701</v>
      </c>
      <c r="C50" s="10">
        <v>1100</v>
      </c>
      <c r="D50" s="196">
        <v>3.7101000000000002</v>
      </c>
      <c r="E50" s="39">
        <v>3.69</v>
      </c>
      <c r="F50" s="230">
        <f t="shared" si="8"/>
        <v>-22.110000000000252</v>
      </c>
      <c r="G50" s="39">
        <f t="shared" si="9"/>
        <v>4081.11</v>
      </c>
      <c r="H50" s="226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7.9588000000000001</v>
      </c>
      <c r="Q50" s="2"/>
      <c r="T50" s="91"/>
      <c r="U50" s="86"/>
    </row>
    <row r="51" spans="1:21" x14ac:dyDescent="0.25">
      <c r="B51" s="187">
        <v>42702</v>
      </c>
      <c r="C51" s="10">
        <v>700</v>
      </c>
      <c r="D51" s="196">
        <v>3.6873399999999998</v>
      </c>
      <c r="E51" s="39">
        <v>3.74</v>
      </c>
      <c r="F51" s="230">
        <f t="shared" si="8"/>
        <v>36.862000000000265</v>
      </c>
      <c r="G51" s="39">
        <f t="shared" si="9"/>
        <v>2581.1379999999999</v>
      </c>
      <c r="H51" s="226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7.88</v>
      </c>
      <c r="Q51" s="2"/>
      <c r="T51" s="91" t="s">
        <v>104</v>
      </c>
      <c r="U51" s="86" t="s">
        <v>657</v>
      </c>
    </row>
    <row r="52" spans="1:21" x14ac:dyDescent="0.25">
      <c r="B52" s="187">
        <v>42705</v>
      </c>
      <c r="C52" s="10">
        <v>700</v>
      </c>
      <c r="D52" s="196">
        <v>3.6873399999999998</v>
      </c>
      <c r="E52" s="39">
        <v>3.51</v>
      </c>
      <c r="F52" s="230">
        <f t="shared" ref="F52:F65" si="11">C52*(E52-D52)</f>
        <v>-124.13800000000003</v>
      </c>
      <c r="G52" s="39">
        <f t="shared" ref="G52:G65" si="12">D52*C52</f>
        <v>2581.1379999999999</v>
      </c>
      <c r="H52" s="226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7.8011999999999997</v>
      </c>
      <c r="Q52" s="2"/>
      <c r="T52" s="91" t="s">
        <v>105</v>
      </c>
      <c r="U52" s="86" t="s">
        <v>526</v>
      </c>
    </row>
    <row r="53" spans="1:21" x14ac:dyDescent="0.25">
      <c r="B53" s="187">
        <v>42713</v>
      </c>
      <c r="C53" s="10">
        <v>700</v>
      </c>
      <c r="D53" s="196">
        <v>3.6873399999999998</v>
      </c>
      <c r="E53" s="39">
        <v>3.67</v>
      </c>
      <c r="F53" s="230">
        <f t="shared" si="11"/>
        <v>-12.137999999999938</v>
      </c>
      <c r="G53" s="39">
        <f t="shared" si="12"/>
        <v>2581.1379999999999</v>
      </c>
      <c r="H53" s="226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7.7223999999999995</v>
      </c>
      <c r="Q53" s="2"/>
      <c r="T53" s="91" t="s">
        <v>106</v>
      </c>
      <c r="U53" s="88">
        <v>80683646</v>
      </c>
    </row>
    <row r="54" spans="1:21" x14ac:dyDescent="0.25">
      <c r="B54" s="187">
        <v>42716</v>
      </c>
      <c r="C54" s="10">
        <v>1100</v>
      </c>
      <c r="D54" s="196">
        <v>3.641</v>
      </c>
      <c r="E54" s="39">
        <v>3.49</v>
      </c>
      <c r="F54" s="230">
        <f t="shared" si="11"/>
        <v>-166.0999999999998</v>
      </c>
      <c r="G54" s="39">
        <f t="shared" si="12"/>
        <v>4005.1</v>
      </c>
      <c r="H54" s="226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7.6435999999999993</v>
      </c>
      <c r="T54" s="91" t="s">
        <v>109</v>
      </c>
      <c r="U54" s="88">
        <v>41241800</v>
      </c>
    </row>
    <row r="55" spans="1:21" x14ac:dyDescent="0.25">
      <c r="B55" s="187">
        <v>42725</v>
      </c>
      <c r="C55" s="10">
        <v>1800</v>
      </c>
      <c r="D55" s="196">
        <v>3.5200800000000001</v>
      </c>
      <c r="E55" s="39">
        <v>3.29</v>
      </c>
      <c r="F55" s="230">
        <f t="shared" si="11"/>
        <v>-414.14400000000012</v>
      </c>
      <c r="G55" s="39">
        <f t="shared" si="12"/>
        <v>6336.1440000000002</v>
      </c>
      <c r="H55" s="226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7.5648</v>
      </c>
      <c r="T55" s="91" t="s">
        <v>107</v>
      </c>
      <c r="U55" s="86" t="s">
        <v>658</v>
      </c>
    </row>
    <row r="56" spans="1:21" x14ac:dyDescent="0.25">
      <c r="B56" s="187">
        <v>42729</v>
      </c>
      <c r="C56" s="10">
        <v>1800</v>
      </c>
      <c r="D56" s="196">
        <v>3.5200800000000001</v>
      </c>
      <c r="E56" s="39">
        <v>3.42</v>
      </c>
      <c r="F56" s="230">
        <f t="shared" si="11"/>
        <v>-180.14400000000029</v>
      </c>
      <c r="G56" s="39">
        <f t="shared" si="12"/>
        <v>6336.1440000000002</v>
      </c>
      <c r="H56" s="226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7.4859999999999998</v>
      </c>
      <c r="T56" s="91" t="s">
        <v>110</v>
      </c>
      <c r="U56" s="86" t="s">
        <v>128</v>
      </c>
    </row>
    <row r="57" spans="1:21" x14ac:dyDescent="0.25">
      <c r="B57" s="187">
        <v>42736</v>
      </c>
      <c r="C57" s="10">
        <v>1800</v>
      </c>
      <c r="D57" s="196">
        <v>3.4559099999999998</v>
      </c>
      <c r="E57" s="39">
        <v>3.3650000000000002</v>
      </c>
      <c r="F57" s="230">
        <f t="shared" si="11"/>
        <v>-163.63799999999929</v>
      </c>
      <c r="G57" s="39">
        <f t="shared" si="12"/>
        <v>6220.6379999999999</v>
      </c>
      <c r="H57" s="226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7.4071999999999996</v>
      </c>
      <c r="T57" s="91" t="s">
        <v>111</v>
      </c>
      <c r="U57" s="86">
        <v>-0.51</v>
      </c>
    </row>
    <row r="58" spans="1:21" x14ac:dyDescent="0.25">
      <c r="B58" s="187">
        <v>42738</v>
      </c>
      <c r="C58" s="10">
        <v>1100</v>
      </c>
      <c r="D58" s="196">
        <v>3.3961100000000002</v>
      </c>
      <c r="E58" s="39">
        <v>3.58</v>
      </c>
      <c r="F58" s="230">
        <f t="shared" si="11"/>
        <v>202.27899999999988</v>
      </c>
      <c r="G58" s="39">
        <f t="shared" si="12"/>
        <v>3735.721</v>
      </c>
      <c r="H58" s="226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7.3284000000000002</v>
      </c>
      <c r="T58" s="91" t="s">
        <v>108</v>
      </c>
      <c r="U58" s="86" t="s">
        <v>558</v>
      </c>
    </row>
    <row r="59" spans="1:21" x14ac:dyDescent="0.25">
      <c r="B59" s="187">
        <v>42739</v>
      </c>
      <c r="C59" s="10">
        <v>1100</v>
      </c>
      <c r="D59" s="196">
        <v>3.39608</v>
      </c>
      <c r="E59" s="39">
        <v>3.67</v>
      </c>
      <c r="F59" s="230">
        <f t="shared" si="11"/>
        <v>301.31199999999995</v>
      </c>
      <c r="G59" s="39">
        <f t="shared" si="12"/>
        <v>3735.6880000000001</v>
      </c>
      <c r="H59" s="226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7.2496</v>
      </c>
    </row>
    <row r="60" spans="1:21" x14ac:dyDescent="0.25">
      <c r="B60" s="187">
        <v>42745</v>
      </c>
      <c r="C60" s="10">
        <v>1100</v>
      </c>
      <c r="D60" s="196">
        <v>3.39608</v>
      </c>
      <c r="E60" s="39">
        <v>3.63</v>
      </c>
      <c r="F60" s="230">
        <f t="shared" si="11"/>
        <v>257.3119999999999</v>
      </c>
      <c r="G60" s="39">
        <f t="shared" si="12"/>
        <v>3735.6880000000001</v>
      </c>
      <c r="H60" s="226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7.1707999999999998</v>
      </c>
    </row>
    <row r="61" spans="1:21" x14ac:dyDescent="0.25">
      <c r="A61" t="s">
        <v>350</v>
      </c>
      <c r="B61" s="187">
        <v>42754</v>
      </c>
      <c r="C61" s="556">
        <v>1500</v>
      </c>
      <c r="D61" s="557">
        <v>3.40246</v>
      </c>
      <c r="E61" s="39">
        <v>3.48</v>
      </c>
      <c r="F61" s="230">
        <f t="shared" si="11"/>
        <v>116.30999999999992</v>
      </c>
      <c r="G61" s="39">
        <f t="shared" si="12"/>
        <v>5103.6900000000005</v>
      </c>
      <c r="H61" s="226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7.0919999999999996</v>
      </c>
    </row>
    <row r="62" spans="1:21" x14ac:dyDescent="0.25">
      <c r="A62" t="s">
        <v>357</v>
      </c>
      <c r="B62" s="187">
        <v>42760</v>
      </c>
      <c r="C62" s="10">
        <v>1800</v>
      </c>
      <c r="D62" s="196">
        <v>3.40205</v>
      </c>
      <c r="E62" s="39">
        <v>3.43</v>
      </c>
      <c r="F62" s="230">
        <f t="shared" si="11"/>
        <v>50.310000000000258</v>
      </c>
      <c r="G62" s="39">
        <f t="shared" si="12"/>
        <v>6123.69</v>
      </c>
      <c r="H62" s="226">
        <f t="shared" si="13"/>
        <v>8.2156346908482062E-3</v>
      </c>
      <c r="I62" s="39"/>
      <c r="J62" s="39"/>
      <c r="K62" s="39"/>
    </row>
    <row r="63" spans="1:21" x14ac:dyDescent="0.25">
      <c r="A63" t="s">
        <v>358</v>
      </c>
      <c r="B63" s="187">
        <v>42760</v>
      </c>
      <c r="C63" s="10">
        <v>1400</v>
      </c>
      <c r="D63" s="196">
        <v>3.38801</v>
      </c>
      <c r="E63" s="39">
        <v>3.44</v>
      </c>
      <c r="F63" s="230">
        <f t="shared" si="11"/>
        <v>72.785999999999973</v>
      </c>
      <c r="G63" s="39">
        <f t="shared" si="12"/>
        <v>4743.2139999999999</v>
      </c>
      <c r="H63" s="226">
        <f t="shared" si="13"/>
        <v>1.5345291188632849E-2</v>
      </c>
      <c r="I63" s="39"/>
      <c r="J63" s="39"/>
      <c r="K63" s="39"/>
    </row>
    <row r="64" spans="1:21" x14ac:dyDescent="0.25">
      <c r="A64" t="s">
        <v>401</v>
      </c>
      <c r="B64" s="187">
        <v>42771</v>
      </c>
      <c r="C64" s="10">
        <v>1400</v>
      </c>
      <c r="D64" s="196">
        <v>3.38801</v>
      </c>
      <c r="E64" s="39">
        <v>3.42</v>
      </c>
      <c r="F64" s="230">
        <f t="shared" si="11"/>
        <v>44.785999999999945</v>
      </c>
      <c r="G64" s="39">
        <f t="shared" si="12"/>
        <v>4743.2139999999999</v>
      </c>
      <c r="H64" s="226">
        <f t="shared" si="13"/>
        <v>9.4421208910245146E-3</v>
      </c>
      <c r="I64" s="39"/>
      <c r="J64" s="39"/>
      <c r="K64" s="39"/>
    </row>
    <row r="65" spans="1:13" x14ac:dyDescent="0.25">
      <c r="A65" t="s">
        <v>404</v>
      </c>
      <c r="B65" s="187">
        <v>42772</v>
      </c>
      <c r="C65" s="10">
        <v>2000</v>
      </c>
      <c r="D65" s="196">
        <v>3.3616199999999998</v>
      </c>
      <c r="E65" s="39">
        <v>3.33</v>
      </c>
      <c r="F65" s="230">
        <f t="shared" si="11"/>
        <v>-63.239999999999519</v>
      </c>
      <c r="G65" s="39">
        <f t="shared" si="12"/>
        <v>6723.24</v>
      </c>
      <c r="H65" s="226">
        <f t="shared" si="13"/>
        <v>-9.4061791636174709E-3</v>
      </c>
      <c r="I65" s="39"/>
      <c r="J65" s="39"/>
      <c r="K65" s="230"/>
    </row>
    <row r="66" spans="1:13" x14ac:dyDescent="0.25">
      <c r="A66" t="s">
        <v>450</v>
      </c>
      <c r="B66" s="187">
        <v>42788</v>
      </c>
      <c r="C66" s="10">
        <v>2000</v>
      </c>
      <c r="D66" s="196">
        <v>3.3616199999999998</v>
      </c>
      <c r="E66" s="39">
        <v>3.35</v>
      </c>
      <c r="F66" s="230">
        <f t="shared" ref="F66:F68" si="14">C66*(E66-D66)</f>
        <v>-23.239999999999483</v>
      </c>
      <c r="G66" s="39">
        <f t="shared" ref="G66:G68" si="15">D66*C66</f>
        <v>6723.24</v>
      </c>
      <c r="H66" s="226">
        <f t="shared" ref="H66:H68" si="16">(E66-D66)/D66</f>
        <v>-3.4566667261617143E-3</v>
      </c>
      <c r="I66" s="39"/>
      <c r="J66" s="39"/>
      <c r="K66" s="230"/>
    </row>
    <row r="67" spans="1:13" x14ac:dyDescent="0.25">
      <c r="A67" t="s">
        <v>453</v>
      </c>
      <c r="B67" s="187">
        <v>42790</v>
      </c>
      <c r="C67" s="10">
        <v>1300</v>
      </c>
      <c r="D67" s="236">
        <v>3.33</v>
      </c>
      <c r="E67" s="39">
        <v>3.37</v>
      </c>
      <c r="F67" s="230">
        <f t="shared" si="14"/>
        <v>52.000000000000043</v>
      </c>
      <c r="G67" s="39">
        <f t="shared" si="15"/>
        <v>4329</v>
      </c>
      <c r="H67" s="226">
        <f t="shared" si="16"/>
        <v>1.2012012012012022E-2</v>
      </c>
      <c r="I67" s="39"/>
      <c r="J67" s="39"/>
      <c r="K67" s="230"/>
    </row>
    <row r="68" spans="1:13" x14ac:dyDescent="0.25">
      <c r="A68" t="s">
        <v>466</v>
      </c>
      <c r="B68" s="187">
        <v>42793</v>
      </c>
      <c r="C68" s="10">
        <v>2000</v>
      </c>
      <c r="D68" s="236">
        <v>3.2776399999999999</v>
      </c>
      <c r="E68" s="39">
        <v>3.29</v>
      </c>
      <c r="F68" s="230">
        <f t="shared" si="14"/>
        <v>24.720000000000297</v>
      </c>
      <c r="G68" s="39">
        <f t="shared" si="15"/>
        <v>6555.28</v>
      </c>
      <c r="H68" s="226">
        <f t="shared" si="16"/>
        <v>3.7710059677085188E-3</v>
      </c>
      <c r="I68" s="39" t="s">
        <v>467</v>
      </c>
      <c r="J68" s="39"/>
      <c r="K68" s="230"/>
    </row>
    <row r="69" spans="1:13" x14ac:dyDescent="0.25">
      <c r="A69">
        <v>700</v>
      </c>
      <c r="B69" s="187">
        <v>42800</v>
      </c>
      <c r="C69" s="10">
        <v>2000</v>
      </c>
      <c r="D69" s="236">
        <v>3.2776399999999999</v>
      </c>
      <c r="E69" s="39">
        <v>2.76</v>
      </c>
      <c r="F69" s="230">
        <f t="shared" ref="F69" si="17">C69*(E69-D69)</f>
        <v>-1035.2800000000002</v>
      </c>
      <c r="G69" s="39">
        <f t="shared" ref="G69" si="18">D69*C69</f>
        <v>6555.28</v>
      </c>
      <c r="H69" s="226">
        <f t="shared" ref="H69" si="19">(E69-D69)/D69</f>
        <v>-0.15793070623985553</v>
      </c>
      <c r="I69" s="39"/>
      <c r="J69" s="39"/>
      <c r="K69" s="230"/>
      <c r="M69" s="270"/>
    </row>
    <row r="70" spans="1:13" x14ac:dyDescent="0.25">
      <c r="A70">
        <v>1300</v>
      </c>
      <c r="B70" s="187">
        <v>42808</v>
      </c>
      <c r="C70" s="10">
        <v>3000</v>
      </c>
      <c r="D70" s="236">
        <v>2.988</v>
      </c>
      <c r="E70" s="39">
        <v>2.41</v>
      </c>
      <c r="F70" s="230">
        <f t="shared" ref="F70:F72" si="20">C70*(E70-D70)</f>
        <v>-1733.9999999999995</v>
      </c>
      <c r="G70" s="39">
        <f t="shared" ref="G70:G72" si="21">D70*C70</f>
        <v>8964</v>
      </c>
      <c r="H70" s="226">
        <f t="shared" ref="H70:H72" si="22">(E70-D70)/D70</f>
        <v>-0.19344042838018738</v>
      </c>
      <c r="I70" s="39"/>
      <c r="J70" s="39"/>
      <c r="K70" s="230"/>
    </row>
    <row r="71" spans="1:13" x14ac:dyDescent="0.25">
      <c r="A71">
        <v>300</v>
      </c>
      <c r="B71" s="187">
        <v>42809</v>
      </c>
      <c r="C71" s="10">
        <v>3000</v>
      </c>
      <c r="D71" s="236">
        <v>2.97</v>
      </c>
      <c r="E71" s="39">
        <v>2.41</v>
      </c>
      <c r="F71" s="230">
        <f t="shared" si="20"/>
        <v>-1680.0000000000002</v>
      </c>
      <c r="G71" s="39">
        <f t="shared" si="21"/>
        <v>8910</v>
      </c>
      <c r="H71" s="226">
        <f t="shared" si="22"/>
        <v>-0.18855218855218855</v>
      </c>
      <c r="I71" s="39"/>
      <c r="J71" s="39"/>
      <c r="K71" s="230"/>
    </row>
    <row r="72" spans="1:13" x14ac:dyDescent="0.25">
      <c r="A72">
        <v>0</v>
      </c>
      <c r="B72" s="187">
        <v>42810</v>
      </c>
      <c r="C72" s="10">
        <v>2600</v>
      </c>
      <c r="D72" s="236">
        <v>3.0394000000000001</v>
      </c>
      <c r="E72" s="39">
        <v>2.5099999999999998</v>
      </c>
      <c r="F72" s="230">
        <f t="shared" si="20"/>
        <v>-1376.4400000000007</v>
      </c>
      <c r="G72" s="39">
        <f t="shared" si="21"/>
        <v>7902.4400000000005</v>
      </c>
      <c r="H72" s="226">
        <f t="shared" si="22"/>
        <v>-0.17417911429887487</v>
      </c>
      <c r="I72" s="39"/>
      <c r="J72" s="39"/>
      <c r="K72" s="230">
        <v>-941</v>
      </c>
    </row>
    <row r="73" spans="1:13" x14ac:dyDescent="0.25">
      <c r="A73">
        <v>0</v>
      </c>
      <c r="B73" s="187">
        <v>42811</v>
      </c>
      <c r="C73" s="10">
        <v>3000</v>
      </c>
      <c r="D73" s="236">
        <v>2.9581200000000001</v>
      </c>
      <c r="E73" s="39">
        <v>2.4700000000000002</v>
      </c>
      <c r="F73" s="230">
        <f t="shared" ref="F73" si="23">C73*(E73-D73)</f>
        <v>-1464.3599999999997</v>
      </c>
      <c r="G73" s="39">
        <f t="shared" ref="G73" si="24">D73*C73</f>
        <v>8874.36</v>
      </c>
      <c r="H73" s="226">
        <f t="shared" ref="H73" si="25">(E73-D73)/D73</f>
        <v>-0.16501020918691597</v>
      </c>
      <c r="I73" s="39"/>
      <c r="J73" s="39"/>
      <c r="K73" s="230">
        <v>-1029</v>
      </c>
    </row>
    <row r="74" spans="1:13" x14ac:dyDescent="0.25">
      <c r="A74">
        <v>0</v>
      </c>
      <c r="B74" s="187">
        <v>42816</v>
      </c>
      <c r="C74" s="10">
        <v>4000</v>
      </c>
      <c r="D74" s="236">
        <v>2.7585999999999999</v>
      </c>
      <c r="E74" s="39">
        <v>2.11</v>
      </c>
      <c r="F74" s="230">
        <f t="shared" ref="F74" si="26">C74*(E74-D74)</f>
        <v>-2594.4</v>
      </c>
      <c r="G74" s="39">
        <f t="shared" ref="G74" si="27">D74*C74</f>
        <v>11034.4</v>
      </c>
      <c r="H74" s="226">
        <f t="shared" ref="H74" si="28">(E74-D74)/D74</f>
        <v>-0.23511926339447548</v>
      </c>
      <c r="I74" s="39"/>
      <c r="J74" s="39"/>
      <c r="K74" s="230">
        <v>-2159</v>
      </c>
    </row>
    <row r="75" spans="1:13" x14ac:dyDescent="0.25">
      <c r="A75">
        <v>0</v>
      </c>
      <c r="B75" s="187">
        <v>42821</v>
      </c>
      <c r="C75" s="10">
        <v>4000</v>
      </c>
      <c r="D75" s="236">
        <v>2.7585999999999999</v>
      </c>
      <c r="E75" s="39">
        <v>2.02</v>
      </c>
      <c r="F75" s="230">
        <f t="shared" ref="F75" si="29">C75*(E75-D75)</f>
        <v>-2954.3999999999996</v>
      </c>
      <c r="G75" s="39">
        <f t="shared" ref="G75" si="30">D75*C75</f>
        <v>11034.4</v>
      </c>
      <c r="H75" s="226">
        <f t="shared" ref="H75" si="31">(E75-D75)/D75</f>
        <v>-0.26774450808381062</v>
      </c>
      <c r="I75" s="39"/>
      <c r="J75" s="39"/>
      <c r="K75" s="230">
        <v>-2519</v>
      </c>
    </row>
    <row r="76" spans="1:13" x14ac:dyDescent="0.25">
      <c r="A76">
        <v>600</v>
      </c>
      <c r="B76" s="187">
        <v>42824</v>
      </c>
      <c r="C76" s="10">
        <v>4000</v>
      </c>
      <c r="D76" s="236">
        <v>2.7585999999999999</v>
      </c>
      <c r="E76" s="39">
        <v>2.13</v>
      </c>
      <c r="F76" s="230">
        <f t="shared" ref="F76" si="32">C76*(E76-D76)</f>
        <v>-2514.4</v>
      </c>
      <c r="G76" s="39">
        <f t="shared" ref="G76" si="33">D76*C76</f>
        <v>11034.4</v>
      </c>
      <c r="H76" s="226">
        <f t="shared" ref="H76" si="34">(E76-D76)/D76</f>
        <v>-0.22786920901906765</v>
      </c>
      <c r="I76" s="39"/>
      <c r="J76" s="39"/>
      <c r="K76" s="230">
        <v>-2079</v>
      </c>
    </row>
    <row r="77" spans="1:13" x14ac:dyDescent="0.25">
      <c r="A77">
        <v>4000</v>
      </c>
      <c r="B77" s="187">
        <v>42862</v>
      </c>
      <c r="C77" s="10">
        <v>4000</v>
      </c>
      <c r="D77" s="236">
        <v>2.7585999999999999</v>
      </c>
      <c r="E77" s="39">
        <v>1.46</v>
      </c>
      <c r="F77" s="230">
        <f t="shared" ref="F77:F79" si="35">C77*(E77-D77)</f>
        <v>-5194.3999999999996</v>
      </c>
      <c r="G77" s="39">
        <f t="shared" ref="G77:G79" si="36">D77*C77</f>
        <v>11034.4</v>
      </c>
      <c r="H77" s="226">
        <f t="shared" ref="H77:H79" si="37">(E77-D77)/D77</f>
        <v>-0.47074603059522946</v>
      </c>
      <c r="I77" s="39"/>
      <c r="J77" s="39"/>
      <c r="K77" s="230">
        <v>-4549</v>
      </c>
    </row>
    <row r="78" spans="1:13" x14ac:dyDescent="0.25">
      <c r="B78" s="187">
        <v>42879</v>
      </c>
      <c r="C78" s="10">
        <v>4000</v>
      </c>
      <c r="D78" s="236">
        <v>2.6636000000000002</v>
      </c>
      <c r="E78" s="39"/>
      <c r="F78" s="230"/>
      <c r="G78" s="39">
        <f t="shared" si="36"/>
        <v>10654.400000000001</v>
      </c>
      <c r="H78" s="226"/>
      <c r="I78" s="39"/>
      <c r="J78" s="39"/>
      <c r="K78" s="230"/>
    </row>
    <row r="79" spans="1:13" x14ac:dyDescent="0.25">
      <c r="A79">
        <v>4000</v>
      </c>
      <c r="B79" s="187">
        <v>42917</v>
      </c>
      <c r="C79" s="10">
        <v>4000</v>
      </c>
      <c r="D79" s="236">
        <v>2.6240000000000001</v>
      </c>
      <c r="E79" s="39">
        <v>1.1599999999999999</v>
      </c>
      <c r="F79" s="230">
        <f t="shared" si="35"/>
        <v>-5856.0000000000009</v>
      </c>
      <c r="G79" s="39">
        <f t="shared" si="36"/>
        <v>10496</v>
      </c>
      <c r="H79" s="226">
        <f t="shared" si="37"/>
        <v>-0.55792682926829273</v>
      </c>
      <c r="I79" s="39"/>
      <c r="J79" s="39"/>
      <c r="K79" s="230">
        <v>-5420</v>
      </c>
    </row>
    <row r="80" spans="1:13" x14ac:dyDescent="0.25">
      <c r="B80" s="187"/>
      <c r="C80" s="10"/>
      <c r="D80" s="236"/>
      <c r="E80" s="39"/>
      <c r="F80" s="230"/>
      <c r="G80" s="39"/>
      <c r="H80" s="226"/>
      <c r="I80" s="39"/>
      <c r="J80" s="39"/>
      <c r="K80" s="230"/>
    </row>
    <row r="81" spans="1:11" x14ac:dyDescent="0.25">
      <c r="A81">
        <v>166</v>
      </c>
      <c r="B81" s="187">
        <v>42942</v>
      </c>
      <c r="C81" s="10">
        <v>166</v>
      </c>
      <c r="D81" s="236">
        <v>53.826999999999998</v>
      </c>
      <c r="E81" s="39">
        <v>15.75</v>
      </c>
      <c r="F81" s="230">
        <f t="shared" ref="F81" si="38">C81*(E81-D81)</f>
        <v>-6320.7819999999992</v>
      </c>
      <c r="G81" s="39">
        <f t="shared" ref="G81" si="39">D81*C81</f>
        <v>8935.2819999999992</v>
      </c>
      <c r="H81" s="226">
        <f t="shared" ref="H81" si="40">(E81-D81)/D81</f>
        <v>-0.70739591654745759</v>
      </c>
      <c r="I81" s="39"/>
      <c r="J81" s="39"/>
      <c r="K81" s="230">
        <v>-5885</v>
      </c>
    </row>
    <row r="82" spans="1:11" x14ac:dyDescent="0.25">
      <c r="A82">
        <v>166</v>
      </c>
      <c r="B82" s="187">
        <v>42962</v>
      </c>
      <c r="C82" s="10">
        <v>266</v>
      </c>
      <c r="D82" s="236">
        <v>38.979999999999997</v>
      </c>
      <c r="E82" s="39">
        <v>14.34</v>
      </c>
      <c r="F82" s="230">
        <f t="shared" ref="F82" si="41">C82*(E82-D82)</f>
        <v>-6554.2399999999989</v>
      </c>
      <c r="G82" s="39">
        <f t="shared" ref="G82" si="42">D82*C82</f>
        <v>10368.679999999998</v>
      </c>
      <c r="H82" s="226">
        <f t="shared" ref="H82" si="43">(E82-D82)/D82</f>
        <v>-0.63211903540277059</v>
      </c>
      <c r="I82" s="39"/>
      <c r="J82" s="39"/>
      <c r="K82" s="230">
        <v>-6120</v>
      </c>
    </row>
    <row r="83" spans="1:11" x14ac:dyDescent="0.25">
      <c r="B83" s="187">
        <v>42983</v>
      </c>
      <c r="C83" s="10">
        <v>266</v>
      </c>
      <c r="D83" s="236">
        <v>38.979999999999997</v>
      </c>
      <c r="E83" s="39">
        <v>13.77</v>
      </c>
      <c r="F83" s="230">
        <f t="shared" ref="F83:F87" si="44">C83*(E83-D83)</f>
        <v>-6705.86</v>
      </c>
      <c r="G83" s="39">
        <f t="shared" ref="G83:G87" si="45">D83*C83</f>
        <v>10368.679999999998</v>
      </c>
      <c r="H83" s="226">
        <f t="shared" ref="H83:H87" si="46">(E83-D83)/D83</f>
        <v>-0.64674191893278599</v>
      </c>
      <c r="I83" s="39"/>
      <c r="J83" s="39"/>
      <c r="K83" s="230">
        <v>-6271</v>
      </c>
    </row>
    <row r="84" spans="1:11" x14ac:dyDescent="0.25">
      <c r="B84" s="187">
        <v>42999</v>
      </c>
      <c r="C84" s="10">
        <v>266</v>
      </c>
      <c r="D84" s="236">
        <v>38.979999999999997</v>
      </c>
      <c r="E84" s="39">
        <v>11.69</v>
      </c>
      <c r="F84" s="230">
        <f t="shared" si="44"/>
        <v>-7259.1399999999994</v>
      </c>
      <c r="G84" s="39">
        <f t="shared" si="45"/>
        <v>10368.679999999998</v>
      </c>
      <c r="H84" s="226">
        <f t="shared" si="46"/>
        <v>-0.70010261672652641</v>
      </c>
      <c r="I84" s="39"/>
      <c r="J84" s="39"/>
      <c r="K84" s="230">
        <v>-6825</v>
      </c>
    </row>
    <row r="85" spans="1:11" x14ac:dyDescent="0.25">
      <c r="A85">
        <v>266</v>
      </c>
      <c r="B85" s="187">
        <v>43010</v>
      </c>
      <c r="C85" s="10">
        <v>266</v>
      </c>
      <c r="D85" s="236">
        <v>38.380000000000003</v>
      </c>
      <c r="E85" s="39">
        <v>12.17</v>
      </c>
      <c r="F85" s="230">
        <f t="shared" si="44"/>
        <v>-6971.8600000000006</v>
      </c>
      <c r="G85" s="39">
        <f t="shared" si="45"/>
        <v>10209.08</v>
      </c>
      <c r="H85" s="226">
        <f t="shared" si="46"/>
        <v>-0.6829077644606566</v>
      </c>
      <c r="I85" s="39"/>
      <c r="J85" s="39"/>
      <c r="K85" s="230">
        <v>-6538</v>
      </c>
    </row>
    <row r="86" spans="1:11" x14ac:dyDescent="0.25">
      <c r="A86">
        <v>266</v>
      </c>
      <c r="B86" s="187">
        <v>43040</v>
      </c>
      <c r="C86" s="10">
        <v>366</v>
      </c>
      <c r="D86" s="236">
        <v>30.376300000000001</v>
      </c>
      <c r="E86" s="39">
        <v>8.86</v>
      </c>
      <c r="F86" s="230">
        <f t="shared" si="44"/>
        <v>-7874.9657999999999</v>
      </c>
      <c r="G86" s="39">
        <f t="shared" si="45"/>
        <v>11117.7258</v>
      </c>
      <c r="H86" s="226">
        <f t="shared" si="46"/>
        <v>-0.7083252404012339</v>
      </c>
      <c r="I86" s="39"/>
      <c r="J86" s="39"/>
      <c r="K86" s="230">
        <v>-7440</v>
      </c>
    </row>
    <row r="87" spans="1:11" x14ac:dyDescent="0.25">
      <c r="B87" s="187">
        <v>43044</v>
      </c>
      <c r="C87" s="10">
        <v>366</v>
      </c>
      <c r="D87" s="236">
        <v>30.376000000000001</v>
      </c>
      <c r="E87" s="39">
        <v>7.41</v>
      </c>
      <c r="F87" s="230">
        <f t="shared" si="44"/>
        <v>-8405.5560000000005</v>
      </c>
      <c r="G87" s="39">
        <f t="shared" si="45"/>
        <v>11117.616</v>
      </c>
      <c r="H87" s="226">
        <f t="shared" si="46"/>
        <v>-0.75605741374769553</v>
      </c>
      <c r="I87" s="39"/>
      <c r="J87" s="39"/>
      <c r="K87" s="230">
        <v>-7971</v>
      </c>
    </row>
    <row r="88" spans="1:11" x14ac:dyDescent="0.25">
      <c r="A88">
        <v>166</v>
      </c>
      <c r="B88" s="187">
        <v>43048</v>
      </c>
      <c r="C88" s="10">
        <v>266</v>
      </c>
      <c r="D88" s="236">
        <v>38.799999999999997</v>
      </c>
      <c r="E88" s="39">
        <v>7.96</v>
      </c>
      <c r="F88" s="230">
        <f t="shared" ref="F88" si="47">C88*(E88-D88)</f>
        <v>-8203.4399999999987</v>
      </c>
      <c r="G88" s="39">
        <f t="shared" ref="G88" si="48">D88*C88</f>
        <v>10320.799999999999</v>
      </c>
      <c r="H88" s="226">
        <f t="shared" ref="H88" si="49">(E88-D88)/D88</f>
        <v>-0.79484536082474222</v>
      </c>
      <c r="I88" s="39"/>
      <c r="J88" s="39"/>
      <c r="K88" s="230">
        <v>-7769</v>
      </c>
    </row>
    <row r="89" spans="1:11" x14ac:dyDescent="0.25">
      <c r="B89" s="187"/>
      <c r="C89" s="10">
        <v>0</v>
      </c>
      <c r="D89" s="236"/>
      <c r="E89" s="39"/>
      <c r="F89" s="230"/>
      <c r="G89" s="39"/>
      <c r="H89" s="226"/>
      <c r="I89" s="39"/>
      <c r="J89" s="39"/>
      <c r="K89" s="230">
        <v>-7897.18</v>
      </c>
    </row>
    <row r="90" spans="1:11" x14ac:dyDescent="0.25">
      <c r="B90" s="187"/>
      <c r="C90" s="10"/>
      <c r="D90" s="236"/>
      <c r="E90" s="39"/>
      <c r="F90" s="230"/>
      <c r="G90" s="39"/>
      <c r="H90" s="226"/>
      <c r="I90" s="39"/>
      <c r="J90" s="39"/>
      <c r="K90" s="230"/>
    </row>
    <row r="91" spans="1:11" x14ac:dyDescent="0.25">
      <c r="B91" s="187"/>
      <c r="C91" s="10"/>
      <c r="D91" s="236"/>
      <c r="E91" s="39"/>
      <c r="F91" s="230"/>
      <c r="G91" s="39"/>
      <c r="H91" s="226"/>
      <c r="I91" s="39"/>
      <c r="J91" s="39"/>
      <c r="K91" s="230"/>
    </row>
    <row r="92" spans="1:11" x14ac:dyDescent="0.25">
      <c r="B92" s="187"/>
      <c r="C92" s="10"/>
      <c r="D92" s="236"/>
      <c r="E92" s="39"/>
      <c r="F92" s="230"/>
      <c r="G92" s="39"/>
      <c r="H92" s="226"/>
      <c r="I92" s="39"/>
      <c r="J92" s="39"/>
      <c r="K92" s="230"/>
    </row>
    <row r="93" spans="1:11" x14ac:dyDescent="0.25">
      <c r="B93" s="187"/>
      <c r="C93" s="10"/>
      <c r="D93" s="236"/>
      <c r="E93" s="39"/>
      <c r="F93" s="230"/>
      <c r="G93" s="39"/>
      <c r="H93" s="226"/>
      <c r="I93" s="39"/>
      <c r="J93" s="39"/>
      <c r="K93" s="230"/>
    </row>
    <row r="94" spans="1:11" x14ac:dyDescent="0.25">
      <c r="B94" s="187"/>
      <c r="C94" s="10"/>
      <c r="D94" s="236"/>
      <c r="E94" s="39"/>
      <c r="F94" s="230"/>
      <c r="G94" s="39"/>
      <c r="H94" s="226"/>
      <c r="I94" s="39"/>
      <c r="J94" s="39"/>
      <c r="K94" s="230"/>
    </row>
    <row r="95" spans="1:11" x14ac:dyDescent="0.25">
      <c r="B95" s="187"/>
      <c r="C95" s="10"/>
      <c r="D95" s="236"/>
      <c r="E95" s="39"/>
      <c r="F95" s="230"/>
      <c r="G95" s="39"/>
      <c r="H95" s="226"/>
      <c r="I95" s="39"/>
      <c r="J95" s="39"/>
      <c r="K95" s="230"/>
    </row>
    <row r="96" spans="1:11" x14ac:dyDescent="0.25">
      <c r="B96" s="187"/>
      <c r="C96" s="10"/>
      <c r="D96" s="236"/>
      <c r="E96" s="39"/>
      <c r="F96" s="230"/>
      <c r="G96" s="39"/>
      <c r="H96" s="226"/>
      <c r="I96" s="39"/>
      <c r="J96" s="39"/>
      <c r="K96" s="230"/>
    </row>
    <row r="97" spans="1:13" x14ac:dyDescent="0.25">
      <c r="B97" s="187"/>
      <c r="C97" s="10"/>
      <c r="D97" s="236"/>
      <c r="E97" s="39"/>
      <c r="F97" s="230"/>
      <c r="G97" s="39"/>
      <c r="H97" s="226"/>
      <c r="I97" s="39"/>
      <c r="J97" s="39"/>
      <c r="K97" s="230"/>
    </row>
    <row r="98" spans="1:13" x14ac:dyDescent="0.25">
      <c r="B98" s="187"/>
      <c r="C98" s="10"/>
      <c r="D98" s="236"/>
      <c r="E98" s="39"/>
      <c r="F98" s="230"/>
      <c r="G98" s="39"/>
      <c r="H98" s="226"/>
      <c r="I98" s="39"/>
      <c r="J98" s="39"/>
      <c r="K98" s="230"/>
    </row>
    <row r="99" spans="1:13" x14ac:dyDescent="0.25">
      <c r="B99" s="187"/>
      <c r="C99" s="10"/>
      <c r="D99" s="236"/>
      <c r="E99" s="39"/>
      <c r="F99" s="230"/>
      <c r="G99" s="39"/>
      <c r="H99" s="226"/>
      <c r="I99" s="39"/>
      <c r="J99" s="39"/>
      <c r="K99" s="230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1" t="s">
        <v>1</v>
      </c>
      <c r="B103" s="371" t="s">
        <v>2</v>
      </c>
      <c r="C103" s="371" t="s">
        <v>4</v>
      </c>
      <c r="D103" s="373" t="s">
        <v>5</v>
      </c>
      <c r="E103" s="373" t="s">
        <v>94</v>
      </c>
      <c r="F103" s="373" t="s">
        <v>60</v>
      </c>
      <c r="G103" s="371" t="s">
        <v>3</v>
      </c>
      <c r="H103" s="371" t="s">
        <v>6</v>
      </c>
      <c r="I103" s="373" t="s">
        <v>7</v>
      </c>
      <c r="J103" s="373" t="s">
        <v>95</v>
      </c>
      <c r="K103" s="373" t="s">
        <v>61</v>
      </c>
      <c r="L103" s="371" t="s">
        <v>37</v>
      </c>
      <c r="M103" s="371" t="s">
        <v>38</v>
      </c>
    </row>
    <row r="104" spans="1:13" x14ac:dyDescent="0.25">
      <c r="A104" s="374" t="s">
        <v>9</v>
      </c>
      <c r="B104" s="364">
        <v>42356</v>
      </c>
      <c r="C104" s="365">
        <v>250</v>
      </c>
      <c r="D104" s="366">
        <v>4.45</v>
      </c>
      <c r="E104" s="366">
        <v>0</v>
      </c>
      <c r="F104" s="366">
        <f>C104*D104+E104</f>
        <v>1112.5</v>
      </c>
      <c r="G104" s="364">
        <v>42398</v>
      </c>
      <c r="H104" s="369">
        <v>250</v>
      </c>
      <c r="I104" s="366">
        <v>4.5199999999999996</v>
      </c>
      <c r="J104" s="366">
        <v>0.02</v>
      </c>
      <c r="K104" s="366">
        <f>H104*I104-J104</f>
        <v>1129.98</v>
      </c>
      <c r="L104" s="365"/>
      <c r="M104" s="365"/>
    </row>
    <row r="105" spans="1:13" x14ac:dyDescent="0.25">
      <c r="A105" s="375"/>
      <c r="B105" s="364">
        <v>42382</v>
      </c>
      <c r="C105" s="365">
        <v>250</v>
      </c>
      <c r="D105" s="366">
        <v>4.25</v>
      </c>
      <c r="E105" s="366">
        <v>0</v>
      </c>
      <c r="F105" s="366">
        <f>C105*D105+E105</f>
        <v>1062.5</v>
      </c>
      <c r="G105" s="364">
        <v>42418</v>
      </c>
      <c r="H105" s="369">
        <v>250</v>
      </c>
      <c r="I105" s="366">
        <v>4.45</v>
      </c>
      <c r="J105" s="366">
        <v>0.02</v>
      </c>
      <c r="K105" s="366">
        <f>H105*I105-J105</f>
        <v>1112.48</v>
      </c>
      <c r="L105" s="365"/>
      <c r="M105" s="365"/>
    </row>
    <row r="106" spans="1:13" x14ac:dyDescent="0.25">
      <c r="A106" s="365"/>
      <c r="B106" s="364">
        <v>42402</v>
      </c>
      <c r="C106" s="365">
        <v>250</v>
      </c>
      <c r="D106" s="366">
        <v>4.3600000000000003</v>
      </c>
      <c r="E106" s="366">
        <v>0</v>
      </c>
      <c r="F106" s="366">
        <f>C106*D106+E106</f>
        <v>1090</v>
      </c>
      <c r="G106" s="364">
        <v>42436</v>
      </c>
      <c r="H106" s="369">
        <v>250</v>
      </c>
      <c r="I106" s="366">
        <v>5.83</v>
      </c>
      <c r="J106" s="366">
        <v>0.03</v>
      </c>
      <c r="K106" s="366">
        <f>H106*I106-J106</f>
        <v>1457.47</v>
      </c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5"/>
      <c r="H107" s="369"/>
      <c r="I107" s="366"/>
      <c r="J107" s="366"/>
      <c r="K107" s="366"/>
      <c r="L107" s="365"/>
      <c r="M107" s="365"/>
    </row>
    <row r="108" spans="1:13" x14ac:dyDescent="0.25">
      <c r="A108" s="365"/>
      <c r="B108" s="365"/>
      <c r="C108" s="365"/>
      <c r="D108" s="366"/>
      <c r="E108" s="366"/>
      <c r="F108" s="366"/>
      <c r="G108" s="365"/>
      <c r="H108" s="369"/>
      <c r="I108" s="366"/>
      <c r="J108" s="366"/>
      <c r="K108" s="366"/>
      <c r="L108" s="365"/>
      <c r="M108" s="365"/>
    </row>
    <row r="109" spans="1:13" x14ac:dyDescent="0.25">
      <c r="A109" s="365"/>
      <c r="B109" s="365"/>
      <c r="C109" s="365"/>
      <c r="D109" s="366"/>
      <c r="E109" s="366"/>
      <c r="F109" s="366"/>
      <c r="G109" s="365"/>
      <c r="H109" s="369"/>
      <c r="I109" s="366"/>
      <c r="J109" s="366"/>
      <c r="K109" s="366"/>
      <c r="L109" s="365"/>
      <c r="M109" s="365"/>
    </row>
    <row r="110" spans="1:13" x14ac:dyDescent="0.25">
      <c r="A110" s="365"/>
      <c r="B110" s="365"/>
      <c r="C110" s="365"/>
      <c r="D110" s="366"/>
      <c r="E110" s="366"/>
      <c r="F110" s="366"/>
      <c r="G110" s="365"/>
      <c r="H110" s="369"/>
      <c r="I110" s="366"/>
      <c r="J110" s="366"/>
      <c r="K110" s="366"/>
      <c r="L110" s="365"/>
      <c r="M110" s="365"/>
    </row>
    <row r="111" spans="1:13" x14ac:dyDescent="0.25">
      <c r="A111" s="365"/>
      <c r="B111" s="365"/>
      <c r="C111" s="365"/>
      <c r="D111" s="366"/>
      <c r="E111" s="366"/>
      <c r="F111" s="366"/>
      <c r="G111" s="365"/>
      <c r="H111" s="369"/>
      <c r="I111" s="366"/>
      <c r="J111" s="366"/>
      <c r="K111" s="366"/>
      <c r="L111" s="365"/>
      <c r="M111" s="365"/>
    </row>
    <row r="112" spans="1:13" x14ac:dyDescent="0.25">
      <c r="A112" s="365"/>
      <c r="B112" s="365"/>
      <c r="C112" s="365"/>
      <c r="D112" s="366"/>
      <c r="E112" s="366"/>
      <c r="F112" s="366"/>
      <c r="G112" s="365"/>
      <c r="H112" s="365"/>
      <c r="I112" s="366"/>
      <c r="J112" s="366"/>
      <c r="K112" s="366"/>
      <c r="L112" s="365"/>
      <c r="M112" s="365"/>
    </row>
    <row r="113" spans="1:13" x14ac:dyDescent="0.25">
      <c r="A113" s="365"/>
      <c r="B113" s="365"/>
      <c r="C113" s="365"/>
      <c r="D113" s="366"/>
      <c r="E113" s="366"/>
      <c r="F113" s="366"/>
      <c r="G113" s="365"/>
      <c r="H113" s="365"/>
      <c r="I113" s="366"/>
      <c r="J113" s="366"/>
      <c r="K113" s="366"/>
      <c r="L113" s="365"/>
      <c r="M113" s="365"/>
    </row>
    <row r="114" spans="1:13" x14ac:dyDescent="0.25">
      <c r="A114" s="365"/>
      <c r="B114" s="365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365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365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  <row r="117" spans="1:13" x14ac:dyDescent="0.25">
      <c r="A117" s="365"/>
      <c r="B117" s="365"/>
      <c r="C117" s="365"/>
      <c r="D117" s="366"/>
      <c r="E117" s="366"/>
      <c r="F117" s="366"/>
      <c r="G117" s="365"/>
      <c r="H117" s="365"/>
      <c r="I117" s="366"/>
      <c r="J117" s="366"/>
      <c r="K117" s="366"/>
      <c r="L117" s="365"/>
      <c r="M117" s="365"/>
    </row>
    <row r="118" spans="1:13" x14ac:dyDescent="0.25">
      <c r="A118" s="365"/>
      <c r="B118" s="365"/>
      <c r="C118" s="365"/>
      <c r="D118" s="366"/>
      <c r="E118" s="366"/>
      <c r="F118" s="366"/>
      <c r="G118" s="365"/>
      <c r="H118" s="365"/>
      <c r="I118" s="366"/>
      <c r="J118" s="366"/>
      <c r="K118" s="366"/>
      <c r="L118" s="365"/>
      <c r="M118" s="365"/>
    </row>
    <row r="119" spans="1:13" x14ac:dyDescent="0.25">
      <c r="A119" s="365"/>
      <c r="B119" s="365"/>
      <c r="C119" s="365"/>
      <c r="D119" s="366"/>
      <c r="E119" s="366"/>
      <c r="F119" s="366"/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7" t="s">
        <v>113</v>
      </c>
      <c r="C123" s="487" t="s">
        <v>146</v>
      </c>
      <c r="D123" s="488" t="s">
        <v>145</v>
      </c>
      <c r="E123" s="489" t="s">
        <v>147</v>
      </c>
      <c r="F123" s="490" t="s">
        <v>65</v>
      </c>
      <c r="G123" s="491" t="s">
        <v>151</v>
      </c>
      <c r="H123" s="490" t="s">
        <v>88</v>
      </c>
      <c r="I123" s="491" t="s">
        <v>154</v>
      </c>
    </row>
    <row r="124" spans="1:13" x14ac:dyDescent="0.25">
      <c r="B124" s="364">
        <v>42353</v>
      </c>
      <c r="C124" s="365">
        <v>250</v>
      </c>
      <c r="D124" s="492">
        <v>4.45</v>
      </c>
      <c r="E124" s="366">
        <v>4.45</v>
      </c>
      <c r="F124" s="366">
        <f>C124*(E124-D124)</f>
        <v>0</v>
      </c>
      <c r="G124" s="366">
        <f>D124*C124</f>
        <v>1112.5</v>
      </c>
      <c r="H124" s="368">
        <f>(E124-D124)/D124</f>
        <v>0</v>
      </c>
      <c r="I124" s="366"/>
    </row>
    <row r="125" spans="1:13" x14ac:dyDescent="0.25">
      <c r="B125" s="364">
        <v>42356</v>
      </c>
      <c r="C125" s="365">
        <v>250</v>
      </c>
      <c r="D125" s="492">
        <v>4.45</v>
      </c>
      <c r="E125" s="366">
        <v>4.79</v>
      </c>
      <c r="F125" s="366">
        <f>C125*(E125-D125)</f>
        <v>84.999999999999972</v>
      </c>
      <c r="G125" s="366">
        <f>D125*C125</f>
        <v>1112.5</v>
      </c>
      <c r="H125" s="368">
        <f>(E125-D125)/D125</f>
        <v>7.6404494382022431E-2</v>
      </c>
      <c r="I125" s="366"/>
    </row>
    <row r="126" spans="1:13" x14ac:dyDescent="0.25">
      <c r="B126" s="364">
        <v>42382</v>
      </c>
      <c r="C126" s="365">
        <v>500</v>
      </c>
      <c r="D126" s="492">
        <v>4.3499999999999996</v>
      </c>
      <c r="E126" s="366">
        <v>4.17</v>
      </c>
      <c r="F126" s="366">
        <f t="shared" ref="F126:F134" si="50">C126*(E126-D126)</f>
        <v>-89.999999999999858</v>
      </c>
      <c r="G126" s="366">
        <f t="shared" ref="G126:G134" si="51">D126*C126</f>
        <v>2175</v>
      </c>
      <c r="H126" s="368">
        <f t="shared" ref="H126:H134" si="52">(E126-D126)/D126</f>
        <v>-4.1379310344827523E-2</v>
      </c>
      <c r="I126" s="366"/>
    </row>
    <row r="127" spans="1:13" x14ac:dyDescent="0.25">
      <c r="B127" s="364">
        <v>42398</v>
      </c>
      <c r="C127" s="365">
        <v>250</v>
      </c>
      <c r="D127" s="492">
        <v>4.18</v>
      </c>
      <c r="E127" s="366">
        <v>4.5199999999999996</v>
      </c>
      <c r="F127" s="366">
        <f t="shared" si="50"/>
        <v>84.999999999999972</v>
      </c>
      <c r="G127" s="366">
        <f t="shared" si="51"/>
        <v>1045</v>
      </c>
      <c r="H127" s="368">
        <f t="shared" si="52"/>
        <v>8.1339712918660254E-2</v>
      </c>
      <c r="I127" s="366"/>
    </row>
    <row r="128" spans="1:13" x14ac:dyDescent="0.25">
      <c r="B128" s="364">
        <v>42402</v>
      </c>
      <c r="C128" s="365">
        <v>500</v>
      </c>
      <c r="D128" s="492">
        <v>4.2699999999999996</v>
      </c>
      <c r="E128" s="366">
        <v>4.3499999999999996</v>
      </c>
      <c r="F128" s="366">
        <f t="shared" si="50"/>
        <v>40.000000000000036</v>
      </c>
      <c r="G128" s="366">
        <f t="shared" si="51"/>
        <v>2135</v>
      </c>
      <c r="H128" s="368">
        <f t="shared" si="52"/>
        <v>1.8735362997658097E-2</v>
      </c>
      <c r="I128" s="366"/>
    </row>
    <row r="129" spans="2:9" x14ac:dyDescent="0.25">
      <c r="B129" s="364">
        <v>42403</v>
      </c>
      <c r="C129" s="365">
        <v>500</v>
      </c>
      <c r="D129" s="492">
        <v>4.2699999999999996</v>
      </c>
      <c r="E129" s="366">
        <v>4.5999999999999996</v>
      </c>
      <c r="F129" s="366">
        <f t="shared" si="50"/>
        <v>165.00000000000003</v>
      </c>
      <c r="G129" s="366">
        <f t="shared" si="51"/>
        <v>2135</v>
      </c>
      <c r="H129" s="368">
        <f t="shared" si="52"/>
        <v>7.7283372365339609E-2</v>
      </c>
      <c r="I129" s="366"/>
    </row>
    <row r="130" spans="2:9" x14ac:dyDescent="0.25">
      <c r="B130" s="364">
        <v>42418</v>
      </c>
      <c r="C130" s="365">
        <v>250</v>
      </c>
      <c r="D130" s="492">
        <v>4.09</v>
      </c>
      <c r="E130" s="366">
        <v>4.25</v>
      </c>
      <c r="F130" s="366">
        <f t="shared" si="50"/>
        <v>40.000000000000036</v>
      </c>
      <c r="G130" s="366">
        <f t="shared" si="51"/>
        <v>1022.5</v>
      </c>
      <c r="H130" s="368">
        <f t="shared" si="52"/>
        <v>3.911980440097803E-2</v>
      </c>
      <c r="I130" s="366"/>
    </row>
    <row r="131" spans="2:9" x14ac:dyDescent="0.25">
      <c r="B131" s="364">
        <v>42421</v>
      </c>
      <c r="C131" s="365">
        <v>250</v>
      </c>
      <c r="D131" s="492">
        <v>4.09</v>
      </c>
      <c r="E131" s="366">
        <v>4.4400000000000004</v>
      </c>
      <c r="F131" s="366">
        <f t="shared" si="50"/>
        <v>87.500000000000128</v>
      </c>
      <c r="G131" s="366">
        <f t="shared" si="51"/>
        <v>1022.5</v>
      </c>
      <c r="H131" s="368">
        <f t="shared" si="52"/>
        <v>8.5574572127139495E-2</v>
      </c>
      <c r="I131" s="366"/>
    </row>
    <row r="132" spans="2:9" x14ac:dyDescent="0.25">
      <c r="B132" s="364">
        <v>42424</v>
      </c>
      <c r="C132" s="365">
        <v>250</v>
      </c>
      <c r="D132" s="492">
        <v>4.09</v>
      </c>
      <c r="E132" s="366">
        <v>5.3</v>
      </c>
      <c r="F132" s="366">
        <f t="shared" si="50"/>
        <v>302.5</v>
      </c>
      <c r="G132" s="366">
        <f t="shared" si="51"/>
        <v>1022.5</v>
      </c>
      <c r="H132" s="368">
        <f t="shared" si="52"/>
        <v>0.29584352078239606</v>
      </c>
      <c r="I132" s="366"/>
    </row>
    <row r="133" spans="2:9" x14ac:dyDescent="0.25">
      <c r="B133" s="364">
        <v>42430</v>
      </c>
      <c r="C133" s="365">
        <v>250</v>
      </c>
      <c r="D133" s="492">
        <v>4.09</v>
      </c>
      <c r="E133" s="366">
        <v>5.47</v>
      </c>
      <c r="F133" s="446">
        <f t="shared" si="50"/>
        <v>345</v>
      </c>
      <c r="G133" s="366">
        <f t="shared" si="51"/>
        <v>1022.5</v>
      </c>
      <c r="H133" s="368">
        <f t="shared" si="52"/>
        <v>0.33740831295843521</v>
      </c>
      <c r="I133" s="366"/>
    </row>
    <row r="134" spans="2:9" x14ac:dyDescent="0.25">
      <c r="B134" s="364">
        <v>42431</v>
      </c>
      <c r="C134" s="365">
        <v>250</v>
      </c>
      <c r="D134" s="492">
        <v>4.09</v>
      </c>
      <c r="E134" s="366">
        <v>5.63</v>
      </c>
      <c r="F134" s="446">
        <f t="shared" si="50"/>
        <v>385</v>
      </c>
      <c r="G134" s="366">
        <f t="shared" si="51"/>
        <v>1022.5</v>
      </c>
      <c r="H134" s="368">
        <f t="shared" si="52"/>
        <v>0.37652811735941322</v>
      </c>
      <c r="I134" s="366"/>
    </row>
    <row r="135" spans="2:9" x14ac:dyDescent="0.25">
      <c r="B135" s="364">
        <v>42436</v>
      </c>
      <c r="C135" s="365">
        <v>0</v>
      </c>
      <c r="D135" s="492"/>
      <c r="E135" s="366">
        <v>5.79</v>
      </c>
      <c r="F135" s="446">
        <v>434.93</v>
      </c>
      <c r="G135" s="366"/>
      <c r="H135" s="368"/>
      <c r="I135" s="36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9" priority="25">
      <formula>F34&gt;0</formula>
    </cfRule>
    <cfRule type="expression" dxfId="168" priority="26">
      <formula>F34&lt;0</formula>
    </cfRule>
  </conditionalFormatting>
  <conditionalFormatting sqref="H124:H131">
    <cfRule type="expression" dxfId="167" priority="23">
      <formula>H124&gt;0</formula>
    </cfRule>
    <cfRule type="expression" dxfId="166" priority="24">
      <formula>H124&lt;0</formula>
    </cfRule>
  </conditionalFormatting>
  <conditionalFormatting sqref="H132">
    <cfRule type="expression" dxfId="165" priority="21">
      <formula>H132&gt;0</formula>
    </cfRule>
    <cfRule type="expression" dxfId="164" priority="22">
      <formula>H132&lt;0</formula>
    </cfRule>
  </conditionalFormatting>
  <conditionalFormatting sqref="Q8">
    <cfRule type="expression" dxfId="163" priority="11">
      <formula>Q8&gt;0</formula>
    </cfRule>
    <cfRule type="expression" dxfId="162" priority="12">
      <formula>Q8&lt;0</formula>
    </cfRule>
  </conditionalFormatting>
  <conditionalFormatting sqref="Q7">
    <cfRule type="expression" dxfId="161" priority="13">
      <formula>Q7&gt;0</formula>
    </cfRule>
    <cfRule type="expression" dxfId="160" priority="14">
      <formula>Q7&lt;0</formula>
    </cfRule>
  </conditionalFormatting>
  <conditionalFormatting sqref="F36:F39">
    <cfRule type="expression" dxfId="159" priority="9">
      <formula>F36&gt;0</formula>
    </cfRule>
    <cfRule type="expression" dxfId="158" priority="10">
      <formula>F36&lt;0</formula>
    </cfRule>
  </conditionalFormatting>
  <conditionalFormatting sqref="H36:H39">
    <cfRule type="expression" dxfId="157" priority="7">
      <formula>H36&gt;0</formula>
    </cfRule>
    <cfRule type="expression" dxfId="156" priority="8">
      <formula>H36&lt;0</formula>
    </cfRule>
  </conditionalFormatting>
  <conditionalFormatting sqref="K65:K99">
    <cfRule type="expression" dxfId="155" priority="5">
      <formula>K65&gt;0</formula>
    </cfRule>
    <cfRule type="expression" dxfId="154" priority="6">
      <formula>K65&lt;0</formula>
    </cfRule>
  </conditionalFormatting>
  <conditionalFormatting sqref="K72">
    <cfRule type="expression" dxfId="153" priority="3">
      <formula>K72&gt;0</formula>
    </cfRule>
    <cfRule type="expression" dxfId="152" priority="4">
      <formula>K72&lt;0</formula>
    </cfRule>
  </conditionalFormatting>
  <conditionalFormatting sqref="M69">
    <cfRule type="expression" dxfId="151" priority="1">
      <formula>M69&gt;0</formula>
    </cfRule>
    <cfRule type="expression" dxfId="15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9">
        <v>43133</v>
      </c>
    </row>
    <row r="2" spans="1:40" x14ac:dyDescent="0.25">
      <c r="A2" s="6" t="s">
        <v>55</v>
      </c>
      <c r="B2" s="77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1">
        <v>28.5</v>
      </c>
      <c r="O2" s="11" t="s">
        <v>57</v>
      </c>
      <c r="Q2">
        <f>C24-H24</f>
        <v>50</v>
      </c>
      <c r="T2" s="1">
        <v>43096</v>
      </c>
      <c r="U2" t="s">
        <v>827</v>
      </c>
      <c r="W2" t="s">
        <v>825</v>
      </c>
      <c r="X2" s="745" t="s">
        <v>809</v>
      </c>
      <c r="Y2" s="771">
        <v>11.5</v>
      </c>
      <c r="Z2" s="771">
        <v>11.5</v>
      </c>
      <c r="AA2" s="2">
        <v>10.6</v>
      </c>
      <c r="AB2" s="2">
        <v>9.5</v>
      </c>
      <c r="AC2" s="771">
        <v>9.83</v>
      </c>
      <c r="AD2">
        <v>11</v>
      </c>
      <c r="AE2" s="744">
        <v>9.98</v>
      </c>
      <c r="AF2" s="744">
        <v>10.199999999999999</v>
      </c>
      <c r="AG2" s="744">
        <v>10.4</v>
      </c>
      <c r="AH2" s="11"/>
      <c r="AI2" s="11"/>
      <c r="AJ2" s="11"/>
      <c r="AK2" s="746"/>
      <c r="AL2" s="746"/>
      <c r="AM2" s="746"/>
      <c r="AN2" s="74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782"/>
      <c r="O3" s="11" t="s">
        <v>58</v>
      </c>
      <c r="Q3" s="224">
        <f>(F24-K24-M24)/Q2</f>
        <v>71.080000000000013</v>
      </c>
      <c r="U3" t="s">
        <v>828</v>
      </c>
      <c r="X3" s="745" t="s">
        <v>810</v>
      </c>
      <c r="Y3" s="771">
        <v>25</v>
      </c>
      <c r="Z3" s="771">
        <v>24.6</v>
      </c>
      <c r="AA3" s="2">
        <v>23.3</v>
      </c>
      <c r="AB3" s="2">
        <v>20.6</v>
      </c>
      <c r="AC3" s="771">
        <v>23.3</v>
      </c>
      <c r="AD3">
        <v>26.3</v>
      </c>
      <c r="AE3" s="744">
        <v>24.8</v>
      </c>
      <c r="AF3" s="744">
        <v>25.5</v>
      </c>
      <c r="AG3" s="744">
        <v>26.5</v>
      </c>
      <c r="AH3" s="746"/>
      <c r="AI3" s="746"/>
      <c r="AJ3" s="746"/>
      <c r="AK3" s="746"/>
      <c r="AL3" s="746"/>
      <c r="AM3" s="744"/>
      <c r="AN3" s="744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72"/>
      <c r="M4" s="3"/>
      <c r="O4" s="11" t="s">
        <v>66</v>
      </c>
      <c r="Q4" s="418">
        <v>75.679900000000004</v>
      </c>
      <c r="R4" s="478">
        <v>2.8E-3</v>
      </c>
      <c r="U4" t="s">
        <v>829</v>
      </c>
      <c r="X4" s="745" t="s">
        <v>811</v>
      </c>
      <c r="Y4" s="771">
        <v>28.5</v>
      </c>
      <c r="Z4" s="771">
        <v>28.8</v>
      </c>
      <c r="AA4" s="2">
        <v>26.9</v>
      </c>
      <c r="AB4" s="2">
        <v>23.9</v>
      </c>
      <c r="AC4" s="771">
        <v>26.6</v>
      </c>
      <c r="AD4">
        <v>30</v>
      </c>
      <c r="AE4" s="744">
        <v>28.5</v>
      </c>
      <c r="AF4" s="744">
        <v>29.3</v>
      </c>
      <c r="AG4" s="744">
        <v>29.9</v>
      </c>
      <c r="AH4" s="775"/>
      <c r="AI4" s="744"/>
      <c r="AK4" s="744"/>
      <c r="AL4" s="744"/>
      <c r="AM4" s="744"/>
      <c r="AN4" s="744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3783.9950000000003</v>
      </c>
      <c r="T5" s="1"/>
      <c r="X5" s="745" t="s">
        <v>812</v>
      </c>
      <c r="Y5" s="771">
        <v>35.200000000000003</v>
      </c>
      <c r="Z5" s="771">
        <v>34.5</v>
      </c>
      <c r="AA5" s="2">
        <v>33.1</v>
      </c>
      <c r="AB5" s="2">
        <v>28.5</v>
      </c>
      <c r="AC5" s="771">
        <v>31.6</v>
      </c>
      <c r="AD5">
        <v>33.799999999999997</v>
      </c>
      <c r="AE5" s="780" t="s">
        <v>836</v>
      </c>
      <c r="AF5" s="744" t="s">
        <v>836</v>
      </c>
      <c r="AG5" s="744" t="s">
        <v>836</v>
      </c>
      <c r="AH5" s="775"/>
      <c r="AI5" s="744"/>
      <c r="AK5" s="744"/>
      <c r="AL5" s="744"/>
      <c r="AM5" s="744"/>
      <c r="AN5" s="744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839</v>
      </c>
      <c r="X6" s="745" t="s">
        <v>813</v>
      </c>
      <c r="Y6" s="771">
        <v>56</v>
      </c>
      <c r="Z6" s="771">
        <v>56.1</v>
      </c>
      <c r="AA6" s="2">
        <v>53.9</v>
      </c>
      <c r="AB6" s="2">
        <v>47.4</v>
      </c>
      <c r="AC6" s="771">
        <v>52.9</v>
      </c>
      <c r="AD6">
        <v>59.7</v>
      </c>
      <c r="AE6" s="744">
        <v>55.4</v>
      </c>
      <c r="AF6" s="744">
        <v>57.8</v>
      </c>
      <c r="AG6" s="744">
        <v>59.8</v>
      </c>
      <c r="AH6" s="775"/>
      <c r="AI6" s="744"/>
      <c r="AK6" s="744"/>
      <c r="AL6" s="744"/>
      <c r="AM6" s="744"/>
      <c r="AN6" s="744"/>
    </row>
    <row r="7" spans="1:40" x14ac:dyDescent="0.25">
      <c r="A7" s="611"/>
      <c r="B7" s="776"/>
      <c r="C7" s="4"/>
      <c r="D7" s="3"/>
      <c r="E7" s="3"/>
      <c r="F7" s="3"/>
      <c r="G7" s="72"/>
      <c r="H7" s="179"/>
      <c r="I7" s="3"/>
      <c r="J7" s="3"/>
      <c r="K7" s="3"/>
      <c r="L7" s="72"/>
      <c r="M7" s="3"/>
      <c r="O7" s="11" t="s">
        <v>178</v>
      </c>
      <c r="Q7" s="2">
        <f>Q10+Q8</f>
        <v>1040.12499999999</v>
      </c>
      <c r="R7">
        <v>50</v>
      </c>
      <c r="X7" s="745" t="s">
        <v>814</v>
      </c>
      <c r="Y7" s="771">
        <v>156.13</v>
      </c>
      <c r="Z7" s="771">
        <v>155.49</v>
      </c>
      <c r="AA7" s="2">
        <v>147.97</v>
      </c>
      <c r="AB7" s="2">
        <v>129.78</v>
      </c>
      <c r="AC7" s="771">
        <v>144.18</v>
      </c>
      <c r="AD7">
        <v>160.76</v>
      </c>
      <c r="AE7" s="744">
        <v>118.63</v>
      </c>
      <c r="AF7" s="744">
        <v>122.86</v>
      </c>
      <c r="AG7" s="744">
        <v>126.61</v>
      </c>
      <c r="AH7" s="775"/>
      <c r="AI7" s="744"/>
      <c r="AN7" s="744"/>
    </row>
    <row r="8" spans="1:40" x14ac:dyDescent="0.25">
      <c r="A8" s="611"/>
      <c r="G8" s="4"/>
      <c r="H8" s="179"/>
      <c r="I8" s="4"/>
      <c r="J8" s="4"/>
      <c r="K8" s="4"/>
      <c r="L8" s="72"/>
      <c r="M8" s="3"/>
      <c r="O8" s="11" t="s">
        <v>180</v>
      </c>
      <c r="P8" s="33"/>
      <c r="Q8" s="2">
        <f>K24+M24-F24+Q2*Q4</f>
        <v>229.99499999999989</v>
      </c>
      <c r="T8" s="1">
        <v>43109</v>
      </c>
      <c r="U8" t="s">
        <v>875</v>
      </c>
      <c r="X8" s="745" t="s">
        <v>826</v>
      </c>
      <c r="Z8" s="742">
        <f>(Z7-Y7)/Y7</f>
        <v>-4.0991481457758683E-3</v>
      </c>
      <c r="AA8" s="742">
        <f>(AA7-Z7)/Z7</f>
        <v>-4.8363238793491609E-2</v>
      </c>
      <c r="AB8" s="742">
        <f>(AB7-AA7)/AA7</f>
        <v>-0.12293032371426639</v>
      </c>
      <c r="AC8" s="742">
        <f>(AC7-AB7)/AB7</f>
        <v>0.1109570041608877</v>
      </c>
      <c r="AD8" s="742">
        <f>(AD7-AC7)/AC7</f>
        <v>0.11499514495769166</v>
      </c>
      <c r="AE8" s="742">
        <f>(AE7-AD7+AD5)/(AD7-AD5)</f>
        <v>-6.5611216131064895E-2</v>
      </c>
      <c r="AF8" s="742">
        <f>(AF7-AE7)/AE7</f>
        <v>3.565708505437077E-2</v>
      </c>
      <c r="AG8" s="742">
        <f>(AG7-AF7)/AF7</f>
        <v>3.052254598730262E-2</v>
      </c>
      <c r="AH8" s="775"/>
      <c r="AI8" s="744"/>
      <c r="AN8" s="744"/>
    </row>
    <row r="9" spans="1:40" x14ac:dyDescent="0.25">
      <c r="A9" s="611"/>
      <c r="B9" s="61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6.4714406302757418E-2</v>
      </c>
      <c r="U9" t="s">
        <v>895</v>
      </c>
      <c r="X9" s="745" t="s">
        <v>837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5"/>
      <c r="AI9" s="744"/>
      <c r="AJ9" s="746"/>
      <c r="AK9" s="746"/>
      <c r="AL9" s="746"/>
      <c r="AM9" s="746"/>
    </row>
    <row r="10" spans="1:40" x14ac:dyDescent="0.25">
      <c r="A10" s="611"/>
      <c r="B10" s="61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5" t="s">
        <v>838</v>
      </c>
      <c r="Z10" s="226">
        <f>(Z9-Y9)/Y9</f>
        <v>-7.9840319361277161E-3</v>
      </c>
      <c r="AA10" s="226">
        <f>(AA9-Z9)/Z9</f>
        <v>-5.5331991951710256E-2</v>
      </c>
      <c r="AB10" s="226">
        <f>(AB9-AA9)/AA9</f>
        <v>-0.1214057507987221</v>
      </c>
      <c r="AC10" s="226">
        <f>(AC9-AB9)/AB9</f>
        <v>0.10703030303030318</v>
      </c>
      <c r="AD10" s="226">
        <f>(AD9-AC9)/AC9</f>
        <v>0.10697470710609855</v>
      </c>
      <c r="AE10" s="226">
        <f>(AE9-(AD9-AD5))/(AD9-AD5)</f>
        <v>-5.9732540861812719E-2</v>
      </c>
      <c r="AF10" s="226">
        <f>(AF9-AE9)/AE9</f>
        <v>2.7180783817951942E-2</v>
      </c>
      <c r="AG10" s="226">
        <f>(AG9-AF9)/AF9</f>
        <v>2.7692307692307648E-2</v>
      </c>
      <c r="AH10" s="11"/>
      <c r="AJ10" s="744"/>
      <c r="AK10" s="744"/>
      <c r="AL10" s="744"/>
      <c r="AM10" s="744"/>
    </row>
    <row r="11" spans="1:40" ht="18" x14ac:dyDescent="0.25">
      <c r="A11" s="611"/>
      <c r="B11" s="611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2.7484180079519131E-2</v>
      </c>
      <c r="R11">
        <f>0.52</f>
        <v>0.52</v>
      </c>
      <c r="T11" s="1">
        <v>43112</v>
      </c>
      <c r="U11" t="s">
        <v>892</v>
      </c>
      <c r="X11" s="745" t="s">
        <v>823</v>
      </c>
      <c r="Y11" s="742">
        <f t="shared" ref="Y11:AD11" si="4">SUM(Y2:Y5)/Y7</f>
        <v>0.64177288157304813</v>
      </c>
      <c r="Z11" s="742">
        <f t="shared" si="4"/>
        <v>0.63926940639269403</v>
      </c>
      <c r="AA11" s="742">
        <f t="shared" si="4"/>
        <v>0.63458809218084755</v>
      </c>
      <c r="AB11" s="742">
        <f t="shared" si="4"/>
        <v>0.63569116967175221</v>
      </c>
      <c r="AC11" s="742">
        <f t="shared" si="4"/>
        <v>0.63344430572894994</v>
      </c>
      <c r="AD11" s="742">
        <f t="shared" si="4"/>
        <v>0.62888778303060466</v>
      </c>
      <c r="AE11" s="742">
        <f>SUM(AE2:AE5)/(AE7-AD5)</f>
        <v>0.74596251326181773</v>
      </c>
      <c r="AF11" s="742">
        <f t="shared" ref="AF11" si="5">SUM(AF2:AF5)/AF7</f>
        <v>0.52905746377991214</v>
      </c>
      <c r="AG11" s="742">
        <f>SUM(AG2:AG5)/AG7</f>
        <v>0.52760445462443728</v>
      </c>
      <c r="AH11" s="11"/>
      <c r="AI11" s="770"/>
      <c r="AJ11" s="744"/>
      <c r="AK11" s="744"/>
      <c r="AL11" s="744"/>
      <c r="AM11" s="744"/>
    </row>
    <row r="12" spans="1:40" x14ac:dyDescent="0.25">
      <c r="A12" s="611"/>
      <c r="B12" s="611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N12" s="5"/>
      <c r="X12" s="46"/>
      <c r="Y12" s="746"/>
      <c r="Z12" s="746"/>
      <c r="AB12" s="745"/>
      <c r="AC12" s="611"/>
      <c r="AD12" s="611"/>
      <c r="AE12" s="744"/>
      <c r="AJ12" s="744"/>
      <c r="AK12" s="744"/>
      <c r="AL12" s="744"/>
      <c r="AM12" s="744"/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997</v>
      </c>
      <c r="Q13">
        <f>Q4/6.46</f>
        <v>11.71515479876161</v>
      </c>
      <c r="T13" s="1">
        <v>43114</v>
      </c>
      <c r="U13" t="s">
        <v>896</v>
      </c>
      <c r="W13" t="s">
        <v>824</v>
      </c>
      <c r="X13" s="745" t="s">
        <v>815</v>
      </c>
      <c r="Y13" s="747">
        <v>105.2</v>
      </c>
      <c r="Z13" s="747">
        <v>99.7</v>
      </c>
      <c r="AA13" s="81">
        <v>95.1</v>
      </c>
      <c r="AB13" s="2">
        <v>78.8</v>
      </c>
      <c r="AC13" s="771">
        <v>82.2</v>
      </c>
      <c r="AD13" s="744">
        <v>89.5</v>
      </c>
      <c r="AE13" s="744">
        <v>80.099999999999994</v>
      </c>
      <c r="AF13" s="744">
        <v>83.9</v>
      </c>
      <c r="AG13" s="744">
        <v>84.4</v>
      </c>
      <c r="AJ13" s="744"/>
      <c r="AK13" s="744"/>
      <c r="AL13" s="744"/>
      <c r="AM13" s="744"/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U14" t="s">
        <v>894</v>
      </c>
      <c r="X14" s="745" t="s">
        <v>816</v>
      </c>
      <c r="Y14" s="747">
        <v>1.77</v>
      </c>
      <c r="Z14" s="747">
        <v>2.23</v>
      </c>
      <c r="AA14" s="81">
        <v>1.39</v>
      </c>
      <c r="AB14" s="2">
        <v>1.42</v>
      </c>
      <c r="AC14" s="771">
        <v>1.56</v>
      </c>
      <c r="AD14" s="744">
        <v>1.73</v>
      </c>
      <c r="AE14" s="744">
        <v>1.36</v>
      </c>
      <c r="AF14" s="744">
        <v>0.93</v>
      </c>
      <c r="AG14" s="744">
        <v>1.08</v>
      </c>
      <c r="AH14" s="746"/>
      <c r="AJ14" s="744"/>
      <c r="AK14" s="744"/>
      <c r="AL14" s="744"/>
      <c r="AM14" s="744"/>
    </row>
    <row r="15" spans="1:40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U15" t="s">
        <v>893</v>
      </c>
      <c r="X15" s="745" t="s">
        <v>817</v>
      </c>
      <c r="Y15" s="747">
        <v>50.7</v>
      </c>
      <c r="Z15" s="747">
        <v>50.6</v>
      </c>
      <c r="AA15" s="81">
        <v>47</v>
      </c>
      <c r="AB15" s="2">
        <v>39.799999999999997</v>
      </c>
      <c r="AC15" s="771">
        <v>42.3</v>
      </c>
      <c r="AD15" s="744">
        <v>47.2</v>
      </c>
      <c r="AE15" s="744">
        <v>41.6</v>
      </c>
      <c r="AF15" s="744">
        <v>45.9</v>
      </c>
      <c r="AG15" s="744">
        <v>46.6</v>
      </c>
      <c r="AH15" s="744"/>
      <c r="AI15" s="746"/>
      <c r="AJ15" s="744"/>
      <c r="AK15" s="744"/>
      <c r="AL15" s="744"/>
      <c r="AM15" s="744"/>
    </row>
    <row r="16" spans="1:40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X16" s="745" t="s">
        <v>818</v>
      </c>
      <c r="Y16" s="747">
        <v>1.1599999999999999</v>
      </c>
      <c r="Z16" s="747">
        <v>1.06</v>
      </c>
      <c r="AA16" s="81">
        <v>0.98</v>
      </c>
      <c r="AB16" s="2">
        <v>0.88</v>
      </c>
      <c r="AC16" s="771">
        <v>0.75</v>
      </c>
      <c r="AD16" s="744">
        <v>0.83</v>
      </c>
      <c r="AE16" s="744">
        <v>0.54</v>
      </c>
      <c r="AF16" s="744">
        <v>0.61</v>
      </c>
      <c r="AG16" s="744">
        <v>0.68</v>
      </c>
      <c r="AH16" s="744"/>
      <c r="AI16" s="744"/>
    </row>
    <row r="17" spans="1:39" ht="18" x14ac:dyDescent="0.25">
      <c r="B17" s="72"/>
      <c r="C17" s="4"/>
      <c r="D17" s="3"/>
      <c r="E17" s="3"/>
      <c r="F17" s="3"/>
      <c r="G17" s="72"/>
      <c r="H17" s="179"/>
      <c r="I17" s="3"/>
      <c r="J17" s="3"/>
      <c r="K17" s="3"/>
      <c r="L17" s="4"/>
      <c r="M17" s="4"/>
      <c r="T17" s="1">
        <v>43117</v>
      </c>
      <c r="U17" t="s">
        <v>912</v>
      </c>
      <c r="X17" s="745" t="s">
        <v>819</v>
      </c>
      <c r="Y17" s="747">
        <v>1.28</v>
      </c>
      <c r="Z17" s="747">
        <v>1.1499999999999999</v>
      </c>
      <c r="AA17" s="81">
        <v>0.61</v>
      </c>
      <c r="AB17" s="2">
        <v>0.56000000000000005</v>
      </c>
      <c r="AC17" s="771">
        <v>0.76</v>
      </c>
      <c r="AD17" s="744">
        <v>0.75</v>
      </c>
      <c r="AE17" s="744">
        <v>0.45</v>
      </c>
      <c r="AF17" s="744">
        <v>0.27</v>
      </c>
      <c r="AG17" s="744">
        <v>0.56000000000000005</v>
      </c>
      <c r="AH17" s="744"/>
      <c r="AI17" s="744"/>
      <c r="AJ17" s="770"/>
    </row>
    <row r="18" spans="1:39" x14ac:dyDescent="0.25">
      <c r="B18" s="72"/>
      <c r="C18" s="4"/>
      <c r="D18" s="3"/>
      <c r="E18" s="3"/>
      <c r="F18" s="3"/>
      <c r="G18" s="72"/>
      <c r="H18" s="179"/>
      <c r="I18" s="3"/>
      <c r="J18" s="3"/>
      <c r="K18" s="3"/>
      <c r="L18" s="4"/>
      <c r="M18" s="4"/>
      <c r="T18" s="1">
        <v>43123</v>
      </c>
      <c r="U18" t="s">
        <v>929</v>
      </c>
      <c r="X18" s="745" t="s">
        <v>820</v>
      </c>
      <c r="Y18" s="747">
        <v>13.1</v>
      </c>
      <c r="Z18" s="747">
        <v>13.1</v>
      </c>
      <c r="AA18" s="81">
        <v>11.3</v>
      </c>
      <c r="AB18" s="2">
        <v>9.99</v>
      </c>
      <c r="AC18" s="771">
        <v>8.75</v>
      </c>
      <c r="AD18" s="744">
        <v>8.01</v>
      </c>
      <c r="AE18" s="744">
        <v>7.65</v>
      </c>
      <c r="AF18" s="744">
        <v>6.94</v>
      </c>
      <c r="AG18" s="744">
        <v>6.8</v>
      </c>
      <c r="AH18" s="744"/>
      <c r="AI18" s="744"/>
      <c r="AJ18" s="744"/>
      <c r="AK18" s="744"/>
      <c r="AL18" s="744"/>
      <c r="AM18" s="744"/>
    </row>
    <row r="19" spans="1:39" x14ac:dyDescent="0.25">
      <c r="B19" s="72"/>
      <c r="C19" s="4"/>
      <c r="D19" s="3"/>
      <c r="E19" s="3"/>
      <c r="F19" s="3"/>
      <c r="G19" s="72"/>
      <c r="H19" s="179"/>
      <c r="I19" s="3"/>
      <c r="J19" s="3"/>
      <c r="K19" s="3"/>
      <c r="L19" s="4"/>
      <c r="M19" s="4"/>
      <c r="T19" s="158">
        <v>43137</v>
      </c>
      <c r="U19" t="s">
        <v>897</v>
      </c>
      <c r="X19" s="745" t="s">
        <v>821</v>
      </c>
      <c r="Y19" s="747">
        <v>0.03</v>
      </c>
      <c r="Z19" s="747">
        <v>0.05</v>
      </c>
      <c r="AA19" s="81" t="s">
        <v>836</v>
      </c>
      <c r="AB19" s="2" t="s">
        <v>836</v>
      </c>
      <c r="AC19" s="771" t="s">
        <v>836</v>
      </c>
      <c r="AD19" s="744" t="s">
        <v>836</v>
      </c>
      <c r="AE19" s="744" t="s">
        <v>836</v>
      </c>
      <c r="AF19" s="744">
        <v>0.02</v>
      </c>
      <c r="AG19" s="744" t="s">
        <v>836</v>
      </c>
      <c r="AH19" s="744"/>
      <c r="AI19" s="744"/>
      <c r="AJ19" s="744"/>
      <c r="AK19" s="744"/>
      <c r="AL19" s="744"/>
      <c r="AM19" s="744"/>
    </row>
    <row r="20" spans="1:39" x14ac:dyDescent="0.25">
      <c r="B20" s="72"/>
      <c r="C20" s="4"/>
      <c r="D20" s="3"/>
      <c r="E20" s="3"/>
      <c r="F20" s="3"/>
      <c r="G20" s="72"/>
      <c r="H20" s="179"/>
      <c r="I20" s="3"/>
      <c r="J20" s="3"/>
      <c r="K20" s="3"/>
      <c r="L20" s="4"/>
      <c r="M20" s="4"/>
      <c r="X20" s="745" t="s">
        <v>822</v>
      </c>
      <c r="Y20" s="747">
        <v>19.600000000000001</v>
      </c>
      <c r="Z20" s="747">
        <v>19.100000000000001</v>
      </c>
      <c r="AA20" s="81">
        <v>18.100000000000001</v>
      </c>
      <c r="AB20" s="2">
        <v>15.8</v>
      </c>
      <c r="AC20" s="771">
        <v>18.2</v>
      </c>
      <c r="AD20" s="744">
        <v>21</v>
      </c>
      <c r="AE20" s="744">
        <v>19.2</v>
      </c>
      <c r="AF20" s="744">
        <v>23.3</v>
      </c>
      <c r="AG20" s="744">
        <v>24.2</v>
      </c>
      <c r="AH20" s="744"/>
      <c r="AI20" s="744"/>
      <c r="AJ20" s="744"/>
      <c r="AK20" s="744"/>
      <c r="AL20" s="744"/>
      <c r="AM20" s="744"/>
    </row>
    <row r="21" spans="1:39" x14ac:dyDescent="0.25">
      <c r="X21" s="745" t="s">
        <v>814</v>
      </c>
      <c r="Y21" s="747">
        <v>192.89</v>
      </c>
      <c r="Z21" s="747">
        <v>187</v>
      </c>
      <c r="AA21" s="81">
        <v>174.4</v>
      </c>
      <c r="AB21" s="81">
        <v>147.34</v>
      </c>
      <c r="AC21" s="771">
        <v>154.44</v>
      </c>
      <c r="AD21" s="744">
        <v>169.08</v>
      </c>
      <c r="AE21" s="744">
        <v>150.96</v>
      </c>
      <c r="AF21" s="744">
        <v>161.86000000000001</v>
      </c>
      <c r="AG21" s="744">
        <v>164.44</v>
      </c>
      <c r="AH21" s="744"/>
      <c r="AI21" s="744"/>
      <c r="AJ21" s="744"/>
      <c r="AK21" s="744"/>
      <c r="AL21" s="744"/>
      <c r="AM21" s="744"/>
    </row>
    <row r="22" spans="1:39" x14ac:dyDescent="0.25">
      <c r="X22" s="745" t="s">
        <v>826</v>
      </c>
      <c r="Y22" s="81"/>
      <c r="Z22" s="748">
        <f t="shared" ref="Z22:AF22" si="6">(Z21-Y21)/Y21</f>
        <v>-3.0535538389755749E-2</v>
      </c>
      <c r="AA22" s="748">
        <f t="shared" si="6"/>
        <v>-6.7379679144385002E-2</v>
      </c>
      <c r="AB22" s="748">
        <f t="shared" si="6"/>
        <v>-0.1551605504587156</v>
      </c>
      <c r="AC22" s="748">
        <f t="shared" si="6"/>
        <v>4.8187864802497586E-2</v>
      </c>
      <c r="AD22" s="748">
        <f t="shared" si="6"/>
        <v>9.4794094794094896E-2</v>
      </c>
      <c r="AE22" s="748">
        <f t="shared" si="6"/>
        <v>-0.10716820440028391</v>
      </c>
      <c r="AF22" s="748">
        <f t="shared" si="6"/>
        <v>7.2204557498675173E-2</v>
      </c>
      <c r="AG22" s="748">
        <f>(AG21-AE21)/AE21</f>
        <v>8.9295177530471573E-2</v>
      </c>
      <c r="AH22" s="744"/>
      <c r="AI22" s="744"/>
      <c r="AJ22" s="744"/>
      <c r="AK22" s="744"/>
      <c r="AL22" s="744"/>
      <c r="AM22" s="744"/>
    </row>
    <row r="23" spans="1:39" x14ac:dyDescent="0.25">
      <c r="C23" s="4"/>
      <c r="D23" s="3"/>
      <c r="E23" s="3"/>
      <c r="F23" s="3"/>
      <c r="H23" s="70"/>
      <c r="X23" s="745" t="s">
        <v>837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4"/>
      <c r="AI23" s="744"/>
      <c r="AJ23" s="744"/>
      <c r="AK23" s="744"/>
      <c r="AL23" s="74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5" t="s">
        <v>838</v>
      </c>
      <c r="Z24" s="226">
        <f t="shared" ref="Z24:AF24" si="10">(Z23-Y23)/Y23</f>
        <v>-3.259973362085377E-2</v>
      </c>
      <c r="AA24" s="226">
        <f t="shared" si="10"/>
        <v>-5.9267029436832049E-2</v>
      </c>
      <c r="AB24" s="226">
        <f t="shared" si="10"/>
        <v>-0.16356540525472166</v>
      </c>
      <c r="AC24" s="226">
        <f t="shared" si="10"/>
        <v>5.0324945842359657E-2</v>
      </c>
      <c r="AD24" s="226">
        <f t="shared" si="10"/>
        <v>9.8127875614786642E-2</v>
      </c>
      <c r="AE24" s="226">
        <f t="shared" si="10"/>
        <v>-0.11103084591490286</v>
      </c>
      <c r="AF24" s="226">
        <f t="shared" si="10"/>
        <v>6.232732000650102E-2</v>
      </c>
      <c r="AG24" s="226">
        <f>(AG23-AE23)/AE23</f>
        <v>7.3297578417032425E-2</v>
      </c>
      <c r="AI24" s="744"/>
      <c r="AJ24" s="744"/>
      <c r="AK24" s="744"/>
      <c r="AL24" s="744"/>
    </row>
    <row r="25" spans="1:39" ht="15.75" thickBot="1" x14ac:dyDescent="0.3">
      <c r="A25" s="344" t="s">
        <v>194</v>
      </c>
      <c r="B25" s="345"/>
      <c r="C25" s="346">
        <f>SumByColor($A$25,C2:C23)</f>
        <v>0</v>
      </c>
      <c r="D25" s="346"/>
      <c r="E25" s="346"/>
      <c r="F25" s="347">
        <f>SumByColor($A$25,F2:F23)</f>
        <v>0</v>
      </c>
      <c r="G25" s="346"/>
      <c r="H25" s="346">
        <f>SumByColor($A$25,H2:H23)</f>
        <v>0</v>
      </c>
      <c r="I25" s="346"/>
      <c r="J25" s="346"/>
      <c r="K25" s="347">
        <f>SumByColor($A$25,K2:K23)</f>
        <v>0</v>
      </c>
      <c r="L25" s="346"/>
      <c r="M25" s="347">
        <f>SumByColor($A$25,M2:M23)</f>
        <v>28</v>
      </c>
      <c r="X25" s="745" t="s">
        <v>823</v>
      </c>
      <c r="Y25" s="748">
        <f t="shared" ref="Y25:AD25" si="11">Y23/Y21</f>
        <v>0.81740888589351457</v>
      </c>
      <c r="Z25" s="748">
        <f t="shared" si="11"/>
        <v>0.81566844919786097</v>
      </c>
      <c r="AA25" s="748">
        <f t="shared" si="11"/>
        <v>0.82276376146788999</v>
      </c>
      <c r="AB25" s="748">
        <f t="shared" si="11"/>
        <v>0.81457852585855839</v>
      </c>
      <c r="AC25" s="748">
        <f t="shared" si="11"/>
        <v>0.81623931623931623</v>
      </c>
      <c r="AD25" s="748">
        <f t="shared" si="11"/>
        <v>0.81872486396971844</v>
      </c>
      <c r="AE25" s="748">
        <f t="shared" ref="AE25" si="12">AE23/AE21</f>
        <v>0.81518282988871227</v>
      </c>
      <c r="AF25" s="748">
        <f t="shared" ref="AF25" si="13">AF23/AF21</f>
        <v>0.80767329791177567</v>
      </c>
      <c r="AG25" s="74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189" t="s">
        <v>154</v>
      </c>
      <c r="J29" s="650" t="s">
        <v>504</v>
      </c>
      <c r="K29" s="650" t="s">
        <v>150</v>
      </c>
    </row>
    <row r="30" spans="1:39" x14ac:dyDescent="0.25">
      <c r="A30">
        <v>50</v>
      </c>
      <c r="B30" s="187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5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7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5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7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5">
        <f t="shared" ref="H32" si="22">(E32-D32)/D32</f>
        <v>6.0635903207653379E-2</v>
      </c>
      <c r="I32" s="342"/>
      <c r="J32" s="10"/>
      <c r="K32" s="39">
        <v>1026</v>
      </c>
      <c r="L32" t="s">
        <v>185</v>
      </c>
    </row>
    <row r="33" spans="1:22" x14ac:dyDescent="0.25">
      <c r="A33" s="4"/>
      <c r="B33" s="187"/>
      <c r="C33" s="10"/>
      <c r="D33" s="39"/>
      <c r="E33" s="39"/>
      <c r="F33" s="39"/>
      <c r="G33" s="39"/>
      <c r="H33" s="225"/>
      <c r="I33" s="39"/>
      <c r="J33" s="10"/>
      <c r="K33" s="39"/>
    </row>
    <row r="34" spans="1:22" x14ac:dyDescent="0.25">
      <c r="A34" s="4"/>
      <c r="B34" s="187"/>
      <c r="C34" s="10"/>
      <c r="D34" s="39"/>
      <c r="E34" s="39"/>
      <c r="F34" s="39"/>
      <c r="G34" s="39"/>
      <c r="H34" s="226"/>
      <c r="I34" s="39"/>
      <c r="J34" s="10"/>
      <c r="K34" s="39"/>
    </row>
    <row r="35" spans="1:22" x14ac:dyDescent="0.25">
      <c r="A35" s="4"/>
      <c r="B35" s="187"/>
      <c r="C35" s="10"/>
      <c r="D35" s="39"/>
      <c r="E35" s="39"/>
      <c r="F35" s="39"/>
      <c r="G35" s="39"/>
      <c r="H35" s="226"/>
      <c r="I35" s="342"/>
      <c r="J35" s="10"/>
      <c r="K35" s="39"/>
    </row>
    <row r="36" spans="1:22" x14ac:dyDescent="0.25">
      <c r="A36" s="4"/>
      <c r="B36" s="187"/>
      <c r="C36" s="10"/>
      <c r="D36" s="39"/>
      <c r="E36" s="39"/>
      <c r="F36" s="39"/>
      <c r="G36" s="39"/>
      <c r="H36" s="226"/>
      <c r="I36" s="196"/>
      <c r="J36" s="10"/>
      <c r="K36" s="39"/>
    </row>
    <row r="37" spans="1:22" x14ac:dyDescent="0.25">
      <c r="A37" s="4"/>
      <c r="B37" s="187"/>
      <c r="C37" s="10"/>
      <c r="D37" s="39"/>
      <c r="E37" s="39"/>
      <c r="F37" s="39"/>
      <c r="G37" s="39"/>
      <c r="H37" s="226"/>
      <c r="I37" s="342"/>
      <c r="J37" s="10"/>
      <c r="K37" s="39"/>
    </row>
    <row r="38" spans="1:22" x14ac:dyDescent="0.25">
      <c r="A38" s="8"/>
      <c r="B38" s="187"/>
      <c r="C38" s="10"/>
      <c r="D38" s="39"/>
      <c r="E38" s="39"/>
      <c r="F38" s="39"/>
      <c r="G38" s="39"/>
      <c r="H38" s="226"/>
      <c r="I38" s="39"/>
      <c r="J38" s="10"/>
      <c r="K38" s="39"/>
      <c r="L38" s="8"/>
      <c r="M38" s="8"/>
    </row>
    <row r="39" spans="1:22" x14ac:dyDescent="0.25">
      <c r="A39" s="8"/>
      <c r="B39" s="187"/>
      <c r="C39" s="10"/>
      <c r="D39" s="39"/>
      <c r="E39" s="39"/>
      <c r="F39" s="39"/>
      <c r="G39" s="39"/>
      <c r="H39" s="226"/>
      <c r="I39" s="196"/>
      <c r="J39" s="10"/>
      <c r="K39" s="39"/>
      <c r="L39" s="8"/>
      <c r="M39" s="8"/>
    </row>
    <row r="40" spans="1:22" x14ac:dyDescent="0.25">
      <c r="A40" s="8"/>
      <c r="B40" s="187"/>
      <c r="C40" s="10"/>
      <c r="D40" s="39"/>
      <c r="E40" s="39"/>
      <c r="F40" s="39"/>
      <c r="G40" s="39"/>
      <c r="H40" s="226"/>
      <c r="I40" s="342"/>
      <c r="J40" s="10"/>
      <c r="K40" s="39"/>
    </row>
    <row r="41" spans="1:22" x14ac:dyDescent="0.25">
      <c r="A41" s="8"/>
      <c r="B41" s="187"/>
      <c r="C41" s="10"/>
      <c r="D41" s="39"/>
      <c r="E41" s="39"/>
      <c r="F41" s="39"/>
      <c r="G41" s="39"/>
      <c r="H41" s="226"/>
      <c r="I41" s="342"/>
      <c r="J41" s="10"/>
      <c r="K41" s="39"/>
    </row>
    <row r="42" spans="1:22" ht="20.25" thickBot="1" x14ac:dyDescent="0.35">
      <c r="A42" s="8"/>
      <c r="B42" s="187"/>
      <c r="C42" s="10"/>
      <c r="D42" s="39"/>
      <c r="E42" s="39"/>
      <c r="F42" s="39"/>
      <c r="G42" s="39"/>
      <c r="H42" s="226"/>
      <c r="I42" s="196"/>
      <c r="J42" s="10"/>
      <c r="K42" s="39"/>
      <c r="O42" s="847" t="s">
        <v>78</v>
      </c>
      <c r="P42" s="847"/>
      <c r="T42" s="89" t="s">
        <v>112</v>
      </c>
    </row>
    <row r="43" spans="1:22" ht="15.75" thickTop="1" x14ac:dyDescent="0.25">
      <c r="A43" s="8"/>
      <c r="B43" s="187"/>
      <c r="C43" s="10"/>
      <c r="D43" s="39"/>
      <c r="E43" s="39"/>
      <c r="F43" s="39"/>
      <c r="G43" s="39"/>
      <c r="H43" s="225"/>
      <c r="I43" s="196"/>
      <c r="J43" s="10"/>
      <c r="K43" s="39"/>
      <c r="O43" s="81">
        <v>1.1000000000000001</v>
      </c>
      <c r="P43" s="81">
        <f>O43*$Q$4</f>
        <v>83.247890000000012</v>
      </c>
      <c r="Q43" s="2"/>
      <c r="T43" s="125" t="s">
        <v>97</v>
      </c>
      <c r="U43" s="96">
        <v>66.98</v>
      </c>
      <c r="V43" s="749"/>
    </row>
    <row r="44" spans="1:22" x14ac:dyDescent="0.25">
      <c r="A44" s="8"/>
      <c r="B44" s="187"/>
      <c r="C44" s="10"/>
      <c r="D44" s="39"/>
      <c r="E44" s="39"/>
      <c r="F44" s="39"/>
      <c r="G44" s="39"/>
      <c r="H44" s="226"/>
      <c r="I44" s="196"/>
      <c r="J44" s="10"/>
      <c r="K44" s="39"/>
      <c r="O44" s="81">
        <v>1.0900000000000001</v>
      </c>
      <c r="P44" s="81">
        <f t="shared" ref="P44:P63" si="23">O44*$Q$4</f>
        <v>82.491091000000011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7"/>
      <c r="C45" s="10"/>
      <c r="D45" s="39"/>
      <c r="E45" s="39"/>
      <c r="F45" s="39"/>
      <c r="G45" s="39"/>
      <c r="H45" s="226"/>
      <c r="I45" s="342"/>
      <c r="J45" s="10"/>
      <c r="K45" s="39"/>
      <c r="O45" s="81">
        <v>1.08</v>
      </c>
      <c r="P45" s="81">
        <f t="shared" si="23"/>
        <v>81.734292000000011</v>
      </c>
      <c r="Q45" s="2"/>
      <c r="T45" s="91" t="s">
        <v>99</v>
      </c>
      <c r="U45" s="86" t="s">
        <v>659</v>
      </c>
      <c r="V45" s="86"/>
    </row>
    <row r="46" spans="1:22" x14ac:dyDescent="0.25">
      <c r="A46" s="8"/>
      <c r="B46" s="187"/>
      <c r="C46" s="10"/>
      <c r="D46" s="39"/>
      <c r="E46" s="39"/>
      <c r="F46" s="39"/>
      <c r="G46" s="39"/>
      <c r="H46" s="226"/>
      <c r="I46" s="196"/>
      <c r="J46" s="196"/>
      <c r="K46" s="39"/>
      <c r="O46" s="81">
        <v>1.07</v>
      </c>
      <c r="P46" s="81">
        <f t="shared" si="23"/>
        <v>80.97749300000001</v>
      </c>
      <c r="Q46" s="2"/>
      <c r="T46" s="91" t="s">
        <v>100</v>
      </c>
      <c r="U46" s="86" t="s">
        <v>660</v>
      </c>
      <c r="V46" s="86"/>
    </row>
    <row r="47" spans="1:22" x14ac:dyDescent="0.25">
      <c r="A47" s="8"/>
      <c r="B47" s="187"/>
      <c r="C47" s="10"/>
      <c r="D47" s="39"/>
      <c r="E47" s="39"/>
      <c r="F47" s="39"/>
      <c r="G47" s="39"/>
      <c r="H47" s="226"/>
      <c r="I47" s="196"/>
      <c r="J47" s="196"/>
      <c r="K47" s="39"/>
      <c r="O47" s="81">
        <v>1.06</v>
      </c>
      <c r="P47" s="81">
        <f t="shared" si="23"/>
        <v>80.220694000000009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7"/>
      <c r="C48" s="10"/>
      <c r="D48" s="39"/>
      <c r="E48" s="39"/>
      <c r="F48" s="39"/>
      <c r="G48" s="39"/>
      <c r="H48" s="226"/>
      <c r="I48" s="342"/>
      <c r="J48" s="10"/>
      <c r="K48" s="39"/>
      <c r="O48" s="81">
        <v>1.05</v>
      </c>
      <c r="P48" s="81">
        <f t="shared" si="23"/>
        <v>79.463895000000008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7"/>
      <c r="C49" s="10"/>
      <c r="D49" s="39"/>
      <c r="E49" s="39"/>
      <c r="F49" s="39"/>
      <c r="G49" s="39"/>
      <c r="H49" s="226"/>
      <c r="I49" s="342"/>
      <c r="J49" s="10"/>
      <c r="K49" s="39"/>
      <c r="O49" s="81">
        <v>1.04</v>
      </c>
      <c r="P49" s="81">
        <f t="shared" si="23"/>
        <v>78.707096000000007</v>
      </c>
      <c r="Q49" s="2"/>
      <c r="T49" s="91" t="s">
        <v>103</v>
      </c>
      <c r="U49" s="86" t="s">
        <v>559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6"/>
      <c r="I50" s="342"/>
      <c r="J50" s="10"/>
      <c r="K50" s="10"/>
      <c r="O50" s="81">
        <v>1.03</v>
      </c>
      <c r="P50" s="81">
        <f t="shared" si="23"/>
        <v>77.950297000000006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6"/>
      <c r="I51" s="342"/>
      <c r="J51" s="10"/>
      <c r="K51" s="10"/>
      <c r="O51" s="81">
        <v>1.02</v>
      </c>
      <c r="P51" s="81">
        <f t="shared" si="23"/>
        <v>77.193498000000005</v>
      </c>
      <c r="Q51" s="2"/>
      <c r="T51" s="91" t="s">
        <v>104</v>
      </c>
      <c r="U51" s="86" t="s">
        <v>661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6"/>
      <c r="I52" s="342"/>
      <c r="J52" s="10"/>
      <c r="K52" s="10"/>
      <c r="O52" s="81">
        <v>1.01</v>
      </c>
      <c r="P52" s="81">
        <f t="shared" si="23"/>
        <v>76.436699000000004</v>
      </c>
      <c r="Q52" s="2"/>
      <c r="T52" s="91" t="s">
        <v>105</v>
      </c>
      <c r="U52" s="86" t="s">
        <v>418</v>
      </c>
      <c r="V52" s="86"/>
    </row>
    <row r="53" spans="1:22" x14ac:dyDescent="0.25">
      <c r="O53" s="81">
        <v>1</v>
      </c>
      <c r="P53" s="81">
        <f t="shared" si="23"/>
        <v>75.679900000000004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74.923101000000003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71" t="s">
        <v>1</v>
      </c>
      <c r="B55" s="371" t="s">
        <v>2</v>
      </c>
      <c r="C55" s="371" t="s">
        <v>4</v>
      </c>
      <c r="D55" s="373" t="s">
        <v>5</v>
      </c>
      <c r="E55" s="373" t="s">
        <v>94</v>
      </c>
      <c r="F55" s="373" t="s">
        <v>60</v>
      </c>
      <c r="G55" s="371" t="s">
        <v>3</v>
      </c>
      <c r="H55" s="371" t="s">
        <v>6</v>
      </c>
      <c r="I55" s="371" t="s">
        <v>7</v>
      </c>
      <c r="J55" s="371" t="s">
        <v>95</v>
      </c>
      <c r="K55" s="371" t="s">
        <v>61</v>
      </c>
      <c r="L55" s="371" t="s">
        <v>37</v>
      </c>
      <c r="M55" s="371" t="s">
        <v>38</v>
      </c>
      <c r="O55" s="81">
        <v>0.98</v>
      </c>
      <c r="P55" s="81">
        <f t="shared" si="23"/>
        <v>74.166302000000002</v>
      </c>
      <c r="Q55" s="2"/>
      <c r="T55" s="91" t="s">
        <v>107</v>
      </c>
      <c r="U55" s="86" t="s">
        <v>662</v>
      </c>
      <c r="V55" s="86"/>
    </row>
    <row r="56" spans="1:22" x14ac:dyDescent="0.25">
      <c r="A56" s="374" t="s">
        <v>55</v>
      </c>
      <c r="B56" s="364">
        <v>42214</v>
      </c>
      <c r="C56" s="365">
        <v>10</v>
      </c>
      <c r="D56" s="366">
        <v>113.01</v>
      </c>
      <c r="E56" s="366">
        <v>0</v>
      </c>
      <c r="F56" s="366">
        <f t="shared" ref="F56:F81" si="24">C56*D56 + E56</f>
        <v>1130.1000000000001</v>
      </c>
      <c r="G56" s="364">
        <v>42263</v>
      </c>
      <c r="H56" s="369">
        <v>10</v>
      </c>
      <c r="I56" s="366">
        <v>109.35</v>
      </c>
      <c r="J56" s="366">
        <v>0.02</v>
      </c>
      <c r="K56" s="366">
        <f>I56*H56-J56</f>
        <v>1093.48</v>
      </c>
      <c r="L56" s="364">
        <v>42276</v>
      </c>
      <c r="M56" s="366">
        <v>6.45</v>
      </c>
      <c r="O56" s="81">
        <v>0.97</v>
      </c>
      <c r="P56" s="81">
        <f t="shared" si="23"/>
        <v>73.409503000000001</v>
      </c>
      <c r="T56" s="91" t="s">
        <v>110</v>
      </c>
      <c r="U56" s="86">
        <v>6.69</v>
      </c>
      <c r="V56" s="86"/>
    </row>
    <row r="57" spans="1:22" x14ac:dyDescent="0.25">
      <c r="A57" s="375" t="s">
        <v>71</v>
      </c>
      <c r="B57" s="364">
        <v>42247</v>
      </c>
      <c r="C57" s="365">
        <v>15</v>
      </c>
      <c r="D57" s="366">
        <v>105.85</v>
      </c>
      <c r="E57" s="366">
        <v>0</v>
      </c>
      <c r="F57" s="366">
        <f t="shared" si="24"/>
        <v>1587.75</v>
      </c>
      <c r="G57" s="364">
        <v>42284</v>
      </c>
      <c r="H57" s="369">
        <v>10</v>
      </c>
      <c r="I57" s="366">
        <v>97.5</v>
      </c>
      <c r="J57" s="366">
        <v>0.02</v>
      </c>
      <c r="K57" s="366">
        <f>I57*H57-J57</f>
        <v>974.98</v>
      </c>
      <c r="L57" s="364">
        <v>42369</v>
      </c>
      <c r="M57" s="366">
        <v>10.75</v>
      </c>
      <c r="O57" s="81">
        <v>0.96</v>
      </c>
      <c r="P57" s="81">
        <f t="shared" si="23"/>
        <v>72.652704</v>
      </c>
      <c r="T57" s="91" t="s">
        <v>111</v>
      </c>
      <c r="U57" s="86">
        <v>9.94</v>
      </c>
      <c r="V57" s="86"/>
    </row>
    <row r="58" spans="1:22" x14ac:dyDescent="0.25">
      <c r="A58" s="365"/>
      <c r="B58" s="364">
        <v>42278</v>
      </c>
      <c r="C58" s="365">
        <v>10</v>
      </c>
      <c r="D58" s="366">
        <v>96.7</v>
      </c>
      <c r="E58" s="366">
        <v>0</v>
      </c>
      <c r="F58" s="366">
        <f t="shared" si="24"/>
        <v>967</v>
      </c>
      <c r="G58" s="364">
        <v>42409</v>
      </c>
      <c r="H58" s="369">
        <v>10</v>
      </c>
      <c r="I58" s="366">
        <v>88.05</v>
      </c>
      <c r="J58" s="366">
        <v>0.02</v>
      </c>
      <c r="K58" s="366">
        <f>I58*H58-J58</f>
        <v>880.48</v>
      </c>
      <c r="L58" s="364">
        <v>42460</v>
      </c>
      <c r="M58" s="366">
        <v>30.1</v>
      </c>
      <c r="O58" s="81">
        <v>0.95</v>
      </c>
      <c r="P58" s="81">
        <f t="shared" si="23"/>
        <v>71.895904999999999</v>
      </c>
      <c r="T58" s="91" t="s">
        <v>108</v>
      </c>
      <c r="U58" s="86" t="s">
        <v>560</v>
      </c>
      <c r="V58" s="86"/>
    </row>
    <row r="59" spans="1:22" x14ac:dyDescent="0.25">
      <c r="A59" s="365"/>
      <c r="B59" s="364">
        <v>42284</v>
      </c>
      <c r="C59" s="365">
        <v>10</v>
      </c>
      <c r="D59" s="366">
        <v>94.5</v>
      </c>
      <c r="E59" s="366">
        <v>0</v>
      </c>
      <c r="F59" s="366">
        <f t="shared" si="24"/>
        <v>945</v>
      </c>
      <c r="G59" s="364">
        <v>42447</v>
      </c>
      <c r="H59" s="369">
        <v>20</v>
      </c>
      <c r="I59" s="366">
        <v>90.59</v>
      </c>
      <c r="J59" s="366">
        <v>0.04</v>
      </c>
      <c r="K59" s="366">
        <f>I59*H59-J59</f>
        <v>1811.7600000000002</v>
      </c>
      <c r="L59" s="364">
        <v>42550</v>
      </c>
      <c r="M59" s="366">
        <v>47</v>
      </c>
      <c r="O59" s="81">
        <v>0.94</v>
      </c>
      <c r="P59" s="81">
        <f t="shared" si="23"/>
        <v>71.139105999999998</v>
      </c>
    </row>
    <row r="60" spans="1:22" x14ac:dyDescent="0.25">
      <c r="A60" s="365"/>
      <c r="B60" s="701">
        <v>42376</v>
      </c>
      <c r="C60" s="365">
        <v>25</v>
      </c>
      <c r="D60" s="366">
        <v>96.5</v>
      </c>
      <c r="E60" s="366">
        <v>0</v>
      </c>
      <c r="F60" s="366">
        <f t="shared" si="24"/>
        <v>2412.5</v>
      </c>
      <c r="G60" s="364">
        <v>42478</v>
      </c>
      <c r="H60" s="369">
        <v>25</v>
      </c>
      <c r="I60" s="366">
        <v>99.45</v>
      </c>
      <c r="J60" s="366">
        <v>0.05</v>
      </c>
      <c r="K60" s="366">
        <f>I60*H60-J60</f>
        <v>2486.1999999999998</v>
      </c>
      <c r="L60" s="364">
        <v>42642</v>
      </c>
      <c r="M60" s="366">
        <v>94</v>
      </c>
      <c r="O60" s="81">
        <v>0.93</v>
      </c>
      <c r="P60" s="81">
        <f t="shared" si="23"/>
        <v>70.382307000000011</v>
      </c>
    </row>
    <row r="61" spans="1:22" x14ac:dyDescent="0.25">
      <c r="A61" s="365"/>
      <c r="B61" s="364">
        <v>42402</v>
      </c>
      <c r="C61" s="365">
        <v>10</v>
      </c>
      <c r="D61" s="366">
        <v>82.55</v>
      </c>
      <c r="E61" s="366">
        <v>0</v>
      </c>
      <c r="F61" s="366">
        <f t="shared" si="24"/>
        <v>825.5</v>
      </c>
      <c r="G61" s="365"/>
      <c r="H61" s="365"/>
      <c r="I61" s="365"/>
      <c r="J61" s="365"/>
      <c r="K61" s="365"/>
      <c r="L61" s="364">
        <v>42734</v>
      </c>
      <c r="M61" s="366">
        <v>117.5</v>
      </c>
      <c r="O61" s="81">
        <v>0.92</v>
      </c>
      <c r="P61" s="81">
        <f t="shared" si="23"/>
        <v>69.625508000000011</v>
      </c>
    </row>
    <row r="62" spans="1:22" x14ac:dyDescent="0.25">
      <c r="A62" s="365"/>
      <c r="B62" s="364">
        <v>42426</v>
      </c>
      <c r="C62" s="365">
        <v>20</v>
      </c>
      <c r="D62" s="366">
        <v>88.03</v>
      </c>
      <c r="E62" s="366">
        <v>0</v>
      </c>
      <c r="F62" s="366">
        <f t="shared" si="24"/>
        <v>1760.6</v>
      </c>
      <c r="G62" s="365"/>
      <c r="H62" s="369"/>
      <c r="I62" s="365"/>
      <c r="J62" s="365"/>
      <c r="K62" s="365"/>
      <c r="L62" s="364">
        <v>42824</v>
      </c>
      <c r="M62" s="366">
        <v>130</v>
      </c>
      <c r="O62" s="81">
        <v>0.91</v>
      </c>
      <c r="P62" s="81">
        <f t="shared" si="23"/>
        <v>68.86870900000001</v>
      </c>
    </row>
    <row r="63" spans="1:22" x14ac:dyDescent="0.25">
      <c r="A63" s="387"/>
      <c r="B63" s="364">
        <v>42488</v>
      </c>
      <c r="C63" s="365">
        <v>25</v>
      </c>
      <c r="D63" s="366">
        <v>98.25</v>
      </c>
      <c r="E63" s="366">
        <v>0</v>
      </c>
      <c r="F63" s="366">
        <f t="shared" si="24"/>
        <v>2456.25</v>
      </c>
      <c r="G63" s="365"/>
      <c r="H63" s="365"/>
      <c r="I63" s="365"/>
      <c r="J63" s="365"/>
      <c r="K63" s="365"/>
      <c r="L63" s="364">
        <v>42916</v>
      </c>
      <c r="M63" s="366">
        <v>130</v>
      </c>
      <c r="O63" s="81">
        <v>0.9</v>
      </c>
      <c r="P63" s="81">
        <f t="shared" si="23"/>
        <v>68.111910000000009</v>
      </c>
    </row>
    <row r="64" spans="1:22" x14ac:dyDescent="0.25">
      <c r="A64" s="387" t="s">
        <v>212</v>
      </c>
      <c r="B64" s="364">
        <v>42489</v>
      </c>
      <c r="C64" s="365">
        <v>20</v>
      </c>
      <c r="D64" s="366">
        <v>90.34</v>
      </c>
      <c r="E64" s="366">
        <v>0</v>
      </c>
      <c r="F64" s="366">
        <f t="shared" si="24"/>
        <v>1806.8000000000002</v>
      </c>
      <c r="G64" s="365"/>
      <c r="H64" s="365"/>
      <c r="I64" s="365"/>
      <c r="J64" s="365"/>
      <c r="K64" s="365"/>
      <c r="L64" s="365"/>
      <c r="M64" s="365"/>
    </row>
    <row r="65" spans="1:13" x14ac:dyDescent="0.25">
      <c r="A65" s="387">
        <v>92.64</v>
      </c>
      <c r="B65" s="364">
        <v>42489</v>
      </c>
      <c r="C65" s="365">
        <v>30</v>
      </c>
      <c r="D65" s="366">
        <v>89.5</v>
      </c>
      <c r="E65" s="366">
        <v>0</v>
      </c>
      <c r="F65" s="366">
        <f t="shared" si="24"/>
        <v>2685</v>
      </c>
      <c r="G65" s="364">
        <v>42552</v>
      </c>
      <c r="H65" s="369">
        <v>100</v>
      </c>
      <c r="I65" s="366">
        <v>83.74</v>
      </c>
      <c r="J65" s="366">
        <v>0.18</v>
      </c>
      <c r="K65" s="366">
        <f t="shared" ref="K65:K80" si="25">I65*H65-J65</f>
        <v>8373.82</v>
      </c>
      <c r="L65" s="365"/>
      <c r="M65" s="365"/>
    </row>
    <row r="66" spans="1:13" x14ac:dyDescent="0.25">
      <c r="A66" s="365"/>
      <c r="B66" s="364">
        <v>42545</v>
      </c>
      <c r="C66" s="365">
        <v>100</v>
      </c>
      <c r="D66" s="366">
        <v>80.47</v>
      </c>
      <c r="E66" s="366">
        <v>0</v>
      </c>
      <c r="F66" s="366">
        <f t="shared" si="24"/>
        <v>8047</v>
      </c>
      <c r="G66" s="364">
        <v>42646</v>
      </c>
      <c r="H66" s="369">
        <v>50</v>
      </c>
      <c r="I66" s="366">
        <v>77.7</v>
      </c>
      <c r="J66" s="366">
        <v>0.08</v>
      </c>
      <c r="K66" s="366">
        <f t="shared" si="25"/>
        <v>3884.92</v>
      </c>
      <c r="L66" s="365"/>
      <c r="M66" s="365"/>
    </row>
    <row r="67" spans="1:13" x14ac:dyDescent="0.25">
      <c r="A67" s="365"/>
      <c r="B67" s="364">
        <v>42577</v>
      </c>
      <c r="C67" s="365">
        <v>20</v>
      </c>
      <c r="D67" s="366">
        <v>80.64</v>
      </c>
      <c r="E67" s="366">
        <v>0</v>
      </c>
      <c r="F67" s="366">
        <f t="shared" si="24"/>
        <v>1612.8</v>
      </c>
      <c r="G67" s="364">
        <v>42683</v>
      </c>
      <c r="H67" s="369">
        <v>50</v>
      </c>
      <c r="I67" s="366">
        <v>78.98</v>
      </c>
      <c r="J67" s="366">
        <v>0.09</v>
      </c>
      <c r="K67" s="366">
        <f t="shared" si="25"/>
        <v>3948.91</v>
      </c>
      <c r="L67" s="365"/>
      <c r="M67" s="365"/>
    </row>
    <row r="68" spans="1:13" x14ac:dyDescent="0.25">
      <c r="A68" s="365"/>
      <c r="B68" s="364">
        <v>42580</v>
      </c>
      <c r="C68" s="365">
        <v>30</v>
      </c>
      <c r="D68" s="366">
        <v>79.38</v>
      </c>
      <c r="E68" s="366">
        <v>0</v>
      </c>
      <c r="F68" s="366">
        <f t="shared" si="24"/>
        <v>2381.3999999999996</v>
      </c>
      <c r="G68" s="364">
        <v>42685</v>
      </c>
      <c r="H68" s="369">
        <v>50</v>
      </c>
      <c r="I68" s="365">
        <v>76.45</v>
      </c>
      <c r="J68" s="365">
        <v>0.08</v>
      </c>
      <c r="K68" s="366">
        <f t="shared" si="25"/>
        <v>3822.42</v>
      </c>
      <c r="L68" s="365"/>
      <c r="M68" s="365"/>
    </row>
    <row r="69" spans="1:13" x14ac:dyDescent="0.25">
      <c r="A69" s="365"/>
      <c r="B69" s="364">
        <v>42608</v>
      </c>
      <c r="C69" s="365">
        <v>20</v>
      </c>
      <c r="D69" s="366">
        <v>79.28</v>
      </c>
      <c r="E69" s="366">
        <v>0</v>
      </c>
      <c r="F69" s="366">
        <f t="shared" si="24"/>
        <v>1585.6</v>
      </c>
      <c r="G69" s="364">
        <v>42697</v>
      </c>
      <c r="H69" s="369">
        <v>50</v>
      </c>
      <c r="I69" s="366">
        <v>75.3</v>
      </c>
      <c r="J69" s="366">
        <v>0.08</v>
      </c>
      <c r="K69" s="366">
        <f t="shared" si="25"/>
        <v>3764.92</v>
      </c>
      <c r="L69" s="365"/>
      <c r="M69" s="365"/>
    </row>
    <row r="70" spans="1:13" x14ac:dyDescent="0.25">
      <c r="A70" s="365"/>
      <c r="B70" s="364">
        <v>42611</v>
      </c>
      <c r="C70" s="365">
        <v>30</v>
      </c>
      <c r="D70" s="366">
        <v>77.680000000000007</v>
      </c>
      <c r="E70" s="366">
        <v>0</v>
      </c>
      <c r="F70" s="366">
        <f t="shared" si="24"/>
        <v>2330.4</v>
      </c>
      <c r="G70" s="364">
        <v>42717</v>
      </c>
      <c r="H70" s="369">
        <v>50</v>
      </c>
      <c r="I70" s="366">
        <v>74.78</v>
      </c>
      <c r="J70" s="366">
        <v>0.08</v>
      </c>
      <c r="K70" s="366">
        <f t="shared" si="25"/>
        <v>3738.92</v>
      </c>
      <c r="L70" s="365"/>
      <c r="M70" s="365"/>
    </row>
    <row r="71" spans="1:13" x14ac:dyDescent="0.25">
      <c r="A71" s="365"/>
      <c r="B71" s="364">
        <v>42646</v>
      </c>
      <c r="C71" s="365">
        <v>50</v>
      </c>
      <c r="D71" s="366">
        <v>77.28</v>
      </c>
      <c r="E71" s="366">
        <v>0</v>
      </c>
      <c r="F71" s="366">
        <f t="shared" si="24"/>
        <v>3864</v>
      </c>
      <c r="G71" s="364">
        <v>42717</v>
      </c>
      <c r="H71" s="369">
        <v>50</v>
      </c>
      <c r="I71" s="366">
        <v>75.73</v>
      </c>
      <c r="J71" s="366">
        <v>0.08</v>
      </c>
      <c r="K71" s="366">
        <f t="shared" si="25"/>
        <v>3786.42</v>
      </c>
      <c r="L71" s="365"/>
      <c r="M71" s="365"/>
    </row>
    <row r="72" spans="1:13" x14ac:dyDescent="0.25">
      <c r="A72" s="365"/>
      <c r="B72" s="364">
        <v>42649</v>
      </c>
      <c r="C72" s="365">
        <v>50</v>
      </c>
      <c r="D72" s="366">
        <v>76.38</v>
      </c>
      <c r="E72" s="366">
        <v>0</v>
      </c>
      <c r="F72" s="366">
        <f t="shared" si="24"/>
        <v>3819</v>
      </c>
      <c r="G72" s="364">
        <v>42738</v>
      </c>
      <c r="H72" s="369">
        <v>50</v>
      </c>
      <c r="I72" s="366">
        <v>73.58</v>
      </c>
      <c r="J72" s="366">
        <v>0.08</v>
      </c>
      <c r="K72" s="366">
        <f t="shared" si="25"/>
        <v>3678.92</v>
      </c>
      <c r="L72" s="365"/>
      <c r="M72" s="365"/>
    </row>
    <row r="73" spans="1:13" x14ac:dyDescent="0.25">
      <c r="A73" s="365"/>
      <c r="B73" s="364">
        <v>42685</v>
      </c>
      <c r="C73" s="365">
        <v>50</v>
      </c>
      <c r="D73" s="366">
        <v>75.78</v>
      </c>
      <c r="E73" s="366">
        <v>0</v>
      </c>
      <c r="F73" s="366">
        <f t="shared" si="24"/>
        <v>3789</v>
      </c>
      <c r="G73" s="364">
        <v>42760</v>
      </c>
      <c r="H73" s="369">
        <v>50</v>
      </c>
      <c r="I73" s="366">
        <v>71.78</v>
      </c>
      <c r="J73" s="366">
        <v>0.08</v>
      </c>
      <c r="K73" s="366">
        <f t="shared" si="25"/>
        <v>3588.92</v>
      </c>
      <c r="L73" s="365"/>
      <c r="M73" s="365"/>
    </row>
    <row r="74" spans="1:13" x14ac:dyDescent="0.25">
      <c r="A74" s="365"/>
      <c r="B74" s="364">
        <v>42692</v>
      </c>
      <c r="C74" s="365">
        <v>50</v>
      </c>
      <c r="D74" s="366">
        <v>74.45</v>
      </c>
      <c r="E74" s="366">
        <v>0</v>
      </c>
      <c r="F74" s="366">
        <f t="shared" si="24"/>
        <v>3722.5</v>
      </c>
      <c r="G74" s="364">
        <v>42781</v>
      </c>
      <c r="H74" s="369">
        <v>50</v>
      </c>
      <c r="I74" s="366">
        <v>68.98</v>
      </c>
      <c r="J74" s="366">
        <v>0.08</v>
      </c>
      <c r="K74" s="366">
        <f t="shared" si="25"/>
        <v>3448.92</v>
      </c>
      <c r="L74" s="365"/>
      <c r="M74" s="365"/>
    </row>
    <row r="75" spans="1:13" x14ac:dyDescent="0.25">
      <c r="A75" s="365"/>
      <c r="B75" s="364">
        <v>42705</v>
      </c>
      <c r="C75" s="365">
        <v>50</v>
      </c>
      <c r="D75" s="366">
        <v>73.319999999999993</v>
      </c>
      <c r="E75" s="366">
        <v>0</v>
      </c>
      <c r="F75" s="366">
        <f t="shared" si="24"/>
        <v>3665.9999999999995</v>
      </c>
      <c r="G75" s="364">
        <v>42781</v>
      </c>
      <c r="H75" s="369">
        <v>50</v>
      </c>
      <c r="I75" s="366">
        <v>69.75</v>
      </c>
      <c r="J75" s="366">
        <v>0.08</v>
      </c>
      <c r="K75" s="366">
        <f t="shared" si="25"/>
        <v>3487.42</v>
      </c>
      <c r="L75" s="365"/>
      <c r="M75" s="365"/>
    </row>
    <row r="76" spans="1:13" x14ac:dyDescent="0.25">
      <c r="A76" s="365"/>
      <c r="B76" s="364">
        <v>42717</v>
      </c>
      <c r="C76" s="365">
        <v>50</v>
      </c>
      <c r="D76" s="366">
        <v>75.180000000000007</v>
      </c>
      <c r="E76" s="366">
        <v>0</v>
      </c>
      <c r="F76" s="366">
        <f t="shared" si="24"/>
        <v>3759.0000000000005</v>
      </c>
      <c r="G76" s="364">
        <v>42940</v>
      </c>
      <c r="H76" s="369">
        <v>50</v>
      </c>
      <c r="I76" s="366">
        <v>74.08</v>
      </c>
      <c r="J76" s="366">
        <v>0.09</v>
      </c>
      <c r="K76" s="366">
        <f t="shared" si="25"/>
        <v>3703.91</v>
      </c>
      <c r="L76" s="365"/>
      <c r="M76" s="365"/>
    </row>
    <row r="77" spans="1:13" x14ac:dyDescent="0.25">
      <c r="A77" s="365"/>
      <c r="B77" s="364">
        <v>42733</v>
      </c>
      <c r="C77" s="365">
        <v>50</v>
      </c>
      <c r="D77" s="366">
        <v>72.08</v>
      </c>
      <c r="E77" s="366">
        <v>0</v>
      </c>
      <c r="F77" s="366">
        <f t="shared" si="24"/>
        <v>3604</v>
      </c>
      <c r="G77" s="364">
        <v>42977</v>
      </c>
      <c r="H77" s="369">
        <v>50</v>
      </c>
      <c r="I77" s="366">
        <v>80.08</v>
      </c>
      <c r="J77" s="366">
        <v>0.09</v>
      </c>
      <c r="K77" s="366">
        <f t="shared" si="25"/>
        <v>4003.91</v>
      </c>
      <c r="L77" s="365"/>
      <c r="M77" s="365"/>
    </row>
    <row r="78" spans="1:13" x14ac:dyDescent="0.25">
      <c r="A78" s="365"/>
      <c r="B78" s="364">
        <v>42752</v>
      </c>
      <c r="C78" s="365">
        <v>50</v>
      </c>
      <c r="D78" s="366">
        <v>71.88</v>
      </c>
      <c r="E78" s="366">
        <v>0</v>
      </c>
      <c r="F78" s="366">
        <f t="shared" si="24"/>
        <v>3594</v>
      </c>
      <c r="G78" s="364">
        <v>42977</v>
      </c>
      <c r="H78" s="369">
        <v>50</v>
      </c>
      <c r="I78" s="366">
        <v>81.08</v>
      </c>
      <c r="J78" s="366">
        <v>0.09</v>
      </c>
      <c r="K78" s="366">
        <f t="shared" si="25"/>
        <v>4053.91</v>
      </c>
      <c r="L78" s="365"/>
      <c r="M78" s="365"/>
    </row>
    <row r="79" spans="1:13" x14ac:dyDescent="0.25">
      <c r="A79" s="365"/>
      <c r="B79" s="364">
        <v>42755</v>
      </c>
      <c r="C79" s="365">
        <v>50</v>
      </c>
      <c r="D79" s="366">
        <v>70.78</v>
      </c>
      <c r="E79" s="366">
        <v>0</v>
      </c>
      <c r="F79" s="366">
        <f t="shared" si="24"/>
        <v>3539</v>
      </c>
      <c r="G79" s="364">
        <v>42978</v>
      </c>
      <c r="H79" s="369">
        <v>50</v>
      </c>
      <c r="I79" s="366">
        <v>83.18</v>
      </c>
      <c r="J79" s="366">
        <v>0.1</v>
      </c>
      <c r="K79" s="366">
        <f t="shared" si="25"/>
        <v>4158.8999999999996</v>
      </c>
      <c r="L79" s="365"/>
      <c r="M79" s="365"/>
    </row>
    <row r="80" spans="1:13" x14ac:dyDescent="0.25">
      <c r="A80" s="365"/>
      <c r="B80" s="364">
        <v>42773</v>
      </c>
      <c r="C80" s="365">
        <v>50</v>
      </c>
      <c r="D80" s="366">
        <v>69.48</v>
      </c>
      <c r="E80" s="366">
        <v>0</v>
      </c>
      <c r="F80" s="366">
        <f t="shared" si="24"/>
        <v>3474</v>
      </c>
      <c r="G80" s="364">
        <v>42984</v>
      </c>
      <c r="H80" s="369">
        <v>50</v>
      </c>
      <c r="I80" s="366">
        <v>82.98</v>
      </c>
      <c r="J80" s="366">
        <v>-0.03</v>
      </c>
      <c r="K80" s="366">
        <f t="shared" si="25"/>
        <v>4149.03</v>
      </c>
      <c r="L80" s="365"/>
      <c r="M80" s="365"/>
    </row>
    <row r="81" spans="1:13" x14ac:dyDescent="0.25">
      <c r="A81" s="365"/>
      <c r="B81" s="364">
        <v>42774</v>
      </c>
      <c r="C81" s="365">
        <v>50</v>
      </c>
      <c r="D81" s="366">
        <v>67.680000000000007</v>
      </c>
      <c r="E81" s="366">
        <v>0</v>
      </c>
      <c r="F81" s="366">
        <f t="shared" si="24"/>
        <v>3384.0000000000005</v>
      </c>
      <c r="G81" s="365"/>
      <c r="H81" s="365"/>
      <c r="I81" s="365"/>
      <c r="J81" s="365"/>
      <c r="K81" s="365"/>
      <c r="L81" s="365"/>
      <c r="M81" s="365"/>
    </row>
    <row r="82" spans="1:13" x14ac:dyDescent="0.25">
      <c r="A82" s="365"/>
      <c r="B82" s="364"/>
      <c r="C82" s="365"/>
      <c r="D82" s="366"/>
      <c r="E82" s="366"/>
      <c r="F82" s="366"/>
      <c r="G82" s="365"/>
      <c r="H82" s="365"/>
      <c r="I82" s="365"/>
      <c r="J82" s="365"/>
      <c r="K82" s="365"/>
      <c r="L82" s="365"/>
      <c r="M82" s="365"/>
    </row>
    <row r="83" spans="1:13" x14ac:dyDescent="0.25">
      <c r="A83" s="365"/>
      <c r="B83" s="437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37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1">
        <v>26</v>
      </c>
    </row>
    <row r="84" spans="1:13" x14ac:dyDescent="0.25">
      <c r="A84" s="365"/>
      <c r="B84" s="437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37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0">
        <v>52</v>
      </c>
    </row>
    <row r="85" spans="1:13" x14ac:dyDescent="0.25">
      <c r="A85" s="365"/>
      <c r="B85" s="437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37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5"/>
      <c r="B86" s="437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37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5"/>
      <c r="B87" s="437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37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5"/>
      <c r="B88" s="781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37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5"/>
      <c r="B89" s="364"/>
      <c r="C89" s="365"/>
      <c r="D89" s="366"/>
      <c r="E89" s="366"/>
      <c r="F89" s="366"/>
      <c r="G89" s="365"/>
      <c r="H89" s="365"/>
      <c r="I89" s="365"/>
      <c r="J89" s="365"/>
      <c r="K89" s="365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5"/>
      <c r="H90" s="365"/>
      <c r="I90" s="365"/>
      <c r="J90" s="365"/>
      <c r="K90" s="365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5"/>
      <c r="H91" s="365"/>
      <c r="I91" s="365"/>
      <c r="J91" s="365"/>
      <c r="K91" s="365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5"/>
      <c r="H92" s="365"/>
      <c r="I92" s="365"/>
      <c r="J92" s="365"/>
      <c r="K92" s="365"/>
      <c r="L92" s="365"/>
      <c r="M92" s="365"/>
    </row>
    <row r="93" spans="1:13" x14ac:dyDescent="0.25">
      <c r="A93" s="365"/>
      <c r="B93" s="365"/>
      <c r="C93" s="365"/>
      <c r="D93" s="366"/>
      <c r="E93" s="366"/>
      <c r="F93" s="366"/>
      <c r="G93" s="365"/>
      <c r="H93" s="365"/>
      <c r="I93" s="365"/>
      <c r="J93" s="365"/>
      <c r="K93" s="365"/>
      <c r="L93" s="365"/>
      <c r="M93" s="365"/>
    </row>
    <row r="94" spans="1:13" x14ac:dyDescent="0.25">
      <c r="A94" s="365"/>
      <c r="B94" s="365"/>
      <c r="C94" s="365"/>
      <c r="D94" s="366"/>
      <c r="E94" s="366"/>
      <c r="F94" s="366"/>
      <c r="G94" s="365"/>
      <c r="H94" s="369"/>
      <c r="I94" s="365"/>
      <c r="J94" s="365"/>
      <c r="K94" s="365"/>
      <c r="L94" s="365"/>
      <c r="M94" s="365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7" t="s">
        <v>194</v>
      </c>
      <c r="B96" s="448"/>
      <c r="C96" s="449">
        <f>SumByColor($A$25,C56:C94)</f>
        <v>300</v>
      </c>
      <c r="D96" s="449"/>
      <c r="E96" s="449"/>
      <c r="F96" s="450">
        <f>SumByColor($A$25,F56:F94)</f>
        <v>23205</v>
      </c>
      <c r="G96" s="449"/>
      <c r="H96" s="449">
        <f>SumByColor($A$25,H56:H94)</f>
        <v>300</v>
      </c>
      <c r="I96" s="449"/>
      <c r="J96" s="449"/>
      <c r="K96" s="450">
        <f>SumByColor($A$25,K56:K94)</f>
        <v>23278</v>
      </c>
      <c r="L96" s="449"/>
      <c r="M96" s="450">
        <f>SumByColor($A$25,M56:M94)</f>
        <v>78</v>
      </c>
    </row>
    <row r="103" spans="1:12" x14ac:dyDescent="0.25">
      <c r="A103" s="702"/>
      <c r="B103" s="702"/>
      <c r="C103" s="702"/>
      <c r="D103" s="703"/>
      <c r="E103" s="703"/>
      <c r="F103" s="703"/>
      <c r="G103" s="702"/>
      <c r="H103" s="702"/>
      <c r="I103" s="702"/>
      <c r="J103" s="702"/>
      <c r="K103" s="702"/>
      <c r="L103" s="702"/>
    </row>
    <row r="104" spans="1:12" x14ac:dyDescent="0.25">
      <c r="A104" s="702"/>
      <c r="B104" s="487" t="s">
        <v>113</v>
      </c>
      <c r="C104" s="487" t="s">
        <v>146</v>
      </c>
      <c r="D104" s="488" t="s">
        <v>145</v>
      </c>
      <c r="E104" s="489" t="s">
        <v>147</v>
      </c>
      <c r="F104" s="490" t="s">
        <v>65</v>
      </c>
      <c r="G104" s="491" t="s">
        <v>151</v>
      </c>
      <c r="H104" s="490" t="s">
        <v>88</v>
      </c>
      <c r="I104" s="490" t="s">
        <v>154</v>
      </c>
      <c r="J104" s="704" t="s">
        <v>504</v>
      </c>
      <c r="K104" s="704" t="s">
        <v>150</v>
      </c>
      <c r="L104" s="702"/>
    </row>
    <row r="105" spans="1:12" x14ac:dyDescent="0.25">
      <c r="A105" s="365"/>
      <c r="B105" s="364">
        <v>42304</v>
      </c>
      <c r="C105" s="365">
        <v>25</v>
      </c>
      <c r="D105" s="366">
        <v>102.2</v>
      </c>
      <c r="E105" s="366">
        <v>110.96</v>
      </c>
      <c r="F105" s="366">
        <f>C105*(E105-D105)</f>
        <v>218.99999999999977</v>
      </c>
      <c r="G105" s="366">
        <f>D105*C105</f>
        <v>2555</v>
      </c>
      <c r="H105" s="367">
        <f>(E105-D105)/D105</f>
        <v>8.5714285714285618E-2</v>
      </c>
      <c r="I105" s="705"/>
      <c r="J105" s="365"/>
      <c r="K105" s="365"/>
      <c r="L105" s="365"/>
    </row>
    <row r="106" spans="1:12" x14ac:dyDescent="0.25">
      <c r="A106" s="365"/>
      <c r="B106" s="364">
        <v>42332</v>
      </c>
      <c r="C106" s="365">
        <v>25</v>
      </c>
      <c r="D106" s="366">
        <v>102.2</v>
      </c>
      <c r="E106" s="366">
        <v>106.36</v>
      </c>
      <c r="F106" s="366">
        <f t="shared" ref="F106:F114" si="28">C106*(E106-D106)</f>
        <v>103.99999999999991</v>
      </c>
      <c r="G106" s="366">
        <f t="shared" ref="G106:G169" si="29">D106*C106</f>
        <v>2555</v>
      </c>
      <c r="H106" s="367">
        <f t="shared" ref="H106:H169" si="30">(E106-D106)/D106</f>
        <v>4.070450097847355E-2</v>
      </c>
      <c r="I106" s="705"/>
      <c r="J106" s="365"/>
      <c r="K106" s="365"/>
      <c r="L106" s="365"/>
    </row>
    <row r="107" spans="1:12" x14ac:dyDescent="0.25">
      <c r="A107" s="365"/>
      <c r="B107" s="364">
        <v>42349</v>
      </c>
      <c r="C107" s="365">
        <v>25</v>
      </c>
      <c r="D107" s="366">
        <v>102.2</v>
      </c>
      <c r="E107" s="366">
        <v>100.03</v>
      </c>
      <c r="F107" s="366">
        <f t="shared" si="28"/>
        <v>-54.250000000000043</v>
      </c>
      <c r="G107" s="366">
        <f t="shared" si="29"/>
        <v>2555</v>
      </c>
      <c r="H107" s="367">
        <f t="shared" si="30"/>
        <v>-2.1232876712328784E-2</v>
      </c>
      <c r="I107" s="705"/>
      <c r="J107" s="365"/>
      <c r="K107" s="365"/>
      <c r="L107" s="365"/>
    </row>
    <row r="108" spans="1:12" x14ac:dyDescent="0.25">
      <c r="A108" s="365"/>
      <c r="B108" s="364">
        <v>42361</v>
      </c>
      <c r="C108" s="365">
        <v>25</v>
      </c>
      <c r="D108" s="366">
        <v>102.2</v>
      </c>
      <c r="E108" s="366">
        <v>102.86</v>
      </c>
      <c r="F108" s="366">
        <f t="shared" si="28"/>
        <v>16.499999999999915</v>
      </c>
      <c r="G108" s="366">
        <f t="shared" si="29"/>
        <v>2555</v>
      </c>
      <c r="H108" s="367">
        <f t="shared" si="30"/>
        <v>6.4579256360077939E-3</v>
      </c>
      <c r="I108" s="705"/>
      <c r="J108" s="365"/>
      <c r="K108" s="365"/>
      <c r="L108" s="365"/>
    </row>
    <row r="109" spans="1:12" x14ac:dyDescent="0.25">
      <c r="A109" s="365"/>
      <c r="B109" s="364">
        <v>42376</v>
      </c>
      <c r="C109" s="386">
        <v>50</v>
      </c>
      <c r="D109" s="385">
        <v>99.13</v>
      </c>
      <c r="E109" s="385">
        <v>96.25</v>
      </c>
      <c r="F109" s="366">
        <f t="shared" si="28"/>
        <v>-143.99999999999977</v>
      </c>
      <c r="G109" s="366">
        <f t="shared" si="29"/>
        <v>4956.5</v>
      </c>
      <c r="H109" s="367">
        <f t="shared" si="30"/>
        <v>-2.9052759003328918E-2</v>
      </c>
      <c r="I109" s="705"/>
      <c r="J109" s="365"/>
      <c r="K109" s="365"/>
      <c r="L109" s="365"/>
    </row>
    <row r="110" spans="1:12" x14ac:dyDescent="0.25">
      <c r="A110" s="365"/>
      <c r="B110" s="364">
        <v>42402</v>
      </c>
      <c r="C110" s="386">
        <v>60</v>
      </c>
      <c r="D110" s="385">
        <v>96.37</v>
      </c>
      <c r="E110" s="385">
        <v>82.71</v>
      </c>
      <c r="F110" s="366">
        <f t="shared" si="28"/>
        <v>-819.60000000000059</v>
      </c>
      <c r="G110" s="366">
        <f t="shared" si="29"/>
        <v>5782.2000000000007</v>
      </c>
      <c r="H110" s="367">
        <f t="shared" si="30"/>
        <v>-0.14174535643872585</v>
      </c>
      <c r="I110" s="705"/>
      <c r="J110" s="365"/>
      <c r="K110" s="365"/>
      <c r="L110" s="365"/>
    </row>
    <row r="111" spans="1:12" x14ac:dyDescent="0.25">
      <c r="A111" s="365"/>
      <c r="B111" s="364">
        <v>42409</v>
      </c>
      <c r="C111" s="386">
        <v>50</v>
      </c>
      <c r="D111" s="385">
        <v>98.03</v>
      </c>
      <c r="E111" s="385">
        <v>87.25</v>
      </c>
      <c r="F111" s="366">
        <f t="shared" si="28"/>
        <v>-539</v>
      </c>
      <c r="G111" s="366">
        <f t="shared" si="29"/>
        <v>4901.5</v>
      </c>
      <c r="H111" s="367">
        <f t="shared" si="30"/>
        <v>-0.10996633683566256</v>
      </c>
      <c r="I111" s="705"/>
      <c r="J111" s="365"/>
      <c r="K111" s="365"/>
      <c r="L111" s="365"/>
    </row>
    <row r="112" spans="1:12" x14ac:dyDescent="0.25">
      <c r="A112" s="365"/>
      <c r="B112" s="364">
        <v>42426</v>
      </c>
      <c r="C112" s="386">
        <v>70</v>
      </c>
      <c r="D112" s="385">
        <v>95.18</v>
      </c>
      <c r="E112" s="385">
        <v>88.03</v>
      </c>
      <c r="F112" s="366">
        <f t="shared" si="28"/>
        <v>-500.5000000000004</v>
      </c>
      <c r="G112" s="366">
        <f t="shared" si="29"/>
        <v>6662.6</v>
      </c>
      <c r="H112" s="368">
        <f t="shared" si="30"/>
        <v>-7.5120823702458553E-2</v>
      </c>
      <c r="I112" s="706"/>
      <c r="J112" s="365"/>
      <c r="K112" s="365"/>
      <c r="L112" s="365"/>
    </row>
    <row r="113" spans="1:12" x14ac:dyDescent="0.25">
      <c r="A113" s="365"/>
      <c r="B113" s="364">
        <v>42430</v>
      </c>
      <c r="C113" s="386">
        <v>70</v>
      </c>
      <c r="D113" s="385">
        <v>95.18</v>
      </c>
      <c r="E113" s="385">
        <v>89.69</v>
      </c>
      <c r="F113" s="366">
        <f t="shared" si="28"/>
        <v>-384.30000000000064</v>
      </c>
      <c r="G113" s="366">
        <f t="shared" si="29"/>
        <v>6662.6</v>
      </c>
      <c r="H113" s="368">
        <f t="shared" si="30"/>
        <v>-5.7680184912796896E-2</v>
      </c>
      <c r="I113" s="706"/>
      <c r="J113" s="365"/>
      <c r="K113" s="365"/>
      <c r="L113" s="365"/>
    </row>
    <row r="114" spans="1:12" x14ac:dyDescent="0.25">
      <c r="A114" s="365"/>
      <c r="B114" s="364">
        <v>42431</v>
      </c>
      <c r="C114" s="386">
        <v>70</v>
      </c>
      <c r="D114" s="385">
        <v>95.18</v>
      </c>
      <c r="E114" s="385">
        <v>88.8</v>
      </c>
      <c r="F114" s="366">
        <f t="shared" si="28"/>
        <v>-446.6000000000007</v>
      </c>
      <c r="G114" s="366">
        <f t="shared" si="29"/>
        <v>6662.6</v>
      </c>
      <c r="H114" s="368">
        <f t="shared" si="30"/>
        <v>-6.7030888842193839E-2</v>
      </c>
      <c r="I114" s="706"/>
      <c r="J114" s="365"/>
      <c r="K114" s="365"/>
      <c r="L114" s="365"/>
    </row>
    <row r="115" spans="1:12" x14ac:dyDescent="0.25">
      <c r="A115" s="365"/>
      <c r="B115" s="364">
        <v>42445</v>
      </c>
      <c r="C115" s="386">
        <v>70</v>
      </c>
      <c r="D115" s="385">
        <v>95.176000000000002</v>
      </c>
      <c r="E115" s="385">
        <v>90.28</v>
      </c>
      <c r="F115" s="366">
        <f>C115*(E115-D115)</f>
        <v>-342.72</v>
      </c>
      <c r="G115" s="366">
        <f t="shared" si="29"/>
        <v>6662.32</v>
      </c>
      <c r="H115" s="368">
        <f t="shared" si="30"/>
        <v>-5.1441539884004378E-2</v>
      </c>
      <c r="I115" s="706"/>
      <c r="J115" s="365"/>
      <c r="K115" s="365"/>
      <c r="L115" s="365"/>
    </row>
    <row r="116" spans="1:12" x14ac:dyDescent="0.25">
      <c r="A116" s="365"/>
      <c r="B116" s="364">
        <v>42447</v>
      </c>
      <c r="C116" s="386">
        <v>50</v>
      </c>
      <c r="D116" s="385">
        <v>97.010999999999996</v>
      </c>
      <c r="E116" s="385">
        <v>90.59</v>
      </c>
      <c r="F116" s="366">
        <f>C116*(E116-D116)</f>
        <v>-321.04999999999961</v>
      </c>
      <c r="G116" s="366">
        <f t="shared" si="29"/>
        <v>4850.55</v>
      </c>
      <c r="H116" s="368">
        <f t="shared" si="30"/>
        <v>-6.6188370390986517E-2</v>
      </c>
      <c r="I116" s="706"/>
      <c r="J116" s="365"/>
      <c r="K116" s="365"/>
      <c r="L116" s="365"/>
    </row>
    <row r="117" spans="1:12" x14ac:dyDescent="0.25">
      <c r="A117" s="365"/>
      <c r="B117" s="364">
        <v>42452</v>
      </c>
      <c r="C117" s="386">
        <v>50</v>
      </c>
      <c r="D117" s="385">
        <v>97.010999999999996</v>
      </c>
      <c r="E117" s="385">
        <v>93.72</v>
      </c>
      <c r="F117" s="366">
        <f>C117*(E117-D117)</f>
        <v>-164.54999999999984</v>
      </c>
      <c r="G117" s="366">
        <f t="shared" si="29"/>
        <v>4850.55</v>
      </c>
      <c r="H117" s="368">
        <f t="shared" si="30"/>
        <v>-3.3923988001360636E-2</v>
      </c>
      <c r="I117" s="706"/>
      <c r="J117" s="365"/>
      <c r="K117" s="365"/>
      <c r="L117" s="365"/>
    </row>
    <row r="118" spans="1:12" x14ac:dyDescent="0.25">
      <c r="A118" s="365"/>
      <c r="B118" s="364">
        <v>42459</v>
      </c>
      <c r="C118" s="386">
        <v>50</v>
      </c>
      <c r="D118" s="385">
        <v>96.409000000000006</v>
      </c>
      <c r="E118" s="385">
        <v>91.97</v>
      </c>
      <c r="F118" s="366">
        <f t="shared" ref="F118:F181" si="31">C118*(E118-D118)</f>
        <v>-221.95000000000036</v>
      </c>
      <c r="G118" s="366">
        <f t="shared" si="29"/>
        <v>4820.4500000000007</v>
      </c>
      <c r="H118" s="368">
        <f t="shared" si="30"/>
        <v>-4.604341918285644E-2</v>
      </c>
      <c r="I118" s="706" t="s">
        <v>185</v>
      </c>
      <c r="J118" s="365"/>
      <c r="K118" s="365"/>
      <c r="L118" s="365"/>
    </row>
    <row r="119" spans="1:12" x14ac:dyDescent="0.25">
      <c r="A119" s="365"/>
      <c r="B119" s="364">
        <v>42469</v>
      </c>
      <c r="C119" s="386">
        <v>50</v>
      </c>
      <c r="D119" s="385">
        <v>96.409000000000006</v>
      </c>
      <c r="E119" s="385">
        <v>96.09</v>
      </c>
      <c r="F119" s="366">
        <f t="shared" si="31"/>
        <v>-15.950000000000131</v>
      </c>
      <c r="G119" s="366">
        <f t="shared" si="29"/>
        <v>4820.4500000000007</v>
      </c>
      <c r="H119" s="368">
        <f t="shared" si="30"/>
        <v>-3.3088197160016449E-3</v>
      </c>
      <c r="I119" s="706"/>
      <c r="J119" s="365"/>
      <c r="K119" s="365"/>
      <c r="L119" s="365"/>
    </row>
    <row r="120" spans="1:12" x14ac:dyDescent="0.25">
      <c r="A120" s="365"/>
      <c r="B120" s="364">
        <v>42475</v>
      </c>
      <c r="C120" s="386">
        <v>50</v>
      </c>
      <c r="D120" s="385">
        <v>96.409000000000006</v>
      </c>
      <c r="E120" s="385">
        <v>98.29</v>
      </c>
      <c r="F120" s="366">
        <f t="shared" si="31"/>
        <v>94.050000000000011</v>
      </c>
      <c r="G120" s="366">
        <f t="shared" si="29"/>
        <v>4820.4500000000007</v>
      </c>
      <c r="H120" s="368">
        <f t="shared" si="30"/>
        <v>1.951062660125092E-2</v>
      </c>
      <c r="I120" s="706"/>
      <c r="J120" s="365"/>
      <c r="K120" s="365"/>
      <c r="L120" s="365"/>
    </row>
    <row r="121" spans="1:12" x14ac:dyDescent="0.25">
      <c r="A121" s="365"/>
      <c r="B121" s="364">
        <v>42478</v>
      </c>
      <c r="C121" s="386">
        <v>25</v>
      </c>
      <c r="D121" s="385">
        <v>93.37</v>
      </c>
      <c r="E121" s="385">
        <v>99.2</v>
      </c>
      <c r="F121" s="366">
        <f t="shared" si="31"/>
        <v>145.74999999999994</v>
      </c>
      <c r="G121" s="366">
        <f t="shared" si="29"/>
        <v>2334.25</v>
      </c>
      <c r="H121" s="368">
        <f t="shared" si="30"/>
        <v>6.2439755810217393E-2</v>
      </c>
      <c r="I121" s="706"/>
      <c r="J121" s="365"/>
      <c r="K121" s="365"/>
      <c r="L121" s="365"/>
    </row>
    <row r="122" spans="1:12" x14ac:dyDescent="0.25">
      <c r="A122" s="365"/>
      <c r="B122" s="364">
        <v>42488</v>
      </c>
      <c r="C122" s="386">
        <v>50</v>
      </c>
      <c r="D122" s="385">
        <v>95.81</v>
      </c>
      <c r="E122" s="385">
        <v>97</v>
      </c>
      <c r="F122" s="366">
        <f t="shared" si="31"/>
        <v>59.499999999999886</v>
      </c>
      <c r="G122" s="366">
        <f t="shared" si="29"/>
        <v>4790.5</v>
      </c>
      <c r="H122" s="368">
        <f t="shared" si="30"/>
        <v>1.2420415405490009E-2</v>
      </c>
      <c r="I122" s="706"/>
      <c r="J122" s="365"/>
      <c r="K122" s="365"/>
      <c r="L122" s="365"/>
    </row>
    <row r="123" spans="1:12" x14ac:dyDescent="0.25">
      <c r="A123" s="365"/>
      <c r="B123" s="364">
        <v>42489</v>
      </c>
      <c r="C123" s="386">
        <v>70</v>
      </c>
      <c r="D123" s="385">
        <v>94.247</v>
      </c>
      <c r="E123" s="366">
        <v>88.21</v>
      </c>
      <c r="F123" s="366">
        <f t="shared" si="31"/>
        <v>-422.59000000000043</v>
      </c>
      <c r="G123" s="366">
        <f t="shared" si="29"/>
        <v>6597.29</v>
      </c>
      <c r="H123" s="368">
        <f t="shared" si="30"/>
        <v>-6.4055089286661704E-2</v>
      </c>
      <c r="I123" s="706"/>
      <c r="J123" s="365"/>
      <c r="K123" s="365"/>
      <c r="L123" s="365"/>
    </row>
    <row r="124" spans="1:12" x14ac:dyDescent="0.25">
      <c r="A124" s="365"/>
      <c r="B124" s="364">
        <v>42489</v>
      </c>
      <c r="C124" s="365">
        <v>100</v>
      </c>
      <c r="D124" s="366">
        <v>92.822999999999993</v>
      </c>
      <c r="E124" s="366">
        <v>88.21</v>
      </c>
      <c r="F124" s="366">
        <f t="shared" si="31"/>
        <v>-461.29999999999995</v>
      </c>
      <c r="G124" s="366">
        <f t="shared" si="29"/>
        <v>9282.2999999999993</v>
      </c>
      <c r="H124" s="368">
        <f t="shared" si="30"/>
        <v>-4.9696734645508119E-2</v>
      </c>
      <c r="I124" s="706"/>
      <c r="J124" s="365"/>
      <c r="K124" s="365"/>
      <c r="L124" s="365"/>
    </row>
    <row r="125" spans="1:12" x14ac:dyDescent="0.25">
      <c r="A125" s="365"/>
      <c r="B125" s="364">
        <v>42498</v>
      </c>
      <c r="C125" s="365">
        <v>100</v>
      </c>
      <c r="D125" s="366">
        <v>92.822999999999993</v>
      </c>
      <c r="E125" s="366">
        <v>84.68</v>
      </c>
      <c r="F125" s="366">
        <f t="shared" si="31"/>
        <v>-814.29999999999859</v>
      </c>
      <c r="G125" s="366">
        <f t="shared" si="29"/>
        <v>9282.2999999999993</v>
      </c>
      <c r="H125" s="368">
        <f t="shared" si="30"/>
        <v>-8.7726102366870146E-2</v>
      </c>
      <c r="I125" s="706"/>
      <c r="J125" s="365"/>
      <c r="K125" s="365"/>
      <c r="L125" s="365"/>
    </row>
    <row r="126" spans="1:12" x14ac:dyDescent="0.25">
      <c r="A126" s="365"/>
      <c r="B126" s="364">
        <v>42502</v>
      </c>
      <c r="C126" s="365">
        <v>100</v>
      </c>
      <c r="D126" s="366">
        <v>92.822999999999993</v>
      </c>
      <c r="E126" s="366">
        <v>82.77</v>
      </c>
      <c r="F126" s="366">
        <f t="shared" si="31"/>
        <v>-1005.2999999999997</v>
      </c>
      <c r="G126" s="366">
        <f t="shared" si="29"/>
        <v>9282.2999999999993</v>
      </c>
      <c r="H126" s="368">
        <f t="shared" si="30"/>
        <v>-0.10830289906596423</v>
      </c>
      <c r="I126" s="706"/>
      <c r="J126" s="365"/>
      <c r="K126" s="365"/>
      <c r="L126" s="365"/>
    </row>
    <row r="127" spans="1:12" x14ac:dyDescent="0.25">
      <c r="A127" s="365"/>
      <c r="B127" s="364">
        <v>42514</v>
      </c>
      <c r="C127" s="365">
        <v>100</v>
      </c>
      <c r="D127" s="366">
        <v>92.82</v>
      </c>
      <c r="E127" s="366">
        <v>86.22</v>
      </c>
      <c r="F127" s="366">
        <f t="shared" si="31"/>
        <v>-659.99999999999943</v>
      </c>
      <c r="G127" s="366">
        <f t="shared" si="29"/>
        <v>9282</v>
      </c>
      <c r="H127" s="368">
        <f t="shared" si="30"/>
        <v>-7.1105365223012224E-2</v>
      </c>
      <c r="I127" s="706"/>
      <c r="J127" s="365"/>
      <c r="K127" s="365"/>
      <c r="L127" s="365"/>
    </row>
    <row r="128" spans="1:12" x14ac:dyDescent="0.25">
      <c r="A128" s="365"/>
      <c r="B128" s="364">
        <v>42527</v>
      </c>
      <c r="C128" s="365">
        <v>100</v>
      </c>
      <c r="D128" s="366">
        <v>92.822999999999993</v>
      </c>
      <c r="E128" s="366">
        <v>87.6</v>
      </c>
      <c r="F128" s="366">
        <f t="shared" si="31"/>
        <v>-522.29999999999995</v>
      </c>
      <c r="G128" s="366">
        <f t="shared" si="29"/>
        <v>9282.2999999999993</v>
      </c>
      <c r="H128" s="368">
        <f t="shared" si="30"/>
        <v>-5.6268381758831316E-2</v>
      </c>
      <c r="I128" s="706"/>
      <c r="J128" s="365"/>
      <c r="K128" s="365"/>
      <c r="L128" s="365"/>
    </row>
    <row r="129" spans="1:12" x14ac:dyDescent="0.25">
      <c r="A129" s="365"/>
      <c r="B129" s="364">
        <v>42535</v>
      </c>
      <c r="C129" s="365">
        <v>100</v>
      </c>
      <c r="D129" s="366">
        <v>92.82</v>
      </c>
      <c r="E129" s="366">
        <v>83.57</v>
      </c>
      <c r="F129" s="366">
        <f t="shared" si="31"/>
        <v>-925</v>
      </c>
      <c r="G129" s="366">
        <f t="shared" si="29"/>
        <v>9282</v>
      </c>
      <c r="H129" s="368">
        <f t="shared" si="30"/>
        <v>-9.965524671407025E-2</v>
      </c>
      <c r="I129" s="446">
        <v>88.5</v>
      </c>
      <c r="J129" s="365"/>
      <c r="K129" s="365"/>
      <c r="L129" s="365"/>
    </row>
    <row r="130" spans="1:12" x14ac:dyDescent="0.25">
      <c r="A130" s="365"/>
      <c r="B130" s="364">
        <v>42542</v>
      </c>
      <c r="C130" s="365">
        <v>100</v>
      </c>
      <c r="D130" s="366">
        <v>92.82</v>
      </c>
      <c r="E130" s="366">
        <v>81.790000000000006</v>
      </c>
      <c r="F130" s="366">
        <f t="shared" si="31"/>
        <v>-1102.9999999999986</v>
      </c>
      <c r="G130" s="366">
        <f t="shared" si="29"/>
        <v>9282</v>
      </c>
      <c r="H130" s="368">
        <f t="shared" si="30"/>
        <v>-0.11883214824391282</v>
      </c>
      <c r="I130" s="706"/>
      <c r="J130" s="365"/>
      <c r="K130" s="365"/>
      <c r="L130" s="365"/>
    </row>
    <row r="131" spans="1:12" x14ac:dyDescent="0.25">
      <c r="A131" s="365"/>
      <c r="B131" s="364">
        <v>42545</v>
      </c>
      <c r="C131" s="365">
        <v>200</v>
      </c>
      <c r="D131" s="366">
        <v>86.647000000000006</v>
      </c>
      <c r="E131" s="366">
        <v>80.47</v>
      </c>
      <c r="F131" s="366">
        <f t="shared" si="31"/>
        <v>-1235.4000000000015</v>
      </c>
      <c r="G131" s="366">
        <f t="shared" si="29"/>
        <v>17329.400000000001</v>
      </c>
      <c r="H131" s="368">
        <f t="shared" si="30"/>
        <v>-7.1289254099968918E-2</v>
      </c>
      <c r="I131" s="706"/>
      <c r="J131" s="365"/>
      <c r="K131" s="365"/>
      <c r="L131" s="365"/>
    </row>
    <row r="132" spans="1:12" x14ac:dyDescent="0.25">
      <c r="A132" s="365"/>
      <c r="B132" s="364">
        <v>42548</v>
      </c>
      <c r="C132" s="365">
        <v>200</v>
      </c>
      <c r="D132" s="366">
        <v>86.647000000000006</v>
      </c>
      <c r="E132" s="366">
        <v>78.25</v>
      </c>
      <c r="F132" s="366">
        <f t="shared" si="31"/>
        <v>-1679.400000000001</v>
      </c>
      <c r="G132" s="366">
        <f t="shared" si="29"/>
        <v>17329.400000000001</v>
      </c>
      <c r="H132" s="368">
        <f t="shared" si="30"/>
        <v>-9.6910452756587134E-2</v>
      </c>
      <c r="I132" s="706"/>
      <c r="J132" s="365"/>
      <c r="K132" s="365"/>
      <c r="L132" s="365"/>
    </row>
    <row r="133" spans="1:12" x14ac:dyDescent="0.25">
      <c r="A133" s="365"/>
      <c r="B133" s="364">
        <v>42549</v>
      </c>
      <c r="C133" s="365">
        <v>200</v>
      </c>
      <c r="D133" s="366">
        <v>86.647000000000006</v>
      </c>
      <c r="E133" s="366">
        <v>82.31</v>
      </c>
      <c r="F133" s="366">
        <f t="shared" si="31"/>
        <v>-867.40000000000066</v>
      </c>
      <c r="G133" s="366">
        <f t="shared" si="29"/>
        <v>17329.400000000001</v>
      </c>
      <c r="H133" s="368">
        <f t="shared" si="30"/>
        <v>-5.0053666024213218E-2</v>
      </c>
      <c r="I133" s="706"/>
      <c r="J133" s="365"/>
      <c r="K133" s="365"/>
      <c r="L133" s="365"/>
    </row>
    <row r="134" spans="1:12" x14ac:dyDescent="0.25">
      <c r="A134" s="365"/>
      <c r="B134" s="364">
        <v>42550</v>
      </c>
      <c r="C134" s="365">
        <v>200</v>
      </c>
      <c r="D134" s="366">
        <v>86.411500000000004</v>
      </c>
      <c r="E134" s="366">
        <v>82.27</v>
      </c>
      <c r="F134" s="366">
        <f t="shared" si="31"/>
        <v>-828.30000000000155</v>
      </c>
      <c r="G134" s="366">
        <f t="shared" si="29"/>
        <v>17282.3</v>
      </c>
      <c r="H134" s="368">
        <f t="shared" si="30"/>
        <v>-4.7927648519005078E-2</v>
      </c>
      <c r="I134" s="706" t="s">
        <v>185</v>
      </c>
      <c r="J134" s="365"/>
      <c r="K134" s="365"/>
      <c r="L134" s="365"/>
    </row>
    <row r="135" spans="1:12" x14ac:dyDescent="0.25">
      <c r="A135" s="365"/>
      <c r="B135" s="364">
        <v>42552</v>
      </c>
      <c r="C135" s="365">
        <v>100</v>
      </c>
      <c r="D135" s="366">
        <v>89.084800000000001</v>
      </c>
      <c r="E135" s="366">
        <v>84.86</v>
      </c>
      <c r="F135" s="366">
        <f t="shared" si="31"/>
        <v>-422.48000000000019</v>
      </c>
      <c r="G135" s="366">
        <f t="shared" si="29"/>
        <v>8908.48</v>
      </c>
      <c r="H135" s="368">
        <f t="shared" si="30"/>
        <v>-4.7424476453895636E-2</v>
      </c>
      <c r="I135" s="706"/>
      <c r="J135" s="365"/>
      <c r="K135" s="365"/>
      <c r="L135" s="365"/>
    </row>
    <row r="136" spans="1:12" x14ac:dyDescent="0.25">
      <c r="A136" s="365"/>
      <c r="B136" s="364">
        <v>42556</v>
      </c>
      <c r="C136" s="365">
        <v>100</v>
      </c>
      <c r="D136" s="366">
        <v>89.084800000000001</v>
      </c>
      <c r="E136" s="366">
        <v>83.89</v>
      </c>
      <c r="F136" s="366">
        <f t="shared" si="31"/>
        <v>-519.48</v>
      </c>
      <c r="G136" s="366">
        <f t="shared" si="29"/>
        <v>8908.48</v>
      </c>
      <c r="H136" s="368">
        <f t="shared" si="30"/>
        <v>-5.8312978196055902E-2</v>
      </c>
      <c r="I136" s="706"/>
      <c r="J136" s="365"/>
      <c r="K136" s="365"/>
      <c r="L136" s="365"/>
    </row>
    <row r="137" spans="1:12" x14ac:dyDescent="0.25">
      <c r="A137" s="365"/>
      <c r="B137" s="364">
        <v>42559</v>
      </c>
      <c r="C137" s="365">
        <v>100</v>
      </c>
      <c r="D137" s="366">
        <v>89.084800000000001</v>
      </c>
      <c r="E137" s="366">
        <v>86.55</v>
      </c>
      <c r="F137" s="366">
        <f t="shared" si="31"/>
        <v>-253.48000000000042</v>
      </c>
      <c r="G137" s="366">
        <f t="shared" si="29"/>
        <v>8908.48</v>
      </c>
      <c r="H137" s="368">
        <f t="shared" si="30"/>
        <v>-2.8453787851575176E-2</v>
      </c>
      <c r="I137" s="706"/>
      <c r="J137" s="365"/>
      <c r="K137" s="365"/>
      <c r="L137" s="365"/>
    </row>
    <row r="138" spans="1:12" x14ac:dyDescent="0.25">
      <c r="A138" s="365"/>
      <c r="B138" s="364">
        <v>42569</v>
      </c>
      <c r="C138" s="365">
        <v>100</v>
      </c>
      <c r="D138" s="366">
        <v>89.084800000000001</v>
      </c>
      <c r="E138" s="366">
        <v>86.93</v>
      </c>
      <c r="F138" s="366">
        <f t="shared" si="31"/>
        <v>-215.47999999999945</v>
      </c>
      <c r="G138" s="366">
        <f t="shared" si="29"/>
        <v>8908.48</v>
      </c>
      <c r="H138" s="368">
        <f t="shared" si="30"/>
        <v>-2.4188189230934957E-2</v>
      </c>
      <c r="I138" s="706"/>
      <c r="J138" s="365"/>
      <c r="K138" s="365"/>
      <c r="L138" s="365"/>
    </row>
    <row r="139" spans="1:12" x14ac:dyDescent="0.25">
      <c r="A139" s="365"/>
      <c r="B139" s="364">
        <v>42570</v>
      </c>
      <c r="C139" s="365">
        <v>100</v>
      </c>
      <c r="D139" s="366">
        <v>89.084800000000001</v>
      </c>
      <c r="E139" s="366">
        <v>85.44</v>
      </c>
      <c r="F139" s="366">
        <f t="shared" si="31"/>
        <v>-364.48000000000036</v>
      </c>
      <c r="G139" s="366">
        <f t="shared" si="29"/>
        <v>8908.48</v>
      </c>
      <c r="H139" s="368">
        <f t="shared" si="30"/>
        <v>-4.0913825927655488E-2</v>
      </c>
      <c r="I139" s="706"/>
      <c r="J139" s="365"/>
      <c r="K139" s="365"/>
      <c r="L139" s="365"/>
    </row>
    <row r="140" spans="1:12" x14ac:dyDescent="0.25">
      <c r="A140" s="365"/>
      <c r="B140" s="364">
        <v>42571</v>
      </c>
      <c r="C140" s="365">
        <v>100</v>
      </c>
      <c r="D140" s="366">
        <v>89.084800000000001</v>
      </c>
      <c r="E140" s="366">
        <v>86.66</v>
      </c>
      <c r="F140" s="366">
        <f t="shared" si="31"/>
        <v>-242.48000000000047</v>
      </c>
      <c r="G140" s="366">
        <f t="shared" si="29"/>
        <v>8908.48</v>
      </c>
      <c r="H140" s="368">
        <f t="shared" si="30"/>
        <v>-2.7219009303495148E-2</v>
      </c>
      <c r="I140" s="706"/>
      <c r="J140" s="365"/>
      <c r="K140" s="365"/>
      <c r="L140" s="365"/>
    </row>
    <row r="141" spans="1:12" x14ac:dyDescent="0.25">
      <c r="A141" s="365"/>
      <c r="B141" s="364">
        <v>42572</v>
      </c>
      <c r="C141" s="365">
        <v>100</v>
      </c>
      <c r="D141" s="366">
        <v>89.084800000000001</v>
      </c>
      <c r="E141" s="366">
        <v>87.24</v>
      </c>
      <c r="F141" s="366">
        <f t="shared" si="31"/>
        <v>-184.48000000000064</v>
      </c>
      <c r="G141" s="366">
        <f t="shared" si="29"/>
        <v>8908.48</v>
      </c>
      <c r="H141" s="368">
        <f t="shared" si="30"/>
        <v>-2.0708358777255003E-2</v>
      </c>
      <c r="I141" s="706"/>
      <c r="J141" s="365"/>
      <c r="K141" s="365"/>
      <c r="L141" s="365"/>
    </row>
    <row r="142" spans="1:12" x14ac:dyDescent="0.25">
      <c r="A142" s="365"/>
      <c r="B142" s="364">
        <v>42575</v>
      </c>
      <c r="C142" s="365">
        <v>100</v>
      </c>
      <c r="D142" s="366">
        <v>89.084800000000001</v>
      </c>
      <c r="E142" s="366">
        <v>86.55</v>
      </c>
      <c r="F142" s="366">
        <f t="shared" si="31"/>
        <v>-253.48000000000042</v>
      </c>
      <c r="G142" s="366">
        <f t="shared" si="29"/>
        <v>8908.48</v>
      </c>
      <c r="H142" s="368">
        <f t="shared" si="30"/>
        <v>-2.8453787851575176E-2</v>
      </c>
      <c r="I142" s="707"/>
      <c r="J142" s="365"/>
      <c r="K142" s="365"/>
      <c r="L142" s="365"/>
    </row>
    <row r="143" spans="1:12" x14ac:dyDescent="0.25">
      <c r="A143" s="365"/>
      <c r="B143" s="364">
        <v>42576</v>
      </c>
      <c r="C143" s="365">
        <v>100</v>
      </c>
      <c r="D143" s="366">
        <v>89.084800000000001</v>
      </c>
      <c r="E143" s="366">
        <v>88.55</v>
      </c>
      <c r="F143" s="366">
        <f t="shared" si="31"/>
        <v>-53.480000000000416</v>
      </c>
      <c r="G143" s="366">
        <f t="shared" si="29"/>
        <v>8908.48</v>
      </c>
      <c r="H143" s="368">
        <f t="shared" si="30"/>
        <v>-6.0032687955746001E-3</v>
      </c>
      <c r="I143" s="706" t="s">
        <v>248</v>
      </c>
      <c r="J143" s="365"/>
      <c r="K143" s="365"/>
      <c r="L143" s="365"/>
    </row>
    <row r="144" spans="1:12" x14ac:dyDescent="0.25">
      <c r="A144" s="365"/>
      <c r="B144" s="364">
        <v>42577</v>
      </c>
      <c r="C144" s="365">
        <v>120</v>
      </c>
      <c r="D144" s="366">
        <v>87.677300000000002</v>
      </c>
      <c r="E144" s="366">
        <v>81.05</v>
      </c>
      <c r="F144" s="366">
        <f t="shared" si="31"/>
        <v>-795.27600000000064</v>
      </c>
      <c r="G144" s="366">
        <f t="shared" si="29"/>
        <v>10521.276</v>
      </c>
      <c r="H144" s="368">
        <f t="shared" si="30"/>
        <v>-7.5587409740035388E-2</v>
      </c>
      <c r="I144" s="706"/>
      <c r="J144" s="365"/>
      <c r="K144" s="365"/>
      <c r="L144" s="365"/>
    </row>
    <row r="145" spans="1:12" x14ac:dyDescent="0.25">
      <c r="A145" s="365"/>
      <c r="B145" s="364">
        <v>42580</v>
      </c>
      <c r="C145" s="365">
        <v>150</v>
      </c>
      <c r="D145" s="366">
        <v>86.017899999999997</v>
      </c>
      <c r="E145" s="366">
        <v>79.47</v>
      </c>
      <c r="F145" s="366">
        <f t="shared" si="31"/>
        <v>-982.18499999999972</v>
      </c>
      <c r="G145" s="366">
        <f t="shared" si="29"/>
        <v>12902.684999999999</v>
      </c>
      <c r="H145" s="368">
        <f t="shared" si="30"/>
        <v>-7.6122527985454172E-2</v>
      </c>
      <c r="I145" s="706"/>
      <c r="J145" s="365"/>
      <c r="K145" s="365"/>
      <c r="L145" s="365"/>
    </row>
    <row r="146" spans="1:12" x14ac:dyDescent="0.25">
      <c r="A146" s="365"/>
      <c r="B146" s="364">
        <v>42593</v>
      </c>
      <c r="C146" s="365">
        <v>150</v>
      </c>
      <c r="D146" s="366">
        <v>86.017899999999997</v>
      </c>
      <c r="E146" s="366">
        <v>78.900000000000006</v>
      </c>
      <c r="F146" s="366">
        <f t="shared" si="31"/>
        <v>-1067.6849999999988</v>
      </c>
      <c r="G146" s="366">
        <f t="shared" si="29"/>
        <v>12902.684999999999</v>
      </c>
      <c r="H146" s="368">
        <f t="shared" si="30"/>
        <v>-8.2749055719797765E-2</v>
      </c>
      <c r="I146" s="706"/>
      <c r="J146" s="365"/>
      <c r="K146" s="365"/>
      <c r="L146" s="365"/>
    </row>
    <row r="147" spans="1:12" x14ac:dyDescent="0.25">
      <c r="A147" s="365"/>
      <c r="B147" s="364">
        <v>42597</v>
      </c>
      <c r="C147" s="365">
        <v>150</v>
      </c>
      <c r="D147" s="366">
        <v>86.017899999999997</v>
      </c>
      <c r="E147" s="366">
        <v>79.650000000000006</v>
      </c>
      <c r="F147" s="366">
        <f t="shared" si="31"/>
        <v>-955.18499999999881</v>
      </c>
      <c r="G147" s="366">
        <f t="shared" si="29"/>
        <v>12902.684999999999</v>
      </c>
      <c r="H147" s="368">
        <f t="shared" si="30"/>
        <v>-7.4029940279871892E-2</v>
      </c>
      <c r="I147" s="706"/>
      <c r="J147" s="365"/>
      <c r="K147" s="365"/>
      <c r="L147" s="365"/>
    </row>
    <row r="148" spans="1:12" x14ac:dyDescent="0.25">
      <c r="A148" s="365"/>
      <c r="B148" s="364">
        <v>42599</v>
      </c>
      <c r="C148" s="365">
        <v>150</v>
      </c>
      <c r="D148" s="366">
        <v>86.017899999999997</v>
      </c>
      <c r="E148" s="366">
        <v>80.7</v>
      </c>
      <c r="F148" s="366">
        <f t="shared" si="31"/>
        <v>-797.68499999999915</v>
      </c>
      <c r="G148" s="366">
        <f t="shared" si="29"/>
        <v>12902.684999999999</v>
      </c>
      <c r="H148" s="368">
        <f t="shared" si="30"/>
        <v>-6.1823178663975693E-2</v>
      </c>
      <c r="I148" s="706"/>
      <c r="J148" s="365"/>
      <c r="K148" s="365"/>
      <c r="L148" s="365"/>
    </row>
    <row r="149" spans="1:12" x14ac:dyDescent="0.25">
      <c r="A149" s="365"/>
      <c r="B149" s="364">
        <v>42600</v>
      </c>
      <c r="C149" s="365">
        <v>150</v>
      </c>
      <c r="D149" s="366">
        <v>86.017899999999997</v>
      </c>
      <c r="E149" s="366">
        <v>80.59</v>
      </c>
      <c r="F149" s="366">
        <f t="shared" si="31"/>
        <v>-814.18499999999904</v>
      </c>
      <c r="G149" s="366">
        <f t="shared" si="29"/>
        <v>12902.684999999999</v>
      </c>
      <c r="H149" s="368">
        <f t="shared" si="30"/>
        <v>-6.3101982261831474E-2</v>
      </c>
      <c r="I149" s="706"/>
      <c r="J149" s="365"/>
      <c r="K149" s="365"/>
      <c r="L149" s="365"/>
    </row>
    <row r="150" spans="1:12" x14ac:dyDescent="0.25">
      <c r="A150" s="365"/>
      <c r="B150" s="364">
        <v>42601</v>
      </c>
      <c r="C150" s="365">
        <v>150</v>
      </c>
      <c r="D150" s="366">
        <v>86.017899999999997</v>
      </c>
      <c r="E150" s="366">
        <v>81</v>
      </c>
      <c r="F150" s="366">
        <f t="shared" si="31"/>
        <v>-752.6849999999996</v>
      </c>
      <c r="G150" s="366">
        <f t="shared" si="29"/>
        <v>12902.684999999999</v>
      </c>
      <c r="H150" s="368">
        <f t="shared" si="30"/>
        <v>-5.8335532488005375E-2</v>
      </c>
      <c r="I150" s="706"/>
      <c r="J150" s="365"/>
      <c r="K150" s="365"/>
      <c r="L150" s="365"/>
    </row>
    <row r="151" spans="1:12" x14ac:dyDescent="0.25">
      <c r="A151" s="365"/>
      <c r="B151" s="364">
        <v>42605</v>
      </c>
      <c r="C151" s="365">
        <v>150</v>
      </c>
      <c r="D151" s="366">
        <v>86.017899999999997</v>
      </c>
      <c r="E151" s="366">
        <v>81.47</v>
      </c>
      <c r="F151" s="366">
        <f t="shared" si="31"/>
        <v>-682.18499999999972</v>
      </c>
      <c r="G151" s="366">
        <f t="shared" si="29"/>
        <v>12902.684999999999</v>
      </c>
      <c r="H151" s="368">
        <f t="shared" si="30"/>
        <v>-5.2871553478985173E-2</v>
      </c>
      <c r="I151" s="706"/>
      <c r="J151" s="365"/>
      <c r="K151" s="365"/>
      <c r="L151" s="365"/>
    </row>
    <row r="152" spans="1:12" x14ac:dyDescent="0.25">
      <c r="A152" s="365"/>
      <c r="B152" s="364">
        <v>42606</v>
      </c>
      <c r="C152" s="365">
        <v>150</v>
      </c>
      <c r="D152" s="366">
        <v>86.017899999999997</v>
      </c>
      <c r="E152" s="366">
        <v>80.5</v>
      </c>
      <c r="F152" s="366">
        <f t="shared" si="31"/>
        <v>-827.6849999999996</v>
      </c>
      <c r="G152" s="366">
        <f t="shared" si="29"/>
        <v>12902.684999999999</v>
      </c>
      <c r="H152" s="368">
        <f t="shared" si="30"/>
        <v>-6.4148276114622621E-2</v>
      </c>
      <c r="I152" s="706"/>
      <c r="J152" s="365"/>
      <c r="K152" s="365"/>
      <c r="L152" s="365"/>
    </row>
    <row r="153" spans="1:12" x14ac:dyDescent="0.25">
      <c r="A153" s="365"/>
      <c r="B153" s="364">
        <v>42607</v>
      </c>
      <c r="C153" s="365">
        <v>150</v>
      </c>
      <c r="D153" s="366">
        <v>86.017899999999997</v>
      </c>
      <c r="E153" s="366">
        <v>80.08</v>
      </c>
      <c r="F153" s="366">
        <f t="shared" si="31"/>
        <v>-890.68499999999983</v>
      </c>
      <c r="G153" s="366">
        <f t="shared" si="29"/>
        <v>12902.684999999999</v>
      </c>
      <c r="H153" s="368">
        <f t="shared" si="30"/>
        <v>-6.9030980760981131E-2</v>
      </c>
      <c r="I153" s="706"/>
      <c r="J153" s="365"/>
      <c r="K153" s="365"/>
      <c r="L153" s="365"/>
    </row>
    <row r="154" spans="1:12" x14ac:dyDescent="0.25">
      <c r="A154" s="365"/>
      <c r="B154" s="364">
        <v>42608</v>
      </c>
      <c r="C154" s="365">
        <v>170</v>
      </c>
      <c r="D154" s="366">
        <v>85.225200000000001</v>
      </c>
      <c r="E154" s="366">
        <v>79.77</v>
      </c>
      <c r="F154" s="366">
        <f t="shared" si="31"/>
        <v>-927.38400000000081</v>
      </c>
      <c r="G154" s="366">
        <f t="shared" si="29"/>
        <v>14488.284</v>
      </c>
      <c r="H154" s="368">
        <f t="shared" si="30"/>
        <v>-6.4009236704636707E-2</v>
      </c>
      <c r="I154" s="706"/>
      <c r="J154" s="365"/>
      <c r="K154" s="365"/>
      <c r="L154" s="365"/>
    </row>
    <row r="155" spans="1:12" x14ac:dyDescent="0.25">
      <c r="A155" s="365"/>
      <c r="B155" s="364">
        <v>42609</v>
      </c>
      <c r="C155" s="365">
        <v>170</v>
      </c>
      <c r="D155" s="366">
        <v>85.225200000000001</v>
      </c>
      <c r="E155" s="366">
        <v>77.92</v>
      </c>
      <c r="F155" s="366">
        <f t="shared" si="31"/>
        <v>-1241.8839999999998</v>
      </c>
      <c r="G155" s="366">
        <f t="shared" si="29"/>
        <v>14488.284</v>
      </c>
      <c r="H155" s="368">
        <f t="shared" si="30"/>
        <v>-8.5716431290275633E-2</v>
      </c>
      <c r="I155" s="706"/>
      <c r="J155" s="365"/>
      <c r="K155" s="365"/>
      <c r="L155" s="365"/>
    </row>
    <row r="156" spans="1:12" x14ac:dyDescent="0.25">
      <c r="A156" s="365"/>
      <c r="B156" s="364">
        <v>42614</v>
      </c>
      <c r="C156" s="365">
        <v>200</v>
      </c>
      <c r="D156" s="366">
        <v>84.093400000000003</v>
      </c>
      <c r="E156" s="366">
        <v>77.42</v>
      </c>
      <c r="F156" s="366">
        <f t="shared" si="31"/>
        <v>-1334.6800000000003</v>
      </c>
      <c r="G156" s="366">
        <f t="shared" si="29"/>
        <v>16818.68</v>
      </c>
      <c r="H156" s="368">
        <f t="shared" si="30"/>
        <v>-7.9357000668304534E-2</v>
      </c>
      <c r="I156" s="706"/>
      <c r="J156" s="365"/>
      <c r="K156" s="365"/>
      <c r="L156" s="365"/>
    </row>
    <row r="157" spans="1:12" x14ac:dyDescent="0.25">
      <c r="A157" s="365"/>
      <c r="B157" s="364">
        <v>42615</v>
      </c>
      <c r="C157" s="365">
        <v>200</v>
      </c>
      <c r="D157" s="366">
        <v>84.093400000000003</v>
      </c>
      <c r="E157" s="366">
        <v>76.89</v>
      </c>
      <c r="F157" s="366">
        <f t="shared" si="31"/>
        <v>-1440.6800000000003</v>
      </c>
      <c r="G157" s="366">
        <f t="shared" si="29"/>
        <v>16818.68</v>
      </c>
      <c r="H157" s="368">
        <f t="shared" si="30"/>
        <v>-8.5659516680262685E-2</v>
      </c>
      <c r="I157" s="706"/>
      <c r="J157" s="365"/>
      <c r="K157" s="365"/>
      <c r="L157" s="365"/>
    </row>
    <row r="158" spans="1:12" x14ac:dyDescent="0.25">
      <c r="A158" s="365"/>
      <c r="B158" s="364">
        <v>42619</v>
      </c>
      <c r="C158" s="365">
        <v>200</v>
      </c>
      <c r="D158" s="366">
        <v>84.093400000000003</v>
      </c>
      <c r="E158" s="366">
        <v>77.88</v>
      </c>
      <c r="F158" s="366">
        <f t="shared" si="31"/>
        <v>-1242.6800000000014</v>
      </c>
      <c r="G158" s="366">
        <f t="shared" si="29"/>
        <v>16818.68</v>
      </c>
      <c r="H158" s="368">
        <f t="shared" si="30"/>
        <v>-7.3886892431510753E-2</v>
      </c>
      <c r="I158" s="706"/>
      <c r="J158" s="365"/>
      <c r="K158" s="365"/>
      <c r="L158" s="365"/>
    </row>
    <row r="159" spans="1:12" x14ac:dyDescent="0.25">
      <c r="A159" s="365"/>
      <c r="B159" s="364">
        <v>42632</v>
      </c>
      <c r="C159" s="365">
        <v>200</v>
      </c>
      <c r="D159" s="366">
        <v>84.093400000000003</v>
      </c>
      <c r="E159" s="366">
        <v>78.989999999999995</v>
      </c>
      <c r="F159" s="366">
        <f t="shared" si="31"/>
        <v>-1020.6800000000015</v>
      </c>
      <c r="G159" s="366">
        <f t="shared" si="29"/>
        <v>16818.68</v>
      </c>
      <c r="H159" s="368">
        <f t="shared" si="30"/>
        <v>-6.0687283425334304E-2</v>
      </c>
      <c r="I159" s="706"/>
      <c r="J159" s="365"/>
      <c r="K159" s="365"/>
      <c r="L159" s="365"/>
    </row>
    <row r="160" spans="1:12" x14ac:dyDescent="0.25">
      <c r="A160" s="365"/>
      <c r="B160" s="364">
        <v>42633</v>
      </c>
      <c r="C160" s="365">
        <v>200</v>
      </c>
      <c r="D160" s="366">
        <v>84.093400000000003</v>
      </c>
      <c r="E160" s="366">
        <v>81.78</v>
      </c>
      <c r="F160" s="366">
        <f t="shared" si="31"/>
        <v>-462.68000000000029</v>
      </c>
      <c r="G160" s="366">
        <f t="shared" si="29"/>
        <v>16818.68</v>
      </c>
      <c r="H160" s="368">
        <f t="shared" si="30"/>
        <v>-2.7509887815215003E-2</v>
      </c>
      <c r="I160" s="706"/>
      <c r="J160" s="365"/>
      <c r="K160" s="365"/>
      <c r="L160" s="365"/>
    </row>
    <row r="161" spans="1:12" x14ac:dyDescent="0.25">
      <c r="A161" s="365"/>
      <c r="B161" s="364">
        <v>42635</v>
      </c>
      <c r="C161" s="365">
        <v>200</v>
      </c>
      <c r="D161" s="366">
        <v>84.093400000000003</v>
      </c>
      <c r="E161" s="366">
        <v>81.52</v>
      </c>
      <c r="F161" s="366">
        <f t="shared" si="31"/>
        <v>-514.68000000000131</v>
      </c>
      <c r="G161" s="366">
        <f t="shared" si="29"/>
        <v>16818.68</v>
      </c>
      <c r="H161" s="368">
        <f t="shared" si="30"/>
        <v>-3.060168812296811E-2</v>
      </c>
      <c r="I161" s="706"/>
      <c r="J161" s="365"/>
      <c r="K161" s="365"/>
      <c r="L161" s="365"/>
    </row>
    <row r="162" spans="1:12" x14ac:dyDescent="0.25">
      <c r="A162" s="365"/>
      <c r="B162" s="364">
        <v>42640</v>
      </c>
      <c r="C162" s="365">
        <v>200</v>
      </c>
      <c r="D162" s="366">
        <v>84.093400000000003</v>
      </c>
      <c r="E162" s="366">
        <v>79.25</v>
      </c>
      <c r="F162" s="366">
        <f t="shared" si="31"/>
        <v>-968.68000000000052</v>
      </c>
      <c r="G162" s="366">
        <f t="shared" si="29"/>
        <v>16818.68</v>
      </c>
      <c r="H162" s="368">
        <f t="shared" si="30"/>
        <v>-5.7595483117581198E-2</v>
      </c>
      <c r="I162" s="706" t="s">
        <v>185</v>
      </c>
      <c r="J162" s="365"/>
      <c r="K162" s="365"/>
      <c r="L162" s="365"/>
    </row>
    <row r="163" spans="1:12" x14ac:dyDescent="0.25">
      <c r="A163" s="365"/>
      <c r="B163" s="364">
        <v>42643</v>
      </c>
      <c r="C163" s="365">
        <v>200</v>
      </c>
      <c r="D163" s="366">
        <v>83.623400000000004</v>
      </c>
      <c r="E163" s="366">
        <v>79.12</v>
      </c>
      <c r="F163" s="366">
        <f t="shared" si="31"/>
        <v>-900.67999999999984</v>
      </c>
      <c r="G163" s="366">
        <f t="shared" si="29"/>
        <v>16724.68</v>
      </c>
      <c r="H163" s="368">
        <f t="shared" si="30"/>
        <v>-5.3853347268826658E-2</v>
      </c>
      <c r="I163" s="366">
        <v>83</v>
      </c>
      <c r="J163" s="365"/>
      <c r="K163" s="365"/>
      <c r="L163" s="365"/>
    </row>
    <row r="164" spans="1:12" x14ac:dyDescent="0.25">
      <c r="A164" s="365"/>
      <c r="B164" s="364">
        <v>42646</v>
      </c>
      <c r="C164" s="365">
        <v>200</v>
      </c>
      <c r="D164" s="366">
        <v>83.518799999999999</v>
      </c>
      <c r="E164" s="366">
        <v>78.03</v>
      </c>
      <c r="F164" s="366">
        <f t="shared" si="31"/>
        <v>-1097.7599999999995</v>
      </c>
      <c r="G164" s="366">
        <f t="shared" si="29"/>
        <v>16703.759999999998</v>
      </c>
      <c r="H164" s="368">
        <f t="shared" si="30"/>
        <v>-6.5719335047917327E-2</v>
      </c>
      <c r="I164" s="706"/>
      <c r="J164" s="365"/>
      <c r="K164" s="365"/>
      <c r="L164" s="365"/>
    </row>
    <row r="165" spans="1:12" x14ac:dyDescent="0.25">
      <c r="A165" s="365"/>
      <c r="B165" s="364">
        <v>42649</v>
      </c>
      <c r="C165" s="365">
        <v>250</v>
      </c>
      <c r="D165" s="366">
        <v>82.090999999999994</v>
      </c>
      <c r="E165" s="366">
        <v>76.209999999999994</v>
      </c>
      <c r="F165" s="366">
        <f t="shared" si="31"/>
        <v>-1470.25</v>
      </c>
      <c r="G165" s="366">
        <f t="shared" si="29"/>
        <v>20522.75</v>
      </c>
      <c r="H165" s="368">
        <f t="shared" si="30"/>
        <v>-7.1640009258018542E-2</v>
      </c>
      <c r="I165" s="706"/>
      <c r="J165" s="365"/>
      <c r="K165" s="365"/>
      <c r="L165" s="365"/>
    </row>
    <row r="166" spans="1:12" x14ac:dyDescent="0.25">
      <c r="A166" s="365"/>
      <c r="B166" s="364">
        <v>42650</v>
      </c>
      <c r="C166" s="365">
        <v>250</v>
      </c>
      <c r="D166" s="366">
        <v>82.090999999999994</v>
      </c>
      <c r="E166" s="366">
        <v>75.239999999999995</v>
      </c>
      <c r="F166" s="366">
        <f t="shared" si="31"/>
        <v>-1712.7499999999998</v>
      </c>
      <c r="G166" s="366">
        <f t="shared" si="29"/>
        <v>20522.75</v>
      </c>
      <c r="H166" s="368">
        <f t="shared" si="30"/>
        <v>-8.3456164500371535E-2</v>
      </c>
      <c r="I166" s="706"/>
      <c r="J166" s="365"/>
      <c r="K166" s="365"/>
      <c r="L166" s="365"/>
    </row>
    <row r="167" spans="1:12" x14ac:dyDescent="0.25">
      <c r="A167" s="365"/>
      <c r="B167" s="364">
        <v>42661</v>
      </c>
      <c r="C167" s="365">
        <v>250</v>
      </c>
      <c r="D167" s="366">
        <v>82.090999999999994</v>
      </c>
      <c r="E167" s="366">
        <v>73.41</v>
      </c>
      <c r="F167" s="366">
        <f t="shared" si="31"/>
        <v>-2170.2499999999995</v>
      </c>
      <c r="G167" s="366">
        <f t="shared" si="29"/>
        <v>20522.75</v>
      </c>
      <c r="H167" s="368">
        <f t="shared" si="30"/>
        <v>-0.105748498617388</v>
      </c>
      <c r="I167" s="706"/>
      <c r="J167" s="365"/>
      <c r="K167" s="365"/>
      <c r="L167" s="365"/>
    </row>
    <row r="168" spans="1:12" x14ac:dyDescent="0.25">
      <c r="A168" s="365"/>
      <c r="B168" s="364">
        <v>42676</v>
      </c>
      <c r="C168" s="365">
        <v>250</v>
      </c>
      <c r="D168" s="366">
        <v>82.090999999999994</v>
      </c>
      <c r="E168" s="366">
        <v>72.510000000000005</v>
      </c>
      <c r="F168" s="366">
        <f t="shared" si="31"/>
        <v>-2395.2499999999973</v>
      </c>
      <c r="G168" s="366">
        <f t="shared" si="29"/>
        <v>20522.75</v>
      </c>
      <c r="H168" s="368">
        <f t="shared" si="30"/>
        <v>-0.11671194162575665</v>
      </c>
      <c r="I168" s="706"/>
      <c r="J168" s="365"/>
      <c r="K168" s="365"/>
      <c r="L168" s="365"/>
    </row>
    <row r="169" spans="1:12" x14ac:dyDescent="0.25">
      <c r="A169" s="365"/>
      <c r="B169" s="364">
        <v>42701</v>
      </c>
      <c r="C169" s="365">
        <v>200</v>
      </c>
      <c r="D169" s="366">
        <v>82.49</v>
      </c>
      <c r="E169" s="366">
        <v>75.44</v>
      </c>
      <c r="F169" s="366">
        <f t="shared" si="31"/>
        <v>-1409.9999999999995</v>
      </c>
      <c r="G169" s="366">
        <f t="shared" si="29"/>
        <v>16498</v>
      </c>
      <c r="H169" s="368">
        <f t="shared" si="30"/>
        <v>-8.5464904836949906E-2</v>
      </c>
      <c r="I169" s="492" t="s">
        <v>304</v>
      </c>
      <c r="J169" s="365"/>
      <c r="K169" s="365"/>
      <c r="L169" s="365"/>
    </row>
    <row r="170" spans="1:12" x14ac:dyDescent="0.25">
      <c r="A170" s="365"/>
      <c r="B170" s="364">
        <v>42704</v>
      </c>
      <c r="C170" s="365">
        <v>200</v>
      </c>
      <c r="D170" s="366">
        <v>82.49</v>
      </c>
      <c r="E170" s="366">
        <v>73.7</v>
      </c>
      <c r="F170" s="366">
        <f t="shared" si="31"/>
        <v>-1757.9999999999984</v>
      </c>
      <c r="G170" s="366">
        <f t="shared" ref="G170:G202" si="32">D170*C170</f>
        <v>16498</v>
      </c>
      <c r="H170" s="368">
        <f t="shared" ref="H170:H204" si="33">(E170-D170)/D170</f>
        <v>-0.10655837071160132</v>
      </c>
      <c r="I170" s="706"/>
      <c r="J170" s="365"/>
      <c r="K170" s="365"/>
      <c r="L170" s="365"/>
    </row>
    <row r="171" spans="1:12" x14ac:dyDescent="0.25">
      <c r="A171" s="365"/>
      <c r="B171" s="364">
        <v>42705</v>
      </c>
      <c r="C171" s="365">
        <v>250</v>
      </c>
      <c r="D171" s="366">
        <v>80.656000000000006</v>
      </c>
      <c r="E171" s="366">
        <v>72.84</v>
      </c>
      <c r="F171" s="366">
        <f t="shared" si="31"/>
        <v>-1954.0000000000007</v>
      </c>
      <c r="G171" s="366">
        <f t="shared" si="32"/>
        <v>20164</v>
      </c>
      <c r="H171" s="368">
        <f t="shared" si="33"/>
        <v>-9.6905375917476722E-2</v>
      </c>
      <c r="I171" s="706"/>
      <c r="J171" s="365"/>
      <c r="K171" s="365"/>
      <c r="L171" s="365"/>
    </row>
    <row r="172" spans="1:12" x14ac:dyDescent="0.25">
      <c r="A172" s="365"/>
      <c r="B172" s="364">
        <v>42717</v>
      </c>
      <c r="C172" s="365">
        <v>200</v>
      </c>
      <c r="D172" s="366">
        <v>82.125900000000001</v>
      </c>
      <c r="E172" s="366">
        <v>74.84</v>
      </c>
      <c r="F172" s="366">
        <f t="shared" si="31"/>
        <v>-1457.1799999999996</v>
      </c>
      <c r="G172" s="366">
        <f t="shared" si="32"/>
        <v>16425.18</v>
      </c>
      <c r="H172" s="368">
        <f t="shared" si="33"/>
        <v>-8.8716227158545574E-2</v>
      </c>
      <c r="I172" s="706"/>
      <c r="J172" s="365"/>
      <c r="K172" s="365"/>
      <c r="L172" s="365"/>
    </row>
    <row r="173" spans="1:12" x14ac:dyDescent="0.25">
      <c r="A173" s="365"/>
      <c r="B173" s="364">
        <v>42717</v>
      </c>
      <c r="C173" s="365">
        <v>150</v>
      </c>
      <c r="D173" s="366">
        <v>84.257800000000003</v>
      </c>
      <c r="E173" s="366">
        <v>74.84</v>
      </c>
      <c r="F173" s="366">
        <f t="shared" si="31"/>
        <v>-1412.67</v>
      </c>
      <c r="G173" s="366">
        <f t="shared" si="32"/>
        <v>12638.67</v>
      </c>
      <c r="H173" s="368">
        <f t="shared" si="33"/>
        <v>-0.11177362807953685</v>
      </c>
      <c r="I173" s="706"/>
      <c r="J173" s="365"/>
      <c r="K173" s="365"/>
      <c r="L173" s="365"/>
    </row>
    <row r="174" spans="1:12" x14ac:dyDescent="0.25">
      <c r="A174" s="365"/>
      <c r="B174" s="364">
        <v>42717</v>
      </c>
      <c r="C174" s="365">
        <v>200</v>
      </c>
      <c r="D174" s="366">
        <v>81.988399999999999</v>
      </c>
      <c r="E174" s="366">
        <v>74.84</v>
      </c>
      <c r="F174" s="366">
        <f t="shared" si="31"/>
        <v>-1429.6799999999989</v>
      </c>
      <c r="G174" s="366">
        <f t="shared" si="32"/>
        <v>16397.68</v>
      </c>
      <c r="H174" s="368">
        <f t="shared" si="33"/>
        <v>-8.718794366032262E-2</v>
      </c>
      <c r="I174" s="492" t="s">
        <v>315</v>
      </c>
      <c r="J174" s="365"/>
      <c r="K174" s="365"/>
      <c r="L174" s="365"/>
    </row>
    <row r="175" spans="1:12" x14ac:dyDescent="0.25">
      <c r="A175" s="365"/>
      <c r="B175" s="364">
        <v>42733</v>
      </c>
      <c r="C175" s="365">
        <v>250</v>
      </c>
      <c r="D175" s="366">
        <v>80.886700000000005</v>
      </c>
      <c r="E175" s="366">
        <v>72.08</v>
      </c>
      <c r="F175" s="366">
        <f t="shared" si="31"/>
        <v>-2201.6750000000015</v>
      </c>
      <c r="G175" s="366">
        <f t="shared" si="32"/>
        <v>20221.675000000003</v>
      </c>
      <c r="H175" s="368">
        <f t="shared" si="33"/>
        <v>-0.10887698472060309</v>
      </c>
      <c r="I175" s="706"/>
      <c r="J175" s="365"/>
      <c r="K175" s="365"/>
      <c r="L175" s="365"/>
    </row>
    <row r="176" spans="1:12" x14ac:dyDescent="0.25">
      <c r="A176" s="365"/>
      <c r="B176" s="364">
        <v>42734</v>
      </c>
      <c r="C176" s="365">
        <v>250</v>
      </c>
      <c r="D176" s="366">
        <v>79.536699999999996</v>
      </c>
      <c r="E176" s="366">
        <v>72.08</v>
      </c>
      <c r="F176" s="366">
        <f t="shared" si="31"/>
        <v>-1864.1749999999995</v>
      </c>
      <c r="G176" s="366">
        <f t="shared" si="32"/>
        <v>19884.174999999999</v>
      </c>
      <c r="H176" s="368">
        <f t="shared" si="33"/>
        <v>-9.3751689471652688E-2</v>
      </c>
      <c r="I176" s="706" t="s">
        <v>185</v>
      </c>
      <c r="J176" s="365"/>
      <c r="K176" s="365"/>
      <c r="L176" s="365"/>
    </row>
    <row r="177" spans="1:12" x14ac:dyDescent="0.25">
      <c r="A177" s="365"/>
      <c r="B177" s="364">
        <v>42738</v>
      </c>
      <c r="C177" s="365">
        <v>200</v>
      </c>
      <c r="D177" s="366">
        <v>81.026300000000006</v>
      </c>
      <c r="E177" s="366">
        <v>74.16</v>
      </c>
      <c r="F177" s="366">
        <f t="shared" si="31"/>
        <v>-1373.260000000002</v>
      </c>
      <c r="G177" s="366">
        <f t="shared" si="32"/>
        <v>16205.260000000002</v>
      </c>
      <c r="H177" s="368">
        <f t="shared" si="33"/>
        <v>-8.4741620930488121E-2</v>
      </c>
      <c r="I177" s="706"/>
      <c r="J177" s="365"/>
      <c r="K177" s="365"/>
      <c r="L177" s="365"/>
    </row>
    <row r="178" spans="1:12" x14ac:dyDescent="0.25">
      <c r="A178" s="365"/>
      <c r="B178" s="364">
        <v>42739</v>
      </c>
      <c r="C178" s="365">
        <v>200</v>
      </c>
      <c r="D178" s="366">
        <v>81.026300000000006</v>
      </c>
      <c r="E178" s="366">
        <v>76.38</v>
      </c>
      <c r="F178" s="366">
        <f t="shared" si="31"/>
        <v>-929.26000000000215</v>
      </c>
      <c r="G178" s="366">
        <f t="shared" si="32"/>
        <v>16205.260000000002</v>
      </c>
      <c r="H178" s="368">
        <f t="shared" si="33"/>
        <v>-5.7343109582938014E-2</v>
      </c>
      <c r="I178" s="706"/>
      <c r="J178" s="365"/>
      <c r="K178" s="365"/>
      <c r="L178" s="365"/>
    </row>
    <row r="179" spans="1:12" x14ac:dyDescent="0.25">
      <c r="A179" s="365"/>
      <c r="B179" s="364">
        <v>42746</v>
      </c>
      <c r="C179" s="365">
        <v>200</v>
      </c>
      <c r="D179" s="366">
        <v>81.026300000000006</v>
      </c>
      <c r="E179" s="366">
        <v>73.77</v>
      </c>
      <c r="F179" s="366">
        <f t="shared" si="31"/>
        <v>-1451.260000000002</v>
      </c>
      <c r="G179" s="366">
        <f t="shared" si="32"/>
        <v>16205.260000000002</v>
      </c>
      <c r="H179" s="368">
        <f t="shared" si="33"/>
        <v>-8.9554872923976653E-2</v>
      </c>
      <c r="I179" s="706"/>
      <c r="J179" s="365"/>
      <c r="K179" s="365"/>
      <c r="L179" s="365"/>
    </row>
    <row r="180" spans="1:12" x14ac:dyDescent="0.25">
      <c r="A180" s="365"/>
      <c r="B180" s="364">
        <v>43056</v>
      </c>
      <c r="C180" s="365">
        <v>250</v>
      </c>
      <c r="D180" s="366">
        <v>79.197000000000003</v>
      </c>
      <c r="E180" s="366">
        <v>71.91</v>
      </c>
      <c r="F180" s="366">
        <f t="shared" si="31"/>
        <v>-1821.7500000000016</v>
      </c>
      <c r="G180" s="366">
        <f t="shared" si="32"/>
        <v>19799.25</v>
      </c>
      <c r="H180" s="368">
        <f t="shared" si="33"/>
        <v>-9.2011061025038907E-2</v>
      </c>
      <c r="I180" s="492">
        <v>79</v>
      </c>
      <c r="J180" s="365"/>
      <c r="K180" s="365"/>
      <c r="L180" s="365"/>
    </row>
    <row r="181" spans="1:12" x14ac:dyDescent="0.25">
      <c r="A181" s="365" t="s">
        <v>342</v>
      </c>
      <c r="B181" s="364">
        <v>42755</v>
      </c>
      <c r="C181" s="365">
        <v>300</v>
      </c>
      <c r="D181" s="366">
        <v>77.794200000000004</v>
      </c>
      <c r="E181" s="366">
        <v>71.010000000000005</v>
      </c>
      <c r="F181" s="366">
        <f t="shared" si="31"/>
        <v>-2035.2599999999995</v>
      </c>
      <c r="G181" s="366">
        <f t="shared" si="32"/>
        <v>23338.260000000002</v>
      </c>
      <c r="H181" s="368">
        <f t="shared" si="33"/>
        <v>-8.7207015433027113E-2</v>
      </c>
      <c r="I181" s="706"/>
      <c r="J181" s="365"/>
      <c r="K181" s="365"/>
      <c r="L181" s="365"/>
    </row>
    <row r="182" spans="1:12" x14ac:dyDescent="0.25">
      <c r="A182" s="365" t="s">
        <v>362</v>
      </c>
      <c r="B182" s="364">
        <v>42760</v>
      </c>
      <c r="C182" s="365">
        <v>250</v>
      </c>
      <c r="D182" s="366">
        <v>78.997900000000001</v>
      </c>
      <c r="E182" s="366">
        <v>71.78</v>
      </c>
      <c r="F182" s="366">
        <f t="shared" ref="F182:F204" si="34">C182*(E182-D182)</f>
        <v>-1804.4750000000001</v>
      </c>
      <c r="G182" s="366">
        <f t="shared" si="32"/>
        <v>19749.474999999999</v>
      </c>
      <c r="H182" s="368">
        <f t="shared" si="33"/>
        <v>-9.1368251561117442E-2</v>
      </c>
      <c r="I182" s="492" t="s">
        <v>377</v>
      </c>
      <c r="J182" s="365"/>
      <c r="K182" s="365"/>
      <c r="L182" s="365"/>
    </row>
    <row r="183" spans="1:12" x14ac:dyDescent="0.25">
      <c r="A183" s="365" t="s">
        <v>362</v>
      </c>
      <c r="B183" s="364">
        <v>42762</v>
      </c>
      <c r="C183" s="365">
        <v>250</v>
      </c>
      <c r="D183" s="366">
        <v>78.997900000000001</v>
      </c>
      <c r="E183" s="366">
        <v>71.260000000000005</v>
      </c>
      <c r="F183" s="366">
        <f t="shared" si="34"/>
        <v>-1934.474999999999</v>
      </c>
      <c r="G183" s="366">
        <f t="shared" si="32"/>
        <v>19749.474999999999</v>
      </c>
      <c r="H183" s="368">
        <f t="shared" si="33"/>
        <v>-9.7950705018740952E-2</v>
      </c>
      <c r="I183" s="706"/>
      <c r="J183" s="365"/>
      <c r="K183" s="365"/>
      <c r="L183" s="365"/>
    </row>
    <row r="184" spans="1:12" x14ac:dyDescent="0.25">
      <c r="A184" s="365" t="s">
        <v>400</v>
      </c>
      <c r="B184" s="364">
        <v>42771</v>
      </c>
      <c r="C184" s="365">
        <v>250</v>
      </c>
      <c r="D184" s="366">
        <v>78.997900000000001</v>
      </c>
      <c r="E184" s="366">
        <v>72.34</v>
      </c>
      <c r="F184" s="366">
        <f t="shared" si="34"/>
        <v>-1664.4749999999995</v>
      </c>
      <c r="G184" s="366">
        <f t="shared" si="32"/>
        <v>19749.474999999999</v>
      </c>
      <c r="H184" s="368">
        <f t="shared" si="33"/>
        <v>-8.4279455529830516E-2</v>
      </c>
      <c r="I184" s="706"/>
      <c r="J184" s="365"/>
      <c r="K184" s="365"/>
      <c r="L184" s="365"/>
    </row>
    <row r="185" spans="1:12" x14ac:dyDescent="0.25">
      <c r="A185" s="365" t="s">
        <v>342</v>
      </c>
      <c r="B185" s="364">
        <v>42773</v>
      </c>
      <c r="C185" s="365">
        <v>300</v>
      </c>
      <c r="D185" s="366">
        <v>77.411100000000005</v>
      </c>
      <c r="E185" s="366">
        <v>73.13</v>
      </c>
      <c r="F185" s="366">
        <f t="shared" si="34"/>
        <v>-1284.3300000000027</v>
      </c>
      <c r="G185" s="366">
        <f t="shared" si="32"/>
        <v>23223.33</v>
      </c>
      <c r="H185" s="368">
        <f t="shared" si="33"/>
        <v>-5.5303438395785734E-2</v>
      </c>
      <c r="I185" s="706"/>
      <c r="J185" s="365"/>
      <c r="K185" s="365"/>
      <c r="L185" s="365"/>
    </row>
    <row r="186" spans="1:12" x14ac:dyDescent="0.25">
      <c r="A186" s="365" t="s">
        <v>413</v>
      </c>
      <c r="B186" s="364">
        <v>42774</v>
      </c>
      <c r="C186" s="365">
        <v>350</v>
      </c>
      <c r="D186" s="366">
        <v>76.020899999999997</v>
      </c>
      <c r="E186" s="366">
        <v>66</v>
      </c>
      <c r="F186" s="366">
        <f t="shared" si="34"/>
        <v>-3507.3149999999991</v>
      </c>
      <c r="G186" s="366">
        <f t="shared" si="32"/>
        <v>26607.314999999999</v>
      </c>
      <c r="H186" s="368">
        <f t="shared" si="33"/>
        <v>-0.13181769750160807</v>
      </c>
      <c r="I186" s="706"/>
      <c r="J186" s="365"/>
      <c r="K186" s="365"/>
      <c r="L186" s="365"/>
    </row>
    <row r="187" spans="1:12" x14ac:dyDescent="0.25">
      <c r="A187" s="365" t="s">
        <v>431</v>
      </c>
      <c r="B187" s="364">
        <v>42781</v>
      </c>
      <c r="C187" s="365">
        <v>300</v>
      </c>
      <c r="D187" s="366">
        <v>77.194699999999997</v>
      </c>
      <c r="E187" s="366">
        <v>68.98</v>
      </c>
      <c r="F187" s="366">
        <f t="shared" si="34"/>
        <v>-2464.409999999998</v>
      </c>
      <c r="G187" s="366">
        <f t="shared" si="32"/>
        <v>23158.41</v>
      </c>
      <c r="H187" s="368">
        <f t="shared" si="33"/>
        <v>-0.10641533680421057</v>
      </c>
      <c r="I187" s="706"/>
      <c r="J187" s="365"/>
      <c r="K187" s="365"/>
      <c r="L187" s="365"/>
    </row>
    <row r="188" spans="1:12" x14ac:dyDescent="0.25">
      <c r="A188" s="365" t="s">
        <v>434</v>
      </c>
      <c r="B188" s="364">
        <v>42781</v>
      </c>
      <c r="C188" s="365">
        <v>250</v>
      </c>
      <c r="D188" s="366">
        <v>78.683999999999997</v>
      </c>
      <c r="E188" s="366">
        <v>69.8</v>
      </c>
      <c r="F188" s="366">
        <f t="shared" si="34"/>
        <v>-2221</v>
      </c>
      <c r="G188" s="366">
        <f t="shared" si="32"/>
        <v>19671</v>
      </c>
      <c r="H188" s="368">
        <f t="shared" si="33"/>
        <v>-0.11290732550454985</v>
      </c>
      <c r="I188" s="706"/>
      <c r="J188" s="365"/>
      <c r="K188" s="365"/>
      <c r="L188" s="365"/>
    </row>
    <row r="189" spans="1:12" x14ac:dyDescent="0.25">
      <c r="A189" s="365" t="s">
        <v>448</v>
      </c>
      <c r="B189" s="364">
        <v>42788</v>
      </c>
      <c r="C189" s="365">
        <v>250</v>
      </c>
      <c r="D189" s="366">
        <v>78.683999999999997</v>
      </c>
      <c r="E189" s="366">
        <v>68.83</v>
      </c>
      <c r="F189" s="366">
        <f t="shared" si="34"/>
        <v>-2463.5</v>
      </c>
      <c r="G189" s="366">
        <f t="shared" si="32"/>
        <v>19671</v>
      </c>
      <c r="H189" s="368">
        <f t="shared" si="33"/>
        <v>-0.12523511768593359</v>
      </c>
      <c r="I189" s="706"/>
      <c r="J189" s="365"/>
      <c r="K189" s="365"/>
      <c r="L189" s="365"/>
    </row>
    <row r="190" spans="1:12" x14ac:dyDescent="0.25">
      <c r="A190" s="365" t="s">
        <v>400</v>
      </c>
      <c r="B190" s="364">
        <v>42789</v>
      </c>
      <c r="C190" s="365">
        <v>250</v>
      </c>
      <c r="D190" s="366">
        <v>78.683999999999997</v>
      </c>
      <c r="E190" s="366">
        <v>69.94</v>
      </c>
      <c r="F190" s="366">
        <f t="shared" si="34"/>
        <v>-2186</v>
      </c>
      <c r="G190" s="366">
        <f t="shared" si="32"/>
        <v>19671</v>
      </c>
      <c r="H190" s="368">
        <f t="shared" si="33"/>
        <v>-0.11112805652991714</v>
      </c>
      <c r="I190" s="706"/>
      <c r="J190" s="365"/>
      <c r="K190" s="365"/>
      <c r="L190" s="365"/>
    </row>
    <row r="191" spans="1:12" x14ac:dyDescent="0.25">
      <c r="A191" s="365">
        <v>250</v>
      </c>
      <c r="B191" s="364">
        <v>42808</v>
      </c>
      <c r="C191" s="365">
        <v>250</v>
      </c>
      <c r="D191" s="366">
        <v>78.683999999999997</v>
      </c>
      <c r="E191" s="366">
        <v>67.77</v>
      </c>
      <c r="F191" s="366">
        <f t="shared" si="34"/>
        <v>-2728.5000000000005</v>
      </c>
      <c r="G191" s="366">
        <f t="shared" si="32"/>
        <v>19671</v>
      </c>
      <c r="H191" s="368">
        <f t="shared" si="33"/>
        <v>-0.13870672563672415</v>
      </c>
      <c r="I191" s="706"/>
      <c r="J191" s="365"/>
      <c r="K191" s="365"/>
      <c r="L191" s="365"/>
    </row>
    <row r="192" spans="1:12" x14ac:dyDescent="0.25">
      <c r="A192" s="365">
        <v>250</v>
      </c>
      <c r="B192" s="364">
        <v>42809</v>
      </c>
      <c r="C192" s="365">
        <v>250</v>
      </c>
      <c r="D192" s="366">
        <v>78.683999999999997</v>
      </c>
      <c r="E192" s="366">
        <v>68.47</v>
      </c>
      <c r="F192" s="366">
        <f t="shared" si="34"/>
        <v>-2553.4999999999995</v>
      </c>
      <c r="G192" s="366">
        <f t="shared" si="32"/>
        <v>19671</v>
      </c>
      <c r="H192" s="368">
        <f t="shared" si="33"/>
        <v>-0.12981038076356055</v>
      </c>
      <c r="I192" s="706"/>
      <c r="J192" s="365">
        <v>43.23</v>
      </c>
      <c r="K192" s="365"/>
      <c r="L192" s="365"/>
    </row>
    <row r="193" spans="1:12" x14ac:dyDescent="0.25">
      <c r="A193" s="365">
        <v>250</v>
      </c>
      <c r="B193" s="364">
        <v>42819</v>
      </c>
      <c r="C193" s="365">
        <v>250</v>
      </c>
      <c r="D193" s="366">
        <v>78.683999999999997</v>
      </c>
      <c r="E193" s="366">
        <v>67.510000000000005</v>
      </c>
      <c r="F193" s="366">
        <f t="shared" si="34"/>
        <v>-2793.4999999999982</v>
      </c>
      <c r="G193" s="366">
        <f t="shared" si="32"/>
        <v>19671</v>
      </c>
      <c r="H193" s="368">
        <f t="shared" si="33"/>
        <v>-0.14201108230389906</v>
      </c>
      <c r="I193" s="706"/>
      <c r="J193" s="365"/>
      <c r="K193" s="365"/>
      <c r="L193" s="365"/>
    </row>
    <row r="194" spans="1:12" x14ac:dyDescent="0.25">
      <c r="A194" s="365">
        <v>250</v>
      </c>
      <c r="B194" s="364">
        <v>42820</v>
      </c>
      <c r="C194" s="365">
        <v>250</v>
      </c>
      <c r="D194" s="366">
        <v>78.164000000000001</v>
      </c>
      <c r="E194" s="366">
        <v>67.92</v>
      </c>
      <c r="F194" s="366">
        <f t="shared" si="34"/>
        <v>-2561</v>
      </c>
      <c r="G194" s="366">
        <f t="shared" si="32"/>
        <v>19541</v>
      </c>
      <c r="H194" s="368">
        <f t="shared" si="33"/>
        <v>-0.13105777595824164</v>
      </c>
      <c r="I194" s="706" t="s">
        <v>185</v>
      </c>
      <c r="J194" s="365">
        <v>44.78</v>
      </c>
      <c r="K194" s="365"/>
      <c r="L194" s="365"/>
    </row>
    <row r="195" spans="1:12" x14ac:dyDescent="0.25">
      <c r="A195" s="365">
        <v>250</v>
      </c>
      <c r="B195" s="364">
        <v>42821</v>
      </c>
      <c r="C195" s="365">
        <v>250</v>
      </c>
      <c r="D195" s="366">
        <v>78.164000000000001</v>
      </c>
      <c r="E195" s="366">
        <v>66.02</v>
      </c>
      <c r="F195" s="366">
        <f t="shared" si="34"/>
        <v>-3036.0000000000014</v>
      </c>
      <c r="G195" s="366">
        <f t="shared" si="32"/>
        <v>19541</v>
      </c>
      <c r="H195" s="368">
        <f t="shared" si="33"/>
        <v>-0.15536564147177737</v>
      </c>
      <c r="I195" s="706"/>
      <c r="J195" s="365"/>
      <c r="K195" s="365"/>
      <c r="L195" s="365"/>
    </row>
    <row r="196" spans="1:12" x14ac:dyDescent="0.25">
      <c r="A196" s="365">
        <v>250</v>
      </c>
      <c r="B196" s="364">
        <v>42862</v>
      </c>
      <c r="C196" s="365">
        <v>250</v>
      </c>
      <c r="D196" s="366">
        <v>78.164000000000001</v>
      </c>
      <c r="E196" s="366">
        <v>67.8</v>
      </c>
      <c r="F196" s="366">
        <f t="shared" si="34"/>
        <v>-2591.0000000000009</v>
      </c>
      <c r="G196" s="366">
        <f t="shared" si="32"/>
        <v>19541</v>
      </c>
      <c r="H196" s="368">
        <f t="shared" si="33"/>
        <v>-0.13259300956962289</v>
      </c>
      <c r="I196" s="706"/>
      <c r="J196" s="365"/>
      <c r="K196" s="365"/>
      <c r="L196" s="365"/>
    </row>
    <row r="197" spans="1:12" x14ac:dyDescent="0.25">
      <c r="A197" s="365">
        <v>250</v>
      </c>
      <c r="B197" s="364">
        <v>42917</v>
      </c>
      <c r="C197" s="365">
        <v>250</v>
      </c>
      <c r="D197" s="366">
        <v>77.644000000000005</v>
      </c>
      <c r="E197" s="366">
        <v>70.78</v>
      </c>
      <c r="F197" s="366">
        <f t="shared" si="34"/>
        <v>-1716.0000000000011</v>
      </c>
      <c r="G197" s="366">
        <f t="shared" si="32"/>
        <v>19411</v>
      </c>
      <c r="H197" s="368">
        <f t="shared" si="33"/>
        <v>-8.8403482561434293E-2</v>
      </c>
      <c r="I197" s="706"/>
      <c r="J197" s="365"/>
      <c r="K197" s="365"/>
      <c r="L197" s="365"/>
    </row>
    <row r="198" spans="1:12" x14ac:dyDescent="0.25">
      <c r="A198" s="365">
        <v>200</v>
      </c>
      <c r="B198" s="364">
        <v>42940</v>
      </c>
      <c r="C198" s="365">
        <v>200</v>
      </c>
      <c r="D198" s="366">
        <v>78.535399999999996</v>
      </c>
      <c r="E198" s="366">
        <v>74.39</v>
      </c>
      <c r="F198" s="366">
        <f t="shared" si="34"/>
        <v>-829.07999999999902</v>
      </c>
      <c r="G198" s="366">
        <f t="shared" si="32"/>
        <v>15707.08</v>
      </c>
      <c r="H198" s="368">
        <f t="shared" si="33"/>
        <v>-5.2783840153612198E-2</v>
      </c>
      <c r="I198" s="706" t="s">
        <v>720</v>
      </c>
      <c r="J198" s="365"/>
      <c r="K198" s="365"/>
      <c r="L198" s="365"/>
    </row>
    <row r="199" spans="1:12" x14ac:dyDescent="0.25">
      <c r="A199" s="365">
        <v>200</v>
      </c>
      <c r="B199" s="364">
        <v>42947</v>
      </c>
      <c r="C199" s="365">
        <v>200</v>
      </c>
      <c r="D199" s="366">
        <v>78.540000000000006</v>
      </c>
      <c r="E199" s="366">
        <v>76.09</v>
      </c>
      <c r="F199" s="366">
        <f t="shared" si="34"/>
        <v>-490.00000000000057</v>
      </c>
      <c r="G199" s="366">
        <f t="shared" si="32"/>
        <v>15708.000000000002</v>
      </c>
      <c r="H199" s="368">
        <f t="shared" si="33"/>
        <v>-3.1194295900178286E-2</v>
      </c>
      <c r="I199" s="706"/>
      <c r="J199" s="365"/>
      <c r="K199" s="365"/>
      <c r="L199" s="365"/>
    </row>
    <row r="200" spans="1:12" x14ac:dyDescent="0.25">
      <c r="A200" s="365">
        <v>200</v>
      </c>
      <c r="B200" s="364">
        <v>42953</v>
      </c>
      <c r="C200" s="365">
        <v>200</v>
      </c>
      <c r="D200" s="366">
        <v>78.540000000000006</v>
      </c>
      <c r="E200" s="366">
        <v>73.16</v>
      </c>
      <c r="F200" s="366">
        <f t="shared" si="34"/>
        <v>-1076.0000000000018</v>
      </c>
      <c r="G200" s="366">
        <f t="shared" si="32"/>
        <v>15708.000000000002</v>
      </c>
      <c r="H200" s="368">
        <f t="shared" si="33"/>
        <v>-6.8500127323656859E-2</v>
      </c>
      <c r="I200" s="706"/>
      <c r="J200" s="365"/>
      <c r="K200" s="365"/>
      <c r="L200" s="365"/>
    </row>
    <row r="201" spans="1:12" x14ac:dyDescent="0.25">
      <c r="A201" s="365">
        <v>100</v>
      </c>
      <c r="B201" s="364">
        <v>42977</v>
      </c>
      <c r="C201" s="365">
        <v>100</v>
      </c>
      <c r="D201" s="366">
        <v>76.489999999999995</v>
      </c>
      <c r="E201" s="366">
        <v>81.23</v>
      </c>
      <c r="F201" s="366">
        <f t="shared" si="34"/>
        <v>474.00000000000091</v>
      </c>
      <c r="G201" s="366">
        <f t="shared" si="32"/>
        <v>7648.9999999999991</v>
      </c>
      <c r="H201" s="368">
        <f t="shared" si="33"/>
        <v>6.1968884821545424E-2</v>
      </c>
      <c r="I201" s="706" t="s">
        <v>707</v>
      </c>
      <c r="J201" s="365"/>
      <c r="K201" s="365"/>
      <c r="L201" s="365"/>
    </row>
    <row r="202" spans="1:12" x14ac:dyDescent="0.25">
      <c r="A202" s="365">
        <v>50</v>
      </c>
      <c r="B202" s="364">
        <v>42981</v>
      </c>
      <c r="C202" s="365">
        <v>50</v>
      </c>
      <c r="D202" s="366">
        <v>69.81</v>
      </c>
      <c r="E202" s="366">
        <v>83.75</v>
      </c>
      <c r="F202" s="366">
        <f t="shared" si="34"/>
        <v>696.99999999999989</v>
      </c>
      <c r="G202" s="366">
        <f t="shared" si="32"/>
        <v>3490.5</v>
      </c>
      <c r="H202" s="368">
        <f t="shared" si="33"/>
        <v>0.19968485890273596</v>
      </c>
      <c r="I202" s="706"/>
      <c r="J202" s="365"/>
      <c r="K202" s="365"/>
      <c r="L202" s="365"/>
    </row>
    <row r="203" spans="1:12" x14ac:dyDescent="0.25">
      <c r="A203" s="365">
        <v>50</v>
      </c>
      <c r="B203" s="364">
        <v>42983</v>
      </c>
      <c r="C203" s="365">
        <v>100</v>
      </c>
      <c r="D203" s="366">
        <v>75.84</v>
      </c>
      <c r="E203" s="366">
        <v>82.56</v>
      </c>
      <c r="F203" s="366">
        <f t="shared" si="34"/>
        <v>671.99999999999989</v>
      </c>
      <c r="G203" s="366"/>
      <c r="H203" s="368">
        <f t="shared" si="33"/>
        <v>8.8607594936708847E-2</v>
      </c>
      <c r="I203" s="706">
        <v>75</v>
      </c>
      <c r="J203" s="365"/>
      <c r="K203" s="365"/>
      <c r="L203" s="365"/>
    </row>
    <row r="204" spans="1:12" x14ac:dyDescent="0.25">
      <c r="A204" s="365">
        <v>0</v>
      </c>
      <c r="B204" s="364">
        <v>42984</v>
      </c>
      <c r="C204" s="365">
        <v>50</v>
      </c>
      <c r="D204" s="366">
        <v>68.706999999999994</v>
      </c>
      <c r="E204" s="366">
        <v>82.98</v>
      </c>
      <c r="F204" s="366">
        <f t="shared" si="34"/>
        <v>713.65000000000055</v>
      </c>
      <c r="G204" s="366">
        <f t="shared" ref="G204" si="35">D204*C204</f>
        <v>3435.3499999999995</v>
      </c>
      <c r="H204" s="368">
        <f t="shared" si="33"/>
        <v>0.2077372029050899</v>
      </c>
      <c r="I204" s="706"/>
      <c r="J204" s="365"/>
      <c r="K204" s="365"/>
      <c r="L204" s="365"/>
    </row>
    <row r="205" spans="1:12" x14ac:dyDescent="0.25">
      <c r="A205" s="814"/>
      <c r="B205" s="814"/>
      <c r="C205" s="814"/>
      <c r="D205" s="815"/>
      <c r="E205" s="815"/>
      <c r="F205" s="815"/>
      <c r="G205" s="815"/>
      <c r="H205" s="816"/>
      <c r="I205" s="817"/>
      <c r="J205" s="814"/>
      <c r="K205" s="814"/>
      <c r="L205" s="814"/>
    </row>
    <row r="206" spans="1:12" x14ac:dyDescent="0.25">
      <c r="A206" s="814"/>
      <c r="B206" s="814"/>
      <c r="C206" s="814"/>
      <c r="D206" s="815"/>
      <c r="E206" s="815"/>
      <c r="F206" s="815"/>
      <c r="G206" s="815"/>
      <c r="H206" s="816"/>
      <c r="I206" s="817"/>
      <c r="J206" s="814"/>
      <c r="K206" s="814"/>
      <c r="L206" s="814"/>
    </row>
    <row r="207" spans="1:12" x14ac:dyDescent="0.25">
      <c r="A207" s="814"/>
      <c r="B207" s="818">
        <v>42984</v>
      </c>
      <c r="C207" s="814">
        <v>50</v>
      </c>
      <c r="D207" s="815">
        <v>81.88</v>
      </c>
      <c r="E207" s="815">
        <v>82.66</v>
      </c>
      <c r="F207" s="815">
        <f t="shared" ref="F207:F225" si="36">C207*(E207-D207)</f>
        <v>39.000000000000057</v>
      </c>
      <c r="G207" s="815">
        <f t="shared" ref="G207:G225" si="37">D207*C207</f>
        <v>4094</v>
      </c>
      <c r="H207" s="819">
        <f t="shared" ref="H207:H225" si="38">(E207-D207)/D207</f>
        <v>9.5261358085002579E-3</v>
      </c>
      <c r="I207" s="820"/>
      <c r="J207" s="814"/>
      <c r="K207" s="814"/>
      <c r="L207" s="814"/>
    </row>
    <row r="208" spans="1:12" x14ac:dyDescent="0.25">
      <c r="A208" s="814"/>
      <c r="B208" s="818">
        <v>42988</v>
      </c>
      <c r="C208" s="814">
        <v>50</v>
      </c>
      <c r="D208" s="815">
        <v>81.88</v>
      </c>
      <c r="E208" s="815">
        <v>85.1</v>
      </c>
      <c r="F208" s="815">
        <f t="shared" si="36"/>
        <v>160.99999999999994</v>
      </c>
      <c r="G208" s="815">
        <f t="shared" si="37"/>
        <v>4094</v>
      </c>
      <c r="H208" s="819">
        <f t="shared" si="38"/>
        <v>3.9325842696629199E-2</v>
      </c>
      <c r="I208" s="817"/>
      <c r="J208" s="814"/>
      <c r="K208" s="814"/>
      <c r="L208" s="814"/>
    </row>
    <row r="209" spans="1:12" x14ac:dyDescent="0.25">
      <c r="A209" s="814"/>
      <c r="B209" s="818">
        <v>42992</v>
      </c>
      <c r="C209" s="814">
        <v>100</v>
      </c>
      <c r="D209" s="815">
        <v>81.844999999999999</v>
      </c>
      <c r="E209" s="815">
        <v>82.28</v>
      </c>
      <c r="F209" s="815">
        <f t="shared" si="36"/>
        <v>43.500000000000227</v>
      </c>
      <c r="G209" s="815">
        <f t="shared" si="37"/>
        <v>8184.5</v>
      </c>
      <c r="H209" s="819">
        <f t="shared" si="38"/>
        <v>5.3149245525078168E-3</v>
      </c>
      <c r="I209" s="817"/>
      <c r="J209" s="814"/>
      <c r="K209" s="814"/>
      <c r="L209" s="814"/>
    </row>
    <row r="210" spans="1:12" x14ac:dyDescent="0.25">
      <c r="A210" s="814">
        <v>0</v>
      </c>
      <c r="B210" s="818">
        <v>43018</v>
      </c>
      <c r="C210" s="814">
        <v>50</v>
      </c>
      <c r="D210" s="815">
        <v>80.102000000000004</v>
      </c>
      <c r="E210" s="815">
        <v>81.98</v>
      </c>
      <c r="F210" s="815">
        <f t="shared" si="36"/>
        <v>93.9</v>
      </c>
      <c r="G210" s="815">
        <f t="shared" si="37"/>
        <v>4005.1000000000004</v>
      </c>
      <c r="H210" s="819">
        <f t="shared" si="38"/>
        <v>2.3445107487952862E-2</v>
      </c>
      <c r="I210" s="815">
        <v>75.5</v>
      </c>
      <c r="J210" s="814"/>
      <c r="K210" s="815">
        <v>805.57</v>
      </c>
      <c r="L210" s="814"/>
    </row>
    <row r="211" spans="1:12" x14ac:dyDescent="0.25">
      <c r="A211" s="814">
        <v>0</v>
      </c>
      <c r="B211" s="818">
        <v>43020</v>
      </c>
      <c r="C211" s="814">
        <v>100</v>
      </c>
      <c r="D211" s="815">
        <v>80.891000000000005</v>
      </c>
      <c r="E211" s="815">
        <v>81.680000000000007</v>
      </c>
      <c r="F211" s="815">
        <f t="shared" si="36"/>
        <v>78.900000000000148</v>
      </c>
      <c r="G211" s="815">
        <f t="shared" si="37"/>
        <v>8089.1</v>
      </c>
      <c r="H211" s="816">
        <f t="shared" si="38"/>
        <v>9.7538663139286382E-3</v>
      </c>
      <c r="I211" s="815">
        <v>80</v>
      </c>
      <c r="J211" s="814"/>
      <c r="K211" s="815">
        <v>757</v>
      </c>
      <c r="L211" s="814"/>
    </row>
    <row r="212" spans="1:12" x14ac:dyDescent="0.25">
      <c r="A212" s="814">
        <v>50</v>
      </c>
      <c r="B212" s="818">
        <v>43035</v>
      </c>
      <c r="C212" s="814">
        <v>150</v>
      </c>
      <c r="D212" s="815">
        <v>78.554000000000002</v>
      </c>
      <c r="E212" s="815">
        <v>73.28</v>
      </c>
      <c r="F212" s="815">
        <f t="shared" si="36"/>
        <v>-791.10000000000014</v>
      </c>
      <c r="G212" s="815">
        <f t="shared" si="37"/>
        <v>11783.1</v>
      </c>
      <c r="H212" s="816">
        <f t="shared" si="38"/>
        <v>-6.713852891004915E-2</v>
      </c>
      <c r="I212" s="817"/>
      <c r="J212" s="814"/>
      <c r="K212" s="815">
        <v>-132</v>
      </c>
      <c r="L212" s="814"/>
    </row>
    <row r="213" spans="1:12" x14ac:dyDescent="0.25">
      <c r="A213" s="814"/>
      <c r="B213" s="818">
        <v>43035</v>
      </c>
      <c r="C213" s="814">
        <v>100</v>
      </c>
      <c r="D213" s="815">
        <v>79.691900000000004</v>
      </c>
      <c r="E213" s="815">
        <v>76.28</v>
      </c>
      <c r="F213" s="815">
        <f t="shared" si="36"/>
        <v>-341.19000000000028</v>
      </c>
      <c r="G213" s="815">
        <f t="shared" si="37"/>
        <v>7969.1900000000005</v>
      </c>
      <c r="H213" s="816">
        <f t="shared" si="38"/>
        <v>-4.2813636015705522E-2</v>
      </c>
      <c r="I213" s="821" t="s">
        <v>773</v>
      </c>
      <c r="J213" s="814"/>
      <c r="K213" s="815">
        <v>317</v>
      </c>
      <c r="L213" s="814"/>
    </row>
    <row r="214" spans="1:12" x14ac:dyDescent="0.25">
      <c r="A214" s="814"/>
      <c r="B214" s="818">
        <v>43044</v>
      </c>
      <c r="C214" s="814">
        <v>100</v>
      </c>
      <c r="D214" s="815">
        <v>79.69</v>
      </c>
      <c r="E214" s="815">
        <v>73.459999999999994</v>
      </c>
      <c r="F214" s="815">
        <f t="shared" si="36"/>
        <v>-623.00000000000045</v>
      </c>
      <c r="G214" s="815">
        <f t="shared" si="37"/>
        <v>7969</v>
      </c>
      <c r="H214" s="816">
        <f t="shared" si="38"/>
        <v>-7.8177939515623088E-2</v>
      </c>
      <c r="I214" s="817"/>
      <c r="J214" s="814">
        <v>23.71</v>
      </c>
      <c r="K214" s="815">
        <v>35</v>
      </c>
      <c r="L214" s="814"/>
    </row>
    <row r="215" spans="1:12" x14ac:dyDescent="0.25">
      <c r="A215" s="822">
        <v>50</v>
      </c>
      <c r="B215" s="818">
        <v>43053</v>
      </c>
      <c r="C215" s="814">
        <v>150</v>
      </c>
      <c r="D215" s="815">
        <v>76.989999999999995</v>
      </c>
      <c r="E215" s="815">
        <v>71.150000000000006</v>
      </c>
      <c r="F215" s="815">
        <f t="shared" si="36"/>
        <v>-875.99999999999841</v>
      </c>
      <c r="G215" s="815">
        <f t="shared" si="37"/>
        <v>11548.5</v>
      </c>
      <c r="H215" s="816">
        <f t="shared" si="38"/>
        <v>-7.5854007013897773E-2</v>
      </c>
      <c r="I215" s="815">
        <v>76.5</v>
      </c>
      <c r="J215" s="814"/>
      <c r="K215" s="815">
        <v>-217</v>
      </c>
      <c r="L215" s="814"/>
    </row>
    <row r="216" spans="1:12" x14ac:dyDescent="0.25">
      <c r="A216" s="822">
        <v>50</v>
      </c>
      <c r="B216" s="818">
        <v>43068</v>
      </c>
      <c r="C216" s="814">
        <v>100</v>
      </c>
      <c r="D216" s="815">
        <v>78.392799999999994</v>
      </c>
      <c r="E216" s="815">
        <v>73.67</v>
      </c>
      <c r="F216" s="815">
        <f t="shared" si="36"/>
        <v>-472.27999999999923</v>
      </c>
      <c r="G216" s="815">
        <f t="shared" si="37"/>
        <v>7839.28</v>
      </c>
      <c r="H216" s="816">
        <f t="shared" si="38"/>
        <v>-6.0245328652631269E-2</v>
      </c>
      <c r="I216" s="821" t="s">
        <v>783</v>
      </c>
      <c r="J216" s="814"/>
      <c r="K216" s="815">
        <v>186</v>
      </c>
      <c r="L216" s="814"/>
    </row>
    <row r="217" spans="1:12" x14ac:dyDescent="0.25">
      <c r="A217" s="822">
        <v>100</v>
      </c>
      <c r="B217" s="818">
        <v>43090</v>
      </c>
      <c r="C217" s="814">
        <v>150</v>
      </c>
      <c r="D217" s="815">
        <v>76.688500000000005</v>
      </c>
      <c r="E217" s="815">
        <v>73.02</v>
      </c>
      <c r="F217" s="815">
        <f t="shared" si="36"/>
        <v>-550.27500000000134</v>
      </c>
      <c r="G217" s="815">
        <f t="shared" si="37"/>
        <v>11503.275000000001</v>
      </c>
      <c r="H217" s="816">
        <f t="shared" si="38"/>
        <v>-4.7836377031758456E-2</v>
      </c>
      <c r="I217" s="817"/>
      <c r="J217" s="814">
        <v>43.77</v>
      </c>
      <c r="K217" s="815">
        <v>108</v>
      </c>
      <c r="L217" s="814"/>
    </row>
    <row r="218" spans="1:12" x14ac:dyDescent="0.25">
      <c r="A218" s="822">
        <v>100</v>
      </c>
      <c r="B218" s="818">
        <v>43098</v>
      </c>
      <c r="C218" s="814">
        <v>150</v>
      </c>
      <c r="D218" s="815">
        <v>76.341999999999999</v>
      </c>
      <c r="E218" s="815">
        <v>72</v>
      </c>
      <c r="F218" s="815">
        <f t="shared" si="36"/>
        <v>-651.29999999999984</v>
      </c>
      <c r="G218" s="815">
        <f t="shared" si="37"/>
        <v>11451.3</v>
      </c>
      <c r="H218" s="816">
        <f t="shared" si="38"/>
        <v>-5.6875638573786365E-2</v>
      </c>
      <c r="I218" s="817" t="s">
        <v>840</v>
      </c>
      <c r="J218" s="814"/>
      <c r="K218" s="815">
        <v>7</v>
      </c>
      <c r="L218" s="814"/>
    </row>
    <row r="219" spans="1:12" x14ac:dyDescent="0.25">
      <c r="A219" s="822">
        <v>100</v>
      </c>
      <c r="B219" s="818">
        <v>43098</v>
      </c>
      <c r="C219" s="814">
        <v>200</v>
      </c>
      <c r="D219" s="815">
        <v>75.17</v>
      </c>
      <c r="E219" s="815">
        <v>71.64</v>
      </c>
      <c r="F219" s="815">
        <f t="shared" si="36"/>
        <v>-706.00000000000023</v>
      </c>
      <c r="G219" s="815">
        <f t="shared" si="37"/>
        <v>15034</v>
      </c>
      <c r="H219" s="816">
        <f t="shared" si="38"/>
        <v>-4.6960223493414943E-2</v>
      </c>
      <c r="I219" s="821">
        <v>75</v>
      </c>
      <c r="J219" s="814"/>
      <c r="K219" s="815">
        <v>-47</v>
      </c>
      <c r="L219" s="814"/>
    </row>
    <row r="220" spans="1:12" x14ac:dyDescent="0.25">
      <c r="A220" s="822">
        <v>50</v>
      </c>
      <c r="B220" s="818">
        <v>43102</v>
      </c>
      <c r="C220" s="814">
        <v>150</v>
      </c>
      <c r="D220" s="815">
        <v>75.698999999999998</v>
      </c>
      <c r="E220" s="815">
        <v>74.099999999999994</v>
      </c>
      <c r="F220" s="815">
        <f t="shared" si="36"/>
        <v>-239.85000000000056</v>
      </c>
      <c r="G220" s="815">
        <f t="shared" si="37"/>
        <v>11354.85</v>
      </c>
      <c r="H220" s="819">
        <f t="shared" si="38"/>
        <v>-2.1123132405976353E-2</v>
      </c>
      <c r="I220" s="821" t="s">
        <v>845</v>
      </c>
      <c r="J220" s="814"/>
      <c r="K220" s="815">
        <v>419</v>
      </c>
      <c r="L220" s="814"/>
    </row>
    <row r="221" spans="1:12" x14ac:dyDescent="0.25">
      <c r="A221" s="822">
        <v>0</v>
      </c>
      <c r="B221" s="818">
        <v>43105</v>
      </c>
      <c r="C221" s="814">
        <v>100</v>
      </c>
      <c r="D221" s="815">
        <v>76.293999999999997</v>
      </c>
      <c r="E221" s="815">
        <v>74.52</v>
      </c>
      <c r="F221" s="815">
        <f t="shared" si="36"/>
        <v>-177.40000000000009</v>
      </c>
      <c r="G221" s="815">
        <f t="shared" si="37"/>
        <v>7629.4</v>
      </c>
      <c r="H221" s="816">
        <f t="shared" si="38"/>
        <v>-2.3252156132854498E-2</v>
      </c>
      <c r="I221" s="821" t="s">
        <v>872</v>
      </c>
      <c r="J221" s="814"/>
      <c r="K221" s="815">
        <v>481</v>
      </c>
      <c r="L221" s="814"/>
    </row>
    <row r="222" spans="1:12" x14ac:dyDescent="0.25">
      <c r="A222" s="822">
        <v>0</v>
      </c>
      <c r="B222" s="818">
        <v>43109</v>
      </c>
      <c r="C222" s="814">
        <v>100</v>
      </c>
      <c r="D222" s="815">
        <v>76.290000000000006</v>
      </c>
      <c r="E222" s="815">
        <v>78.099999999999994</v>
      </c>
      <c r="F222" s="815">
        <f t="shared" si="36"/>
        <v>180.99999999999881</v>
      </c>
      <c r="G222" s="815">
        <f t="shared" si="37"/>
        <v>7629.0000000000009</v>
      </c>
      <c r="H222" s="816">
        <f t="shared" si="38"/>
        <v>2.3725258880587075E-2</v>
      </c>
      <c r="I222" s="817"/>
      <c r="J222" s="814"/>
      <c r="K222" s="815">
        <v>839</v>
      </c>
      <c r="L222" s="814"/>
    </row>
    <row r="223" spans="1:12" x14ac:dyDescent="0.25">
      <c r="A223" s="822">
        <v>0</v>
      </c>
      <c r="B223" s="818">
        <v>43110</v>
      </c>
      <c r="C223" s="814">
        <v>100</v>
      </c>
      <c r="D223" s="815">
        <v>76.290000000000006</v>
      </c>
      <c r="E223" s="815">
        <v>78.709999999999994</v>
      </c>
      <c r="F223" s="815">
        <f t="shared" si="36"/>
        <v>241.99999999999875</v>
      </c>
      <c r="G223" s="815">
        <f t="shared" si="37"/>
        <v>7629.0000000000009</v>
      </c>
      <c r="H223" s="816">
        <f t="shared" si="38"/>
        <v>3.1721064359680001E-2</v>
      </c>
      <c r="I223" s="821">
        <v>76</v>
      </c>
      <c r="J223" s="821">
        <v>67.739999999999995</v>
      </c>
      <c r="K223" s="815">
        <v>900.23</v>
      </c>
      <c r="L223" s="814"/>
    </row>
    <row r="224" spans="1:12" x14ac:dyDescent="0.25">
      <c r="A224" s="822">
        <v>0</v>
      </c>
      <c r="B224" s="818">
        <v>43117</v>
      </c>
      <c r="C224" s="814">
        <v>100</v>
      </c>
      <c r="D224" s="815">
        <v>76.290000000000006</v>
      </c>
      <c r="E224" s="815">
        <v>81.739999999999995</v>
      </c>
      <c r="F224" s="815">
        <f t="shared" si="36"/>
        <v>544.99999999999886</v>
      </c>
      <c r="G224" s="815">
        <f t="shared" si="37"/>
        <v>7629.0000000000009</v>
      </c>
      <c r="H224" s="816">
        <f t="shared" si="38"/>
        <v>7.143793419845311E-2</v>
      </c>
      <c r="I224" s="821">
        <v>76</v>
      </c>
      <c r="J224" s="821"/>
      <c r="K224" s="815">
        <v>1203</v>
      </c>
      <c r="L224" s="814"/>
    </row>
    <row r="225" spans="1:12" x14ac:dyDescent="0.25">
      <c r="A225" s="822">
        <v>0</v>
      </c>
      <c r="B225" s="818">
        <v>43126</v>
      </c>
      <c r="C225" s="814">
        <v>50</v>
      </c>
      <c r="D225" s="815">
        <v>68.62</v>
      </c>
      <c r="E225" s="815">
        <v>83.97</v>
      </c>
      <c r="F225" s="815">
        <f t="shared" si="36"/>
        <v>767.49999999999977</v>
      </c>
      <c r="G225" s="815">
        <f t="shared" si="37"/>
        <v>3431</v>
      </c>
      <c r="H225" s="816">
        <f t="shared" si="38"/>
        <v>0.22369571553482939</v>
      </c>
      <c r="I225" s="817"/>
      <c r="J225" s="814"/>
      <c r="K225" s="815">
        <v>1426</v>
      </c>
      <c r="L225" s="814"/>
    </row>
    <row r="226" spans="1:12" x14ac:dyDescent="0.25">
      <c r="A226" s="814"/>
      <c r="B226" s="814"/>
      <c r="C226" s="814"/>
      <c r="D226" s="815"/>
      <c r="E226" s="815"/>
      <c r="F226" s="815"/>
      <c r="G226" s="814"/>
      <c r="H226" s="814"/>
      <c r="I226" s="814"/>
      <c r="J226" s="814"/>
      <c r="K226" s="814"/>
      <c r="L226" s="814"/>
    </row>
    <row r="227" spans="1:12" x14ac:dyDescent="0.25">
      <c r="A227" s="814"/>
      <c r="B227" s="814"/>
      <c r="C227" s="814"/>
      <c r="D227" s="815"/>
      <c r="E227" s="815"/>
      <c r="F227" s="815"/>
      <c r="G227" s="814"/>
      <c r="H227" s="814"/>
      <c r="I227" s="814"/>
      <c r="J227" s="814"/>
      <c r="K227" s="814"/>
      <c r="L227" s="814"/>
    </row>
    <row r="228" spans="1:12" x14ac:dyDescent="0.25">
      <c r="A228" s="814"/>
      <c r="B228" s="814"/>
      <c r="C228" s="814"/>
      <c r="D228" s="815"/>
      <c r="E228" s="815"/>
      <c r="F228" s="815"/>
      <c r="G228" s="814"/>
      <c r="H228" s="814"/>
      <c r="I228" s="814"/>
      <c r="J228" s="814"/>
      <c r="K228" s="814"/>
      <c r="L228" s="814"/>
    </row>
    <row r="229" spans="1:12" x14ac:dyDescent="0.25">
      <c r="A229" s="814"/>
      <c r="B229" s="814"/>
      <c r="C229" s="814"/>
      <c r="D229" s="815"/>
      <c r="E229" s="815"/>
      <c r="F229" s="815"/>
      <c r="G229" s="814"/>
      <c r="H229" s="814"/>
      <c r="I229" s="814"/>
      <c r="J229" s="814"/>
      <c r="K229" s="814"/>
      <c r="L229" s="814"/>
    </row>
    <row r="230" spans="1:12" x14ac:dyDescent="0.25">
      <c r="A230" s="814"/>
      <c r="B230" s="814"/>
      <c r="C230" s="814"/>
      <c r="D230" s="815"/>
      <c r="E230" s="815"/>
      <c r="F230" s="815"/>
      <c r="G230" s="814"/>
      <c r="H230" s="814"/>
      <c r="I230" s="814"/>
      <c r="J230" s="814"/>
      <c r="K230" s="814"/>
      <c r="L230" s="814"/>
    </row>
    <row r="231" spans="1:12" x14ac:dyDescent="0.25">
      <c r="A231" s="814"/>
      <c r="B231" s="814"/>
      <c r="C231" s="814"/>
      <c r="D231" s="815"/>
      <c r="E231" s="815"/>
      <c r="F231" s="815"/>
      <c r="G231" s="814"/>
      <c r="H231" s="814"/>
      <c r="I231" s="814"/>
      <c r="J231" s="814"/>
      <c r="K231" s="814"/>
      <c r="L231" s="814"/>
    </row>
    <row r="232" spans="1:12" x14ac:dyDescent="0.25">
      <c r="A232" s="814"/>
      <c r="B232" s="814"/>
      <c r="C232" s="814"/>
      <c r="D232" s="815"/>
      <c r="E232" s="815"/>
      <c r="F232" s="815"/>
      <c r="G232" s="814"/>
      <c r="H232" s="814"/>
      <c r="I232" s="814"/>
      <c r="J232" s="814"/>
      <c r="K232" s="814"/>
      <c r="L232" s="814"/>
    </row>
  </sheetData>
  <mergeCells count="1">
    <mergeCell ref="O42:P42"/>
  </mergeCells>
  <conditionalFormatting sqref="H45:I45 H48:I52 I32 H34 H35:I35 H37:I37 H36 H38:H39 F34:F42 H40:I41 H42 H44 H46:H47 F44:F52 AA24:AG24">
    <cfRule type="expression" dxfId="149" priority="92">
      <formula>F24&gt;0</formula>
    </cfRule>
    <cfRule type="expression" dxfId="148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7" priority="75">
      <formula>F30&gt;0</formula>
    </cfRule>
    <cfRule type="expression" dxfId="146" priority="76">
      <formula>F30&lt;0</formula>
    </cfRule>
  </conditionalFormatting>
  <conditionalFormatting sqref="H43 H30:H33">
    <cfRule type="expression" dxfId="145" priority="73">
      <formula>H30&gt;0</formula>
    </cfRule>
    <cfRule type="expression" dxfId="144" priority="74">
      <formula>H30&lt;0</formula>
    </cfRule>
  </conditionalFormatting>
  <conditionalFormatting sqref="Q8">
    <cfRule type="expression" dxfId="143" priority="67">
      <formula>Q8&gt;0</formula>
    </cfRule>
    <cfRule type="expression" dxfId="142" priority="68">
      <formula>Q8&lt;0</formula>
    </cfRule>
  </conditionalFormatting>
  <conditionalFormatting sqref="Q7">
    <cfRule type="expression" dxfId="141" priority="69">
      <formula>Q7&gt;0</formula>
    </cfRule>
    <cfRule type="expression" dxfId="140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9" priority="55">
      <formula>F115&gt;0</formula>
    </cfRule>
    <cfRule type="expression" dxfId="138" priority="56">
      <formula>F115&lt;0</formula>
    </cfRule>
  </conditionalFormatting>
  <conditionalFormatting sqref="F112:F114">
    <cfRule type="expression" dxfId="137" priority="53">
      <formula>F112&gt;0</formula>
    </cfRule>
    <cfRule type="expression" dxfId="136" priority="54">
      <formula>F112&lt;0</formula>
    </cfRule>
  </conditionalFormatting>
  <conditionalFormatting sqref="H112:I112">
    <cfRule type="expression" dxfId="135" priority="51">
      <formula>H112&gt;0</formula>
    </cfRule>
    <cfRule type="expression" dxfId="134" priority="52">
      <formula>H112&lt;0</formula>
    </cfRule>
  </conditionalFormatting>
  <conditionalFormatting sqref="H113:I113">
    <cfRule type="expression" dxfId="133" priority="49">
      <formula>H113&gt;0</formula>
    </cfRule>
    <cfRule type="expression" dxfId="132" priority="50">
      <formula>H113&lt;0</formula>
    </cfRule>
  </conditionalFormatting>
  <conditionalFormatting sqref="H114:I114">
    <cfRule type="expression" dxfId="131" priority="47">
      <formula>H114&gt;0</formula>
    </cfRule>
    <cfRule type="expression" dxfId="130" priority="48">
      <formula>H114&lt;0</formula>
    </cfRule>
  </conditionalFormatting>
  <conditionalFormatting sqref="F105:F111">
    <cfRule type="expression" dxfId="129" priority="45">
      <formula>F105&gt;0</formula>
    </cfRule>
    <cfRule type="expression" dxfId="128" priority="46">
      <formula>F105&lt;0</formula>
    </cfRule>
  </conditionalFormatting>
  <conditionalFormatting sqref="H105:I111">
    <cfRule type="expression" dxfId="127" priority="43">
      <formula>H105&gt;0</formula>
    </cfRule>
    <cfRule type="expression" dxfId="126" priority="44">
      <formula>H105&lt;0</formula>
    </cfRule>
  </conditionalFormatting>
  <conditionalFormatting sqref="I117 F117:F119">
    <cfRule type="expression" dxfId="125" priority="41">
      <formula>F117&gt;0</formula>
    </cfRule>
    <cfRule type="expression" dxfId="124" priority="42">
      <formula>F117&lt;0</formula>
    </cfRule>
  </conditionalFormatting>
  <conditionalFormatting sqref="F189:F196 H189:H196">
    <cfRule type="expression" dxfId="123" priority="39">
      <formula>F189&gt;0</formula>
    </cfRule>
    <cfRule type="expression" dxfId="122" priority="40">
      <formula>F189&lt;0</formula>
    </cfRule>
  </conditionalFormatting>
  <conditionalFormatting sqref="H202 F202">
    <cfRule type="expression" dxfId="121" priority="37">
      <formula>F202&gt;0</formula>
    </cfRule>
    <cfRule type="expression" dxfId="120" priority="38">
      <formula>F202&lt;0</formula>
    </cfRule>
  </conditionalFormatting>
  <conditionalFormatting sqref="I204">
    <cfRule type="expression" dxfId="119" priority="35">
      <formula>I204&gt;0</formula>
    </cfRule>
    <cfRule type="expression" dxfId="118" priority="36">
      <formula>I204&lt;0</formula>
    </cfRule>
  </conditionalFormatting>
  <conditionalFormatting sqref="H204 F204">
    <cfRule type="expression" dxfId="117" priority="33">
      <formula>F204&gt;0</formula>
    </cfRule>
    <cfRule type="expression" dxfId="116" priority="34">
      <formula>F204&lt;0</formula>
    </cfRule>
  </conditionalFormatting>
  <conditionalFormatting sqref="M54">
    <cfRule type="expression" dxfId="115" priority="31">
      <formula>M54&gt;0</formula>
    </cfRule>
    <cfRule type="expression" dxfId="114" priority="32">
      <formula>M54&lt;0</formula>
    </cfRule>
  </conditionalFormatting>
  <conditionalFormatting sqref="K39:K49">
    <cfRule type="expression" dxfId="113" priority="29">
      <formula>K39&gt;0</formula>
    </cfRule>
    <cfRule type="expression" dxfId="112" priority="30">
      <formula>K39&lt;0</formula>
    </cfRule>
  </conditionalFormatting>
  <conditionalFormatting sqref="Q10">
    <cfRule type="expression" dxfId="111" priority="27">
      <formula>Q10&gt;0</formula>
    </cfRule>
    <cfRule type="expression" dxfId="110" priority="28">
      <formula>Q10&lt;0</formula>
    </cfRule>
  </conditionalFormatting>
  <conditionalFormatting sqref="Z10">
    <cfRule type="expression" dxfId="109" priority="25">
      <formula>Z10&gt;0</formula>
    </cfRule>
    <cfRule type="expression" dxfId="108" priority="26">
      <formula>Z10&lt;0</formula>
    </cfRule>
  </conditionalFormatting>
  <conditionalFormatting sqref="AA10:AE10">
    <cfRule type="expression" dxfId="107" priority="23">
      <formula>AA10&gt;0</formula>
    </cfRule>
    <cfRule type="expression" dxfId="106" priority="24">
      <formula>AA10&lt;0</formula>
    </cfRule>
  </conditionalFormatting>
  <conditionalFormatting sqref="Z24">
    <cfRule type="expression" dxfId="105" priority="21">
      <formula>Z24&gt;0</formula>
    </cfRule>
    <cfRule type="expression" dxfId="104" priority="22">
      <formula>Z24&lt;0</formula>
    </cfRule>
  </conditionalFormatting>
  <conditionalFormatting sqref="AF10:AG10">
    <cfRule type="expression" dxfId="103" priority="13">
      <formula>AF10&gt;0</formula>
    </cfRule>
    <cfRule type="expression" dxfId="102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101" priority="11">
      <formula>F208&gt;0</formula>
    </cfRule>
    <cfRule type="expression" dxfId="100" priority="12">
      <formula>F208&lt;0</formula>
    </cfRule>
  </conditionalFormatting>
  <conditionalFormatting sqref="F220 F207:F210">
    <cfRule type="expression" dxfId="99" priority="9">
      <formula>F207&gt;0</formula>
    </cfRule>
    <cfRule type="expression" dxfId="98" priority="10">
      <formula>F207&lt;0</formula>
    </cfRule>
  </conditionalFormatting>
  <conditionalFormatting sqref="H207:I207 H220 H208:H210">
    <cfRule type="expression" dxfId="97" priority="7">
      <formula>H207&gt;0</formula>
    </cfRule>
    <cfRule type="expression" dxfId="96" priority="8">
      <formula>H207&lt;0</formula>
    </cfRule>
  </conditionalFormatting>
  <conditionalFormatting sqref="K210:K225">
    <cfRule type="expression" dxfId="95" priority="5">
      <formula>K210&gt;0</formula>
    </cfRule>
    <cfRule type="expression" dxfId="94" priority="6">
      <formula>K210&lt;0</formula>
    </cfRule>
  </conditionalFormatting>
  <conditionalFormatting sqref="K31">
    <cfRule type="expression" dxfId="93" priority="3">
      <formula>K31&gt;0</formula>
    </cfRule>
    <cfRule type="expression" dxfId="92" priority="4">
      <formula>K31&lt;0</formula>
    </cfRule>
  </conditionalFormatting>
  <conditionalFormatting sqref="K32:K38">
    <cfRule type="expression" dxfId="91" priority="1">
      <formula>K32&gt;0</formula>
    </cfRule>
    <cfRule type="expression" dxfId="90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71.89</v>
      </c>
      <c r="R4" s="478">
        <v>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7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7">
        <v>42310</v>
      </c>
      <c r="C22" s="10">
        <v>0</v>
      </c>
      <c r="D22" s="196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4" t="s">
        <v>53</v>
      </c>
      <c r="B35" s="364">
        <v>42214</v>
      </c>
      <c r="C35" s="365">
        <v>15</v>
      </c>
      <c r="D35" s="366">
        <v>47.8</v>
      </c>
      <c r="E35" s="366">
        <v>0</v>
      </c>
      <c r="F35" s="366">
        <f>C35*D35</f>
        <v>717</v>
      </c>
      <c r="G35" s="364">
        <v>42313</v>
      </c>
      <c r="H35" s="366">
        <v>70</v>
      </c>
      <c r="I35" s="366">
        <v>46.15</v>
      </c>
      <c r="J35" s="366">
        <v>0.06</v>
      </c>
      <c r="K35" s="365">
        <f>I35*H35-J35</f>
        <v>3230.44</v>
      </c>
      <c r="L35" s="364">
        <v>42247</v>
      </c>
      <c r="M35" s="36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5" t="s">
        <v>71</v>
      </c>
      <c r="B36" s="364">
        <v>42233</v>
      </c>
      <c r="C36" s="365">
        <v>20</v>
      </c>
      <c r="D36" s="366">
        <v>47.5</v>
      </c>
      <c r="E36" s="366">
        <v>0</v>
      </c>
      <c r="F36" s="366">
        <f>C36*D36</f>
        <v>950</v>
      </c>
      <c r="G36" s="365"/>
      <c r="H36" s="365"/>
      <c r="I36" s="365"/>
      <c r="J36" s="365"/>
      <c r="K36" s="365"/>
      <c r="L36" s="364">
        <v>42338</v>
      </c>
      <c r="M36" s="36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5"/>
      <c r="B37" s="364">
        <v>42269</v>
      </c>
      <c r="C37" s="365">
        <v>35</v>
      </c>
      <c r="D37" s="366">
        <v>43.8</v>
      </c>
      <c r="E37" s="366">
        <v>0</v>
      </c>
      <c r="F37" s="366">
        <f>C37*D37</f>
        <v>1533</v>
      </c>
      <c r="G37" s="365"/>
      <c r="H37" s="365"/>
      <c r="I37" s="365"/>
      <c r="J37" s="365"/>
      <c r="K37" s="365"/>
      <c r="L37" s="365"/>
      <c r="M37" s="365"/>
      <c r="W37" s="130">
        <v>42781</v>
      </c>
      <c r="X37" s="10" t="s">
        <v>440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47" t="s">
        <v>78</v>
      </c>
      <c r="P42" s="84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79.079000000000008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2">O44*$Q$4</f>
        <v>78.360100000000003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2"/>
        <v>77.641200000000012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2"/>
        <v>76.922300000000007</v>
      </c>
      <c r="Q46" s="81"/>
      <c r="T46" s="91" t="s">
        <v>100</v>
      </c>
      <c r="U46" s="86" t="s">
        <v>663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2"/>
        <v>76.203400000000002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2"/>
        <v>75.484499999999997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2"/>
        <v>74.765600000000006</v>
      </c>
      <c r="Q49" s="81"/>
      <c r="T49" s="91" t="s">
        <v>121</v>
      </c>
      <c r="U49" s="86" t="s">
        <v>360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2"/>
        <v>74.046700000000001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73.327799999999996</v>
      </c>
      <c r="Q51" s="81"/>
      <c r="T51" s="91" t="s">
        <v>104</v>
      </c>
      <c r="U51" s="86" t="s">
        <v>664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5"/>
      <c r="J52" s="365"/>
      <c r="K52" s="365"/>
      <c r="L52" s="365"/>
      <c r="M52" s="365"/>
      <c r="O52" s="81">
        <v>1.01</v>
      </c>
      <c r="P52" s="81">
        <f t="shared" si="2"/>
        <v>72.608900000000006</v>
      </c>
      <c r="Q52" s="81"/>
      <c r="T52" s="91" t="s">
        <v>105</v>
      </c>
      <c r="U52" s="86" t="s">
        <v>665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71.171099999999996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70.452200000000005</v>
      </c>
      <c r="Q55" s="81"/>
      <c r="T55" s="91" t="s">
        <v>107</v>
      </c>
      <c r="U55" s="86" t="s">
        <v>666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69.7333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69.014399999999995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68.295500000000004</v>
      </c>
      <c r="Q58" s="81"/>
      <c r="T58" s="91" t="s">
        <v>108</v>
      </c>
      <c r="U58" s="86" t="s">
        <v>532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67.576599999999999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66.857700000000008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66.138800000000003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65.419899999999998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64.701000000000008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9" priority="5">
      <formula>F21&gt;0</formula>
    </cfRule>
    <cfRule type="expression" dxfId="88" priority="6">
      <formula>F21&lt;0</formula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conditionalFormatting sqref="Q7">
    <cfRule type="expression" dxfId="85" priority="3">
      <formula>Q7&gt;0</formula>
    </cfRule>
    <cfRule type="expression" dxfId="8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2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5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7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5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7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4">
        <f>IF(Q2=0, Q4, (F21-K21-M21)/Q2)</f>
        <v>52.843066666666672</v>
      </c>
      <c r="U3" s="83">
        <v>43180</v>
      </c>
      <c r="V3" t="s">
        <v>1013</v>
      </c>
    </row>
    <row r="4" spans="1:22" x14ac:dyDescent="0.25">
      <c r="B4" s="437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7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44.73</v>
      </c>
      <c r="R4" s="478">
        <v>-1.17E-2</v>
      </c>
    </row>
    <row r="5" spans="1:22" x14ac:dyDescent="0.25">
      <c r="B5" s="437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7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6709.4999999999991</v>
      </c>
    </row>
    <row r="6" spans="1:22" x14ac:dyDescent="0.25">
      <c r="B6" s="437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7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</row>
    <row r="7" spans="1:22" x14ac:dyDescent="0.25">
      <c r="B7" s="437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7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-1167.0100000000002</v>
      </c>
      <c r="R7">
        <v>100</v>
      </c>
    </row>
    <row r="8" spans="1:22" x14ac:dyDescent="0.25">
      <c r="B8" s="437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7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O8" s="11" t="s">
        <v>180</v>
      </c>
      <c r="P8" s="33"/>
      <c r="Q8" s="2">
        <f>K21+M21-F21+Q2*Q4</f>
        <v>-1216.96</v>
      </c>
    </row>
    <row r="9" spans="1:22" x14ac:dyDescent="0.25">
      <c r="B9" s="437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7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5">
        <f>IF(Q2=0, 0, Q8/Q6)</f>
        <v>-0.15353133681365955</v>
      </c>
    </row>
    <row r="10" spans="1:22" x14ac:dyDescent="0.25">
      <c r="B10" s="437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7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37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4.3818466353677622E-2</v>
      </c>
      <c r="R11">
        <v>0.49</v>
      </c>
    </row>
    <row r="12" spans="1:22" x14ac:dyDescent="0.25">
      <c r="B12" s="437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968</v>
      </c>
    </row>
    <row r="13" spans="1:22" x14ac:dyDescent="0.25">
      <c r="B13" s="437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997</v>
      </c>
      <c r="Q13">
        <f>Q4/3.08</f>
        <v>14.522727272727272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477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7" t="s">
        <v>78</v>
      </c>
      <c r="P17" s="847"/>
    </row>
    <row r="18" spans="1:16" ht="15.75" thickTop="1" x14ac:dyDescent="0.25">
      <c r="H18" s="70"/>
      <c r="O18" s="81">
        <v>1.1000000000000001</v>
      </c>
      <c r="P18" s="81">
        <f>O18*$Q$4</f>
        <v>49.203000000000003</v>
      </c>
    </row>
    <row r="19" spans="1:16" x14ac:dyDescent="0.25">
      <c r="H19" s="70"/>
      <c r="O19" s="81">
        <v>1.0900000000000001</v>
      </c>
      <c r="P19" s="81">
        <f t="shared" ref="P19:P38" si="2">O19*$Q$4</f>
        <v>48.755699999999997</v>
      </c>
    </row>
    <row r="20" spans="1:16" x14ac:dyDescent="0.25">
      <c r="H20" s="70"/>
      <c r="O20" s="81">
        <v>1.08</v>
      </c>
      <c r="P20" s="81">
        <f t="shared" si="2"/>
        <v>48.308399999999999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O21" s="81">
        <v>1.07</v>
      </c>
      <c r="P21" s="81">
        <f t="shared" si="2"/>
        <v>47.8611</v>
      </c>
    </row>
    <row r="22" spans="1:16" ht="15.75" thickBot="1" x14ac:dyDescent="0.3">
      <c r="A22" s="344" t="s">
        <v>194</v>
      </c>
      <c r="B22" s="482"/>
      <c r="C22" s="346">
        <f>SumByColor($A$22, C2:C20 )</f>
        <v>490</v>
      </c>
      <c r="D22" s="346"/>
      <c r="E22" s="346"/>
      <c r="F22" s="347">
        <f>SumByColor($A$22, F2:F20 )</f>
        <v>26814</v>
      </c>
      <c r="G22" s="346"/>
      <c r="H22" s="346">
        <f>SumByColor($A$22, H2:H20 )</f>
        <v>490</v>
      </c>
      <c r="I22" s="346"/>
      <c r="J22" s="346"/>
      <c r="K22" s="347">
        <f>SumByColor($A$22, K2:K20 )</f>
        <v>26988</v>
      </c>
      <c r="L22" s="346"/>
      <c r="M22" s="347">
        <f>SumByColor($A$22, M2:M20 )</f>
        <v>297</v>
      </c>
      <c r="O22" s="81">
        <v>1.06</v>
      </c>
      <c r="P22" s="81">
        <f t="shared" si="2"/>
        <v>47.413800000000002</v>
      </c>
    </row>
    <row r="23" spans="1:16" x14ac:dyDescent="0.25">
      <c r="O23" s="81">
        <v>1.05</v>
      </c>
      <c r="P23" s="81">
        <f t="shared" si="2"/>
        <v>46.966499999999996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997</v>
      </c>
      <c r="O24" s="81">
        <v>1.04</v>
      </c>
      <c r="P24" s="81">
        <f t="shared" si="2"/>
        <v>46.519199999999998</v>
      </c>
    </row>
    <row r="25" spans="1:16" x14ac:dyDescent="0.25">
      <c r="B25" s="187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5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46.071899999999999</v>
      </c>
    </row>
    <row r="26" spans="1:16" x14ac:dyDescent="0.25">
      <c r="B26" s="187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5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45.624600000000001</v>
      </c>
    </row>
    <row r="27" spans="1:16" x14ac:dyDescent="0.25">
      <c r="B27" s="187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5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45.177299999999995</v>
      </c>
    </row>
    <row r="28" spans="1:16" x14ac:dyDescent="0.25">
      <c r="B28" s="187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5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44.73</v>
      </c>
    </row>
    <row r="29" spans="1:16" x14ac:dyDescent="0.25">
      <c r="B29" s="187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5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44.282699999999998</v>
      </c>
    </row>
    <row r="30" spans="1:16" x14ac:dyDescent="0.25">
      <c r="B30" s="187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5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43.835399999999993</v>
      </c>
    </row>
    <row r="31" spans="1:16" x14ac:dyDescent="0.25">
      <c r="B31" s="187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5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43.388099999999994</v>
      </c>
    </row>
    <row r="32" spans="1:16" x14ac:dyDescent="0.25">
      <c r="B32" s="187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5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42.940799999999996</v>
      </c>
    </row>
    <row r="33" spans="1:17" x14ac:dyDescent="0.25">
      <c r="B33" s="187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5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42.493499999999997</v>
      </c>
    </row>
    <row r="34" spans="1:17" x14ac:dyDescent="0.25">
      <c r="B34" s="187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5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42.046199999999992</v>
      </c>
    </row>
    <row r="35" spans="1:17" x14ac:dyDescent="0.25">
      <c r="B35" s="187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5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41.5989</v>
      </c>
    </row>
    <row r="36" spans="1:17" x14ac:dyDescent="0.25">
      <c r="B36" s="187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5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41.151600000000002</v>
      </c>
    </row>
    <row r="37" spans="1:17" x14ac:dyDescent="0.25">
      <c r="A37" t="s">
        <v>349</v>
      </c>
      <c r="B37" s="187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5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40.704299999999996</v>
      </c>
    </row>
    <row r="38" spans="1:17" x14ac:dyDescent="0.25">
      <c r="A38" t="s">
        <v>438</v>
      </c>
      <c r="B38" s="187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5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40.256999999999998</v>
      </c>
    </row>
    <row r="39" spans="1:17" x14ac:dyDescent="0.25">
      <c r="A39">
        <v>50</v>
      </c>
      <c r="B39" s="187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5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7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5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7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5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7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5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7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5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7">
        <v>42864</v>
      </c>
      <c r="C44" s="428">
        <v>200</v>
      </c>
      <c r="D44" s="429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5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7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5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7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5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7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5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7">
        <v>42978</v>
      </c>
      <c r="C48" s="428">
        <v>200</v>
      </c>
      <c r="D48" s="429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5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7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5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7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5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7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5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7">
        <v>43028</v>
      </c>
      <c r="C52" s="428">
        <v>200</v>
      </c>
      <c r="D52" s="429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5">
        <f t="shared" si="20"/>
        <v>-8.7160953015895229E-2</v>
      </c>
      <c r="I52" s="196" t="s">
        <v>771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7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5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7">
        <v>43047</v>
      </c>
      <c r="C54" s="428">
        <v>200</v>
      </c>
      <c r="D54" s="429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5">
        <f t="shared" si="20"/>
        <v>-7.8606495198019086E-2</v>
      </c>
      <c r="I54" s="196" t="s">
        <v>785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7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5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7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5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7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5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7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5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7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5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7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5">
        <f t="shared" ref="H60:H61" si="23">(E60-D60)/D60</f>
        <v>-4.0590814473625877E-2</v>
      </c>
      <c r="I60" s="39" t="s">
        <v>979</v>
      </c>
      <c r="J60" s="39">
        <v>-170</v>
      </c>
      <c r="K60" s="39"/>
      <c r="L60" s="39"/>
    </row>
    <row r="61" spans="1:17" x14ac:dyDescent="0.25">
      <c r="A61">
        <v>100</v>
      </c>
      <c r="B61" s="187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5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7">
        <v>43184</v>
      </c>
      <c r="C62" s="7">
        <v>150</v>
      </c>
      <c r="D62" s="43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5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7">
        <v>43185</v>
      </c>
      <c r="C63" s="7">
        <v>150</v>
      </c>
      <c r="D63" s="43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5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7">
        <v>43198</v>
      </c>
      <c r="C64" s="7">
        <v>150</v>
      </c>
      <c r="D64" s="43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5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1" t="s">
        <v>1</v>
      </c>
      <c r="B72" s="371" t="s">
        <v>2</v>
      </c>
      <c r="C72" s="371" t="s">
        <v>4</v>
      </c>
      <c r="D72" s="373" t="s">
        <v>5</v>
      </c>
      <c r="E72" s="373" t="s">
        <v>94</v>
      </c>
      <c r="F72" s="373" t="s">
        <v>60</v>
      </c>
      <c r="G72" s="371" t="s">
        <v>3</v>
      </c>
      <c r="H72" s="371" t="s">
        <v>6</v>
      </c>
      <c r="I72" s="371" t="s">
        <v>7</v>
      </c>
      <c r="J72" s="371" t="s">
        <v>95</v>
      </c>
      <c r="K72" s="371" t="s">
        <v>61</v>
      </c>
      <c r="L72" s="371" t="s">
        <v>77</v>
      </c>
      <c r="M72" s="371" t="s">
        <v>38</v>
      </c>
    </row>
    <row r="73" spans="1:13" x14ac:dyDescent="0.25">
      <c r="A73" s="374" t="s">
        <v>171</v>
      </c>
      <c r="B73" s="376">
        <v>42376</v>
      </c>
      <c r="C73" s="365">
        <v>50</v>
      </c>
      <c r="D73" s="366">
        <v>55.15</v>
      </c>
      <c r="E73" s="366">
        <v>0</v>
      </c>
      <c r="F73" s="366">
        <f>C73*D73+E73</f>
        <v>2757.5</v>
      </c>
      <c r="G73" s="364">
        <v>42409</v>
      </c>
      <c r="H73" s="369">
        <v>50</v>
      </c>
      <c r="I73" s="366">
        <v>56.15</v>
      </c>
      <c r="J73" s="366">
        <v>0.05</v>
      </c>
      <c r="K73" s="365">
        <f>H73*I73-J73</f>
        <v>2807.45</v>
      </c>
      <c r="L73" s="364"/>
      <c r="M73" s="366"/>
    </row>
    <row r="74" spans="1:13" x14ac:dyDescent="0.25">
      <c r="A74" s="375" t="s">
        <v>71</v>
      </c>
      <c r="B74" s="376"/>
      <c r="C74" s="365"/>
      <c r="D74" s="366"/>
      <c r="E74" s="366"/>
      <c r="F74" s="366"/>
      <c r="G74" s="364"/>
      <c r="H74" s="365"/>
      <c r="I74" s="365"/>
      <c r="J74" s="365"/>
      <c r="K74" s="365"/>
      <c r="L74" s="365"/>
      <c r="M74" s="365"/>
    </row>
    <row r="75" spans="1:13" x14ac:dyDescent="0.25">
      <c r="A75" s="365"/>
      <c r="B75" s="364"/>
      <c r="C75" s="365"/>
      <c r="D75" s="366"/>
      <c r="E75" s="366"/>
      <c r="F75" s="366"/>
      <c r="G75" s="365"/>
      <c r="H75" s="365"/>
      <c r="I75" s="365"/>
      <c r="J75" s="365"/>
      <c r="K75" s="365"/>
      <c r="L75" s="365"/>
      <c r="M75" s="365"/>
    </row>
    <row r="76" spans="1:13" x14ac:dyDescent="0.25">
      <c r="A76" s="365"/>
      <c r="B76" s="364"/>
      <c r="C76" s="365"/>
      <c r="D76" s="366"/>
      <c r="E76" s="366"/>
      <c r="F76" s="366"/>
      <c r="G76" s="365"/>
      <c r="H76" s="365"/>
      <c r="I76" s="365"/>
      <c r="J76" s="365"/>
      <c r="K76" s="365"/>
      <c r="L76" s="365"/>
      <c r="M76" s="365"/>
    </row>
    <row r="77" spans="1:13" x14ac:dyDescent="0.25">
      <c r="A77" s="365"/>
      <c r="B77" s="365"/>
      <c r="C77" s="365"/>
      <c r="D77" s="366"/>
      <c r="E77" s="366"/>
      <c r="F77" s="366"/>
      <c r="G77" s="365"/>
      <c r="H77" s="365"/>
      <c r="I77" s="365"/>
      <c r="J77" s="365"/>
      <c r="K77" s="365"/>
      <c r="L77" s="365"/>
      <c r="M77" s="365"/>
    </row>
    <row r="78" spans="1:13" x14ac:dyDescent="0.25">
      <c r="A78" s="365"/>
      <c r="B78" s="365"/>
      <c r="C78" s="365"/>
      <c r="D78" s="366"/>
      <c r="E78" s="366"/>
      <c r="F78" s="366"/>
      <c r="G78" s="365"/>
      <c r="H78" s="365"/>
      <c r="I78" s="365"/>
      <c r="J78" s="365"/>
      <c r="K78" s="365"/>
      <c r="L78" s="365"/>
      <c r="M78" s="365"/>
    </row>
    <row r="79" spans="1:13" x14ac:dyDescent="0.25">
      <c r="A79" s="365"/>
      <c r="B79" s="365"/>
      <c r="C79" s="365"/>
      <c r="D79" s="366"/>
      <c r="E79" s="366"/>
      <c r="F79" s="366"/>
      <c r="G79" s="365"/>
      <c r="H79" s="365"/>
      <c r="I79" s="365"/>
      <c r="J79" s="365"/>
      <c r="K79" s="365"/>
      <c r="L79" s="365"/>
      <c r="M79" s="365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5"/>
      <c r="B81" s="365"/>
      <c r="C81" s="365"/>
      <c r="D81" s="366"/>
      <c r="E81" s="366"/>
      <c r="F81" s="366"/>
      <c r="G81" s="365"/>
      <c r="H81" s="365"/>
      <c r="I81" s="365"/>
      <c r="J81" s="365"/>
      <c r="K81" s="365"/>
      <c r="L81" s="365"/>
      <c r="M81" s="365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5:H69 F65:F69">
    <cfRule type="expression" dxfId="83" priority="33">
      <formula>F25&gt;0</formula>
    </cfRule>
    <cfRule type="expression" dxfId="82" priority="34">
      <formula>F25&lt;0</formula>
    </cfRule>
  </conditionalFormatting>
  <conditionalFormatting sqref="Q8">
    <cfRule type="expression" dxfId="81" priority="27">
      <formula>Q8&gt;0</formula>
    </cfRule>
    <cfRule type="expression" dxfId="80" priority="28">
      <formula>Q8&lt;0</formula>
    </cfRule>
  </conditionalFormatting>
  <conditionalFormatting sqref="Q7">
    <cfRule type="expression" dxfId="79" priority="29">
      <formula>Q7&gt;0</formula>
    </cfRule>
    <cfRule type="expression" dxfId="78" priority="30">
      <formula>Q7&lt;0</formula>
    </cfRule>
  </conditionalFormatting>
  <conditionalFormatting sqref="M71">
    <cfRule type="expression" dxfId="77" priority="25">
      <formula>M71&gt;0</formula>
    </cfRule>
    <cfRule type="expression" dxfId="76" priority="26">
      <formula>M71&lt;0</formula>
    </cfRule>
  </conditionalFormatting>
  <conditionalFormatting sqref="J39">
    <cfRule type="expression" dxfId="75" priority="23">
      <formula>J39&gt;0</formula>
    </cfRule>
    <cfRule type="expression" dxfId="74" priority="24">
      <formula>J39&lt;0</formula>
    </cfRule>
  </conditionalFormatting>
  <conditionalFormatting sqref="J40:J52 J53:K61 J65:K67 K63:K64">
    <cfRule type="expression" dxfId="73" priority="21">
      <formula>J40&gt;0</formula>
    </cfRule>
    <cfRule type="expression" dxfId="72" priority="22">
      <formula>J40&lt;0</formula>
    </cfRule>
  </conditionalFormatting>
  <conditionalFormatting sqref="Q10">
    <cfRule type="expression" dxfId="71" priority="19">
      <formula>Q10&gt;0</formula>
    </cfRule>
    <cfRule type="expression" dxfId="70" priority="20">
      <formula>Q10&lt;0</formula>
    </cfRule>
  </conditionalFormatting>
  <conditionalFormatting sqref="Q9">
    <cfRule type="expression" dxfId="69" priority="17">
      <formula>Q9&gt;0</formula>
    </cfRule>
    <cfRule type="expression" dxfId="68" priority="18">
      <formula>Q9&lt;0</formula>
    </cfRule>
  </conditionalFormatting>
  <conditionalFormatting sqref="F62 H62">
    <cfRule type="expression" dxfId="67" priority="15">
      <formula>F62&gt;0</formula>
    </cfRule>
    <cfRule type="expression" dxfId="66" priority="16">
      <formula>F62&lt;0</formula>
    </cfRule>
  </conditionalFormatting>
  <conditionalFormatting sqref="J62:K62">
    <cfRule type="expression" dxfId="65" priority="13">
      <formula>J62&gt;0</formula>
    </cfRule>
    <cfRule type="expression" dxfId="64" priority="14">
      <formula>J62&lt;0</formula>
    </cfRule>
  </conditionalFormatting>
  <conditionalFormatting sqref="F63 H63">
    <cfRule type="expression" dxfId="63" priority="11">
      <formula>F63&gt;0</formula>
    </cfRule>
    <cfRule type="expression" dxfId="62" priority="12">
      <formula>F63&lt;0</formula>
    </cfRule>
  </conditionalFormatting>
  <conditionalFormatting sqref="J63">
    <cfRule type="expression" dxfId="61" priority="9">
      <formula>J63&gt;0</formula>
    </cfRule>
    <cfRule type="expression" dxfId="60" priority="10">
      <formula>J63&lt;0</formula>
    </cfRule>
  </conditionalFormatting>
  <conditionalFormatting sqref="F64 H64">
    <cfRule type="expression" dxfId="59" priority="7">
      <formula>F64&gt;0</formula>
    </cfRule>
    <cfRule type="expression" dxfId="58" priority="8">
      <formula>F64&lt;0</formula>
    </cfRule>
  </conditionalFormatting>
  <conditionalFormatting sqref="J64">
    <cfRule type="expression" dxfId="57" priority="5">
      <formula>J64&gt;0</formula>
    </cfRule>
    <cfRule type="expression" dxfId="56" priority="6">
      <formula>J64&lt;0</formula>
    </cfRule>
  </conditionalFormatting>
  <conditionalFormatting sqref="L53:L57">
    <cfRule type="expression" dxfId="55" priority="3">
      <formula>L53&gt;0</formula>
    </cfRule>
    <cfRule type="expression" dxfId="54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38.03</v>
      </c>
      <c r="R4" s="478">
        <v>2.98E-2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1" t="s">
        <v>1</v>
      </c>
      <c r="B30" s="371" t="s">
        <v>2</v>
      </c>
      <c r="C30" s="371" t="s">
        <v>4</v>
      </c>
      <c r="D30" s="373" t="s">
        <v>5</v>
      </c>
      <c r="E30" s="373"/>
      <c r="F30" s="373" t="s">
        <v>60</v>
      </c>
      <c r="G30" s="371" t="s">
        <v>3</v>
      </c>
      <c r="H30" s="371" t="s">
        <v>6</v>
      </c>
      <c r="I30" s="371" t="s">
        <v>7</v>
      </c>
      <c r="J30" s="371"/>
      <c r="K30" s="371" t="s">
        <v>61</v>
      </c>
      <c r="L30" s="371" t="s">
        <v>77</v>
      </c>
      <c r="M30" s="37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4" t="s">
        <v>56</v>
      </c>
      <c r="B31" s="854">
        <v>42220</v>
      </c>
      <c r="C31" s="365">
        <v>40</v>
      </c>
      <c r="D31" s="366">
        <v>31.78</v>
      </c>
      <c r="E31" s="366"/>
      <c r="F31" s="366">
        <f>C31*D31</f>
        <v>1271.2</v>
      </c>
      <c r="G31" s="364">
        <v>42235</v>
      </c>
      <c r="H31" s="365">
        <v>100</v>
      </c>
      <c r="I31" s="366">
        <v>31.5</v>
      </c>
      <c r="J31" s="365">
        <v>0.06</v>
      </c>
      <c r="K31" s="365">
        <f>H31*I31-J31</f>
        <v>3149.94</v>
      </c>
      <c r="L31" s="364">
        <v>42276</v>
      </c>
      <c r="M31" s="36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5" t="s">
        <v>71</v>
      </c>
      <c r="B32" s="854"/>
      <c r="C32" s="365">
        <v>60</v>
      </c>
      <c r="D32" s="366">
        <v>31.78</v>
      </c>
      <c r="E32" s="366"/>
      <c r="F32" s="366">
        <f>C32*D32</f>
        <v>1906.8000000000002</v>
      </c>
      <c r="G32" s="364">
        <v>42284</v>
      </c>
      <c r="H32" s="365">
        <v>40</v>
      </c>
      <c r="I32" s="365">
        <v>31.55</v>
      </c>
      <c r="J32" s="365">
        <v>0.02</v>
      </c>
      <c r="K32" s="365">
        <f>H32*I32-J32</f>
        <v>1261.98</v>
      </c>
      <c r="L32" s="365"/>
      <c r="M32" s="36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5"/>
      <c r="B33" s="364">
        <v>42221</v>
      </c>
      <c r="C33" s="365">
        <v>10</v>
      </c>
      <c r="D33" s="366">
        <v>31.45</v>
      </c>
      <c r="E33" s="366"/>
      <c r="F33" s="366">
        <f>C33*D33</f>
        <v>314.5</v>
      </c>
      <c r="G33" s="365"/>
      <c r="H33" s="365"/>
      <c r="I33" s="365"/>
      <c r="J33" s="365"/>
      <c r="K33" s="365"/>
      <c r="L33" s="365"/>
      <c r="M33" s="36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5"/>
      <c r="B34" s="364">
        <v>42233</v>
      </c>
      <c r="C34" s="365">
        <v>30</v>
      </c>
      <c r="D34" s="366">
        <v>29.9</v>
      </c>
      <c r="E34" s="366"/>
      <c r="F34" s="366">
        <f>C34*D34</f>
        <v>897</v>
      </c>
      <c r="G34" s="365"/>
      <c r="H34" s="365"/>
      <c r="I34" s="365"/>
      <c r="J34" s="365"/>
      <c r="K34" s="365"/>
      <c r="L34" s="365"/>
      <c r="M34" s="36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5"/>
      <c r="B35" s="365"/>
      <c r="C35" s="365"/>
      <c r="D35" s="366"/>
      <c r="E35" s="366"/>
      <c r="F35" s="366"/>
      <c r="G35" s="365"/>
      <c r="H35" s="365"/>
      <c r="I35" s="365"/>
      <c r="J35" s="365"/>
      <c r="K35" s="365"/>
      <c r="L35" s="365"/>
      <c r="M35" s="36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5"/>
      <c r="B36" s="365"/>
      <c r="C36" s="365"/>
      <c r="D36" s="366"/>
      <c r="E36" s="366"/>
      <c r="F36" s="366"/>
      <c r="G36" s="365"/>
      <c r="H36" s="365"/>
      <c r="I36" s="365"/>
      <c r="J36" s="365"/>
      <c r="K36" s="365"/>
      <c r="L36" s="365"/>
      <c r="M36" s="36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5"/>
      <c r="B37" s="365"/>
      <c r="C37" s="365"/>
      <c r="D37" s="366"/>
      <c r="E37" s="366"/>
      <c r="F37" s="366"/>
      <c r="G37" s="365"/>
      <c r="H37" s="365"/>
      <c r="I37" s="365"/>
      <c r="J37" s="365"/>
      <c r="K37" s="365"/>
      <c r="L37" s="365"/>
      <c r="M37" s="36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847" t="s">
        <v>78</v>
      </c>
      <c r="P41" s="84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1">
        <v>1.1000000000000001</v>
      </c>
      <c r="P42" s="81">
        <f>O42*$Q$4</f>
        <v>41.833000000000006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1.0900000000000001</v>
      </c>
      <c r="P43" s="81">
        <f t="shared" ref="P43:P62" si="2">O43*$Q$4</f>
        <v>41.452700000000007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1.08</v>
      </c>
      <c r="P44" s="81">
        <f t="shared" si="2"/>
        <v>41.072400000000002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1.07</v>
      </c>
      <c r="P45" s="81">
        <f t="shared" si="2"/>
        <v>40.692100000000003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1.06</v>
      </c>
      <c r="P46" s="81">
        <f t="shared" si="2"/>
        <v>40.311800000000005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39.9315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39.551200000000001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39.170900000000003</v>
      </c>
      <c r="Q49" s="2"/>
      <c r="T49" s="10" t="s">
        <v>103</v>
      </c>
      <c r="U49" s="10" t="s">
        <v>533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38.790600000000005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38.410299999999999</v>
      </c>
      <c r="Q51" s="2"/>
      <c r="T51" s="10" t="s">
        <v>104</v>
      </c>
      <c r="U51" s="10" t="s">
        <v>667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38.03</v>
      </c>
      <c r="Q52" s="2"/>
      <c r="T52" s="10" t="s">
        <v>105</v>
      </c>
      <c r="U52" s="10" t="s">
        <v>487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37.649700000000003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37.269399999999997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36.889099999999999</v>
      </c>
      <c r="T55" s="10" t="s">
        <v>107</v>
      </c>
      <c r="U55" s="10" t="s">
        <v>668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36.508800000000001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36.128500000000003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35.748199999999997</v>
      </c>
      <c r="T58" s="10" t="s">
        <v>108</v>
      </c>
      <c r="U58" s="10" t="s">
        <v>561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35.367900000000006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34.9876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34.607300000000002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34.227000000000004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3" priority="7">
      <formula>F22&gt;0</formula>
    </cfRule>
    <cfRule type="expression" dxfId="52" priority="8">
      <formula>F22&lt;0</formula>
    </cfRule>
  </conditionalFormatting>
  <conditionalFormatting sqref="H22:H2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209.32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3"/>
      <c r="L4" s="4"/>
      <c r="M4" s="4"/>
      <c r="O4" s="11" t="s">
        <v>66</v>
      </c>
      <c r="Q4" s="54">
        <v>209.32</v>
      </c>
      <c r="R4" s="478">
        <v>1.26E-2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7"/>
      <c r="C21" s="10"/>
      <c r="D21" s="39"/>
      <c r="E21" s="39"/>
      <c r="F21" s="39"/>
      <c r="G21" s="39"/>
      <c r="H21" s="225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4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7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4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6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4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1" t="s">
        <v>1</v>
      </c>
      <c r="B44" s="371" t="s">
        <v>2</v>
      </c>
      <c r="C44" s="371" t="s">
        <v>4</v>
      </c>
      <c r="D44" s="371" t="s">
        <v>5</v>
      </c>
      <c r="E44" s="373" t="s">
        <v>94</v>
      </c>
      <c r="F44" s="371" t="s">
        <v>60</v>
      </c>
      <c r="G44" s="371" t="s">
        <v>3</v>
      </c>
      <c r="H44" s="371" t="s">
        <v>6</v>
      </c>
      <c r="I44" s="371" t="s">
        <v>7</v>
      </c>
      <c r="J44" s="371" t="s">
        <v>95</v>
      </c>
      <c r="K44" s="371" t="s">
        <v>61</v>
      </c>
      <c r="L44" s="371" t="s">
        <v>77</v>
      </c>
      <c r="M44" s="371" t="s">
        <v>38</v>
      </c>
      <c r="T44" s="91" t="s">
        <v>98</v>
      </c>
      <c r="U44" s="41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4" t="s">
        <v>0</v>
      </c>
      <c r="B45" s="624">
        <v>42403</v>
      </c>
      <c r="C45" s="365">
        <v>10</v>
      </c>
      <c r="D45" s="366">
        <v>123.5</v>
      </c>
      <c r="E45" s="366">
        <v>0</v>
      </c>
      <c r="F45" s="366">
        <f>D45*C45+E45</f>
        <v>1235</v>
      </c>
      <c r="G45" s="624">
        <v>42436</v>
      </c>
      <c r="H45" s="369">
        <v>10</v>
      </c>
      <c r="I45" s="366">
        <v>140.65</v>
      </c>
      <c r="J45" s="366">
        <v>0.03</v>
      </c>
      <c r="K45" s="365">
        <f>I45*H45-J45</f>
        <v>1406.47</v>
      </c>
      <c r="L45" s="364"/>
      <c r="M45" s="366"/>
      <c r="O45" s="847" t="s">
        <v>78</v>
      </c>
      <c r="P45" s="847"/>
      <c r="T45" s="91" t="s">
        <v>99</v>
      </c>
      <c r="U45" s="41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5" t="s">
        <v>71</v>
      </c>
      <c r="B46" s="549">
        <v>42702</v>
      </c>
      <c r="C46" s="500">
        <v>20</v>
      </c>
      <c r="D46" s="502">
        <v>139.88</v>
      </c>
      <c r="E46" s="502">
        <v>0</v>
      </c>
      <c r="F46" s="502">
        <f>C46*D46 + E46</f>
        <v>2797.6</v>
      </c>
      <c r="G46" s="549">
        <v>42766</v>
      </c>
      <c r="H46" s="500">
        <v>10</v>
      </c>
      <c r="I46" s="502">
        <v>149.08000000000001</v>
      </c>
      <c r="J46" s="502">
        <v>0.03</v>
      </c>
      <c r="K46" s="502">
        <f>H46*I46 - J46</f>
        <v>1490.7700000000002</v>
      </c>
      <c r="L46" s="499">
        <v>42753</v>
      </c>
      <c r="M46" s="502">
        <v>3</v>
      </c>
      <c r="O46" s="81">
        <v>1.1000000000000001</v>
      </c>
      <c r="P46" s="81">
        <f>O46*$Q$4</f>
        <v>230.25200000000001</v>
      </c>
      <c r="Q46" s="2"/>
      <c r="T46" s="91" t="s">
        <v>100</v>
      </c>
      <c r="U46" s="41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5"/>
      <c r="B47" s="549">
        <v>42767</v>
      </c>
      <c r="C47" s="500">
        <v>10</v>
      </c>
      <c r="D47" s="502">
        <v>152.69999999999999</v>
      </c>
      <c r="E47" s="502">
        <v>0</v>
      </c>
      <c r="F47" s="502">
        <f>C47*D47 + E47</f>
        <v>1527</v>
      </c>
      <c r="G47" s="549">
        <v>42767</v>
      </c>
      <c r="H47" s="517">
        <v>10</v>
      </c>
      <c r="I47" s="502">
        <v>154.6</v>
      </c>
      <c r="J47" s="502">
        <v>0.03</v>
      </c>
      <c r="K47" s="502">
        <f>H47*I47 - J47</f>
        <v>1545.97</v>
      </c>
      <c r="L47" s="499"/>
      <c r="M47" s="502"/>
      <c r="O47" s="81">
        <v>1.0900000000000001</v>
      </c>
      <c r="P47" s="81">
        <f t="shared" ref="P47:P66" si="0">O47*$Q$4</f>
        <v>228.15880000000001</v>
      </c>
      <c r="Q47" s="2"/>
      <c r="T47" s="91" t="s">
        <v>101</v>
      </c>
      <c r="U47" s="41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5"/>
      <c r="B48" s="549"/>
      <c r="C48" s="500"/>
      <c r="D48" s="502"/>
      <c r="E48" s="502"/>
      <c r="F48" s="502"/>
      <c r="G48" s="549">
        <v>42803</v>
      </c>
      <c r="H48" s="517">
        <v>10</v>
      </c>
      <c r="I48" s="500">
        <v>157.9</v>
      </c>
      <c r="J48" s="502">
        <v>0.03</v>
      </c>
      <c r="K48" s="502">
        <f>H48*I48 - J48</f>
        <v>1578.97</v>
      </c>
      <c r="L48" s="500"/>
      <c r="M48" s="500"/>
      <c r="O48" s="81">
        <v>1.08</v>
      </c>
      <c r="P48" s="81">
        <f t="shared" si="0"/>
        <v>226.06560000000002</v>
      </c>
      <c r="Q48" s="2"/>
      <c r="T48" s="91" t="s">
        <v>102</v>
      </c>
      <c r="U48" s="41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5"/>
      <c r="B49" s="549"/>
      <c r="C49" s="500"/>
      <c r="D49" s="502"/>
      <c r="E49" s="502"/>
      <c r="F49" s="502"/>
      <c r="G49" s="549"/>
      <c r="H49" s="517"/>
      <c r="I49" s="502"/>
      <c r="J49" s="502"/>
      <c r="K49" s="500"/>
      <c r="L49" s="500"/>
      <c r="M49" s="500"/>
      <c r="O49" s="81">
        <v>1.07</v>
      </c>
      <c r="P49" s="81">
        <f t="shared" si="0"/>
        <v>223.97239999999999</v>
      </c>
      <c r="Q49" s="2"/>
      <c r="T49" s="91" t="s">
        <v>103</v>
      </c>
      <c r="U49" s="419" t="s">
        <v>562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5"/>
      <c r="B50" s="624"/>
      <c r="C50" s="365"/>
      <c r="D50" s="366"/>
      <c r="E50" s="366"/>
      <c r="F50" s="366"/>
      <c r="G50" s="624"/>
      <c r="H50" s="365"/>
      <c r="I50" s="365"/>
      <c r="J50" s="365"/>
      <c r="K50" s="365"/>
      <c r="L50" s="365"/>
      <c r="M50" s="365"/>
      <c r="O50" s="81">
        <v>1.06</v>
      </c>
      <c r="P50" s="81">
        <f t="shared" si="0"/>
        <v>221.8792</v>
      </c>
      <c r="Q50" s="2"/>
      <c r="T50" s="91"/>
      <c r="U50" s="41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5"/>
      <c r="B51" s="624"/>
      <c r="C51" s="365"/>
      <c r="D51" s="366"/>
      <c r="E51" s="366"/>
      <c r="F51" s="366"/>
      <c r="G51" s="624"/>
      <c r="H51" s="365"/>
      <c r="I51" s="365"/>
      <c r="J51" s="365"/>
      <c r="K51" s="365"/>
      <c r="L51" s="365"/>
      <c r="M51" s="365"/>
      <c r="O51" s="81">
        <v>1.05</v>
      </c>
      <c r="P51" s="81">
        <f t="shared" si="0"/>
        <v>219.786</v>
      </c>
      <c r="Q51" s="2"/>
      <c r="T51" s="91" t="s">
        <v>104</v>
      </c>
      <c r="U51" s="419" t="s">
        <v>669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5"/>
      <c r="B52" s="624"/>
      <c r="C52" s="365"/>
      <c r="D52" s="366"/>
      <c r="E52" s="366"/>
      <c r="F52" s="366"/>
      <c r="G52" s="624"/>
      <c r="H52" s="365"/>
      <c r="I52" s="365"/>
      <c r="J52" s="365"/>
      <c r="K52" s="365"/>
      <c r="L52" s="365"/>
      <c r="M52" s="365"/>
      <c r="O52" s="81">
        <v>1.04</v>
      </c>
      <c r="P52" s="81">
        <f t="shared" si="0"/>
        <v>217.69280000000001</v>
      </c>
      <c r="Q52" s="2"/>
      <c r="T52" s="91" t="s">
        <v>105</v>
      </c>
      <c r="U52" s="419" t="s">
        <v>534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5"/>
      <c r="B53" s="624"/>
      <c r="C53" s="365"/>
      <c r="D53" s="365"/>
      <c r="E53" s="366"/>
      <c r="F53" s="365"/>
      <c r="G53" s="624"/>
      <c r="H53" s="365"/>
      <c r="I53" s="365"/>
      <c r="J53" s="365"/>
      <c r="K53" s="365"/>
      <c r="L53" s="365"/>
      <c r="M53" s="365"/>
      <c r="O53" s="81">
        <v>1.03</v>
      </c>
      <c r="P53" s="81">
        <f t="shared" si="0"/>
        <v>215.59960000000001</v>
      </c>
      <c r="Q53" s="2"/>
      <c r="T53" s="91" t="s">
        <v>106</v>
      </c>
      <c r="U53" s="42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213.50639999999999</v>
      </c>
      <c r="Q54" s="2"/>
      <c r="T54" s="91" t="s">
        <v>109</v>
      </c>
      <c r="U54" s="42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5"/>
      <c r="B55" s="365"/>
      <c r="C55" s="365"/>
      <c r="D55" s="365"/>
      <c r="E55" s="366"/>
      <c r="F55" s="365"/>
      <c r="G55" s="365"/>
      <c r="H55" s="365"/>
      <c r="I55" s="365"/>
      <c r="J55" s="365"/>
      <c r="K55" s="365"/>
      <c r="L55" s="365"/>
      <c r="M55" s="365"/>
      <c r="O55" s="81">
        <v>1.01</v>
      </c>
      <c r="P55" s="81">
        <f t="shared" si="0"/>
        <v>211.41319999999999</v>
      </c>
      <c r="Q55" s="2"/>
      <c r="T55" s="91" t="s">
        <v>107</v>
      </c>
      <c r="U55" s="419" t="s">
        <v>670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209.32</v>
      </c>
      <c r="Q56" s="2"/>
      <c r="T56" s="91" t="s">
        <v>110</v>
      </c>
      <c r="U56" s="41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207.2268</v>
      </c>
      <c r="Q57" s="2"/>
      <c r="T57" s="91" t="s">
        <v>111</v>
      </c>
      <c r="U57" s="41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205.1336</v>
      </c>
      <c r="Q58" s="2"/>
      <c r="T58" s="91" t="s">
        <v>108</v>
      </c>
      <c r="U58" s="419" t="s">
        <v>527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203.04039999999998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200.94719999999998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198.85399999999998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196.76079999999999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194.66759999999999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192.5744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190.4812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188.38800000000001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5" priority="17">
      <formula>F21&gt;0</formula>
    </cfRule>
    <cfRule type="expression" dxfId="44" priority="18">
      <formula>F21&lt;0</formula>
    </cfRule>
  </conditionalFormatting>
  <conditionalFormatting sqref="H26 H31:H41 H21">
    <cfRule type="expression" dxfId="43" priority="15">
      <formula>H21&gt;0</formula>
    </cfRule>
    <cfRule type="expression" dxfId="42" priority="16">
      <formula>H21&lt;0</formula>
    </cfRule>
  </conditionalFormatting>
  <conditionalFormatting sqref="Q7">
    <cfRule type="expression" dxfId="41" priority="9">
      <formula>Q7&gt;0</formula>
    </cfRule>
    <cfRule type="expression" dxfId="40" priority="10">
      <formula>Q7&lt;0</formula>
    </cfRule>
  </conditionalFormatting>
  <conditionalFormatting sqref="Q8">
    <cfRule type="expression" dxfId="39" priority="7">
      <formula>Q8&gt;0</formula>
    </cfRule>
    <cfRule type="expression" dxfId="38" priority="8">
      <formula>Q8&lt;0</formula>
    </cfRule>
  </conditionalFormatting>
  <conditionalFormatting sqref="F27:F30 F22:F25">
    <cfRule type="expression" dxfId="37" priority="5">
      <formula>F22&gt;0</formula>
    </cfRule>
    <cfRule type="expression" dxfId="36" priority="6">
      <formula>F22&lt;0</formula>
    </cfRule>
  </conditionalFormatting>
  <conditionalFormatting sqref="H27:H30 H22:H25">
    <cfRule type="expression" dxfId="35" priority="3">
      <formula>H22&gt;0</formula>
    </cfRule>
    <cfRule type="expression" dxfId="34" priority="4">
      <formula>H22&lt;0</formula>
    </cfRule>
  </conditionalFormatting>
  <conditionalFormatting sqref="M43">
    <cfRule type="expression" dxfId="33" priority="1">
      <formula>M43&gt;0</formula>
    </cfRule>
    <cfRule type="expression" dxfId="32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44.8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4"/>
      <c r="L4" s="4"/>
      <c r="M4" s="4"/>
      <c r="O4" s="11" t="s">
        <v>66</v>
      </c>
      <c r="Q4" s="54">
        <v>44.8</v>
      </c>
      <c r="R4" s="478">
        <v>6.7000000000000002E-3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7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6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7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6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7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6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7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6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7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6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7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6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7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6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7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6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7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6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7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6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7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6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1" t="s">
        <v>1</v>
      </c>
      <c r="B37" s="371" t="s">
        <v>2</v>
      </c>
      <c r="C37" s="371" t="s">
        <v>4</v>
      </c>
      <c r="D37" s="371" t="s">
        <v>5</v>
      </c>
      <c r="E37" s="373" t="s">
        <v>94</v>
      </c>
      <c r="F37" s="371" t="s">
        <v>60</v>
      </c>
      <c r="G37" s="371" t="s">
        <v>3</v>
      </c>
      <c r="H37" s="371" t="s">
        <v>6</v>
      </c>
      <c r="I37" s="371" t="s">
        <v>7</v>
      </c>
      <c r="J37" s="371" t="s">
        <v>95</v>
      </c>
      <c r="K37" s="371" t="s">
        <v>61</v>
      </c>
      <c r="L37" s="371" t="s">
        <v>77</v>
      </c>
      <c r="M37" s="37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4" t="s">
        <v>39</v>
      </c>
      <c r="B38" s="364">
        <v>42179</v>
      </c>
      <c r="C38" s="365">
        <v>10</v>
      </c>
      <c r="D38" s="366">
        <v>37.799999999999997</v>
      </c>
      <c r="E38" s="366">
        <v>0</v>
      </c>
      <c r="F38" s="366">
        <f t="shared" ref="F38:F45" si="4">C38*D38</f>
        <v>378</v>
      </c>
      <c r="G38" s="364">
        <v>42310</v>
      </c>
      <c r="H38" s="369">
        <v>170</v>
      </c>
      <c r="I38" s="366">
        <v>30.28</v>
      </c>
      <c r="J38" s="366">
        <v>7.04</v>
      </c>
      <c r="K38" s="365">
        <f>H38*I38-J38</f>
        <v>5140.5600000000004</v>
      </c>
      <c r="L38" s="364">
        <v>42250</v>
      </c>
      <c r="M38" s="36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5" t="s">
        <v>71</v>
      </c>
      <c r="B39" s="364">
        <v>42194</v>
      </c>
      <c r="C39" s="365">
        <v>10</v>
      </c>
      <c r="D39" s="366">
        <v>35.5</v>
      </c>
      <c r="E39" s="366">
        <v>0</v>
      </c>
      <c r="F39" s="366">
        <f t="shared" si="4"/>
        <v>355</v>
      </c>
      <c r="G39" s="364">
        <v>42314</v>
      </c>
      <c r="H39" s="369">
        <v>80</v>
      </c>
      <c r="I39" s="366">
        <v>32.5</v>
      </c>
      <c r="J39" s="366">
        <v>0.05</v>
      </c>
      <c r="K39" s="365">
        <f>H39*I39-J39</f>
        <v>2599.9499999999998</v>
      </c>
      <c r="L39" s="364">
        <v>42345</v>
      </c>
      <c r="M39" s="36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5"/>
      <c r="B40" s="364">
        <v>42230</v>
      </c>
      <c r="C40" s="365">
        <v>20</v>
      </c>
      <c r="D40" s="366">
        <v>32.9</v>
      </c>
      <c r="E40" s="366">
        <v>0</v>
      </c>
      <c r="F40" s="366">
        <f t="shared" si="4"/>
        <v>658</v>
      </c>
      <c r="G40" s="364">
        <v>42010</v>
      </c>
      <c r="H40" s="369">
        <v>40</v>
      </c>
      <c r="I40" s="365">
        <v>28.92</v>
      </c>
      <c r="J40" s="366">
        <v>0.02</v>
      </c>
      <c r="K40" s="365">
        <f>H40*I40-J40</f>
        <v>1156.7800000000002</v>
      </c>
      <c r="L40" s="365"/>
      <c r="M40" s="36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5"/>
      <c r="B41" s="364">
        <v>42240</v>
      </c>
      <c r="C41" s="365">
        <v>40</v>
      </c>
      <c r="D41" s="366">
        <v>32.4</v>
      </c>
      <c r="E41" s="366">
        <v>0</v>
      </c>
      <c r="F41" s="366">
        <f t="shared" si="4"/>
        <v>1296</v>
      </c>
      <c r="G41" s="364">
        <v>42404</v>
      </c>
      <c r="H41" s="369">
        <v>90</v>
      </c>
      <c r="I41" s="366">
        <v>28.55</v>
      </c>
      <c r="J41" s="366">
        <v>0.05</v>
      </c>
      <c r="K41" s="365">
        <f>H41*I41-J41</f>
        <v>2569.4499999999998</v>
      </c>
      <c r="L41" s="365"/>
      <c r="M41" s="36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5"/>
      <c r="B42" s="364">
        <v>42275</v>
      </c>
      <c r="C42" s="365">
        <v>90</v>
      </c>
      <c r="D42" s="366">
        <v>29.2</v>
      </c>
      <c r="E42" s="366">
        <v>0</v>
      </c>
      <c r="F42" s="366">
        <f t="shared" si="4"/>
        <v>2628</v>
      </c>
      <c r="G42" s="364">
        <v>42412</v>
      </c>
      <c r="H42" s="369">
        <v>90</v>
      </c>
      <c r="I42" s="366">
        <v>29.55</v>
      </c>
      <c r="J42" s="366">
        <v>0.06</v>
      </c>
      <c r="K42" s="365">
        <f>H42*I42-J42</f>
        <v>2659.44</v>
      </c>
      <c r="L42" s="365"/>
      <c r="M42" s="365"/>
      <c r="O42" s="402" t="s">
        <v>78</v>
      </c>
      <c r="P42" s="40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5"/>
      <c r="B43" s="364">
        <v>42298</v>
      </c>
      <c r="C43" s="365">
        <v>170</v>
      </c>
      <c r="D43" s="366">
        <v>28.4</v>
      </c>
      <c r="E43" s="366">
        <v>0</v>
      </c>
      <c r="F43" s="366">
        <f t="shared" si="4"/>
        <v>4828</v>
      </c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49.28</v>
      </c>
      <c r="T43" s="91" t="s">
        <v>97</v>
      </c>
      <c r="U43" s="41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5"/>
      <c r="B44" s="364">
        <v>42360</v>
      </c>
      <c r="C44" s="365">
        <v>40</v>
      </c>
      <c r="D44" s="366">
        <v>27.25</v>
      </c>
      <c r="E44" s="366">
        <v>0</v>
      </c>
      <c r="F44" s="366">
        <f t="shared" si="4"/>
        <v>1090</v>
      </c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5">O44*$Q$4</f>
        <v>48.832000000000001</v>
      </c>
      <c r="T44" s="91" t="s">
        <v>98</v>
      </c>
      <c r="U44" s="41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5"/>
      <c r="B45" s="364">
        <v>42376</v>
      </c>
      <c r="C45" s="365">
        <v>90</v>
      </c>
      <c r="D45" s="366">
        <v>26.75</v>
      </c>
      <c r="E45" s="366">
        <v>0</v>
      </c>
      <c r="F45" s="366">
        <f t="shared" si="4"/>
        <v>2407.5</v>
      </c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5"/>
        <v>48.384</v>
      </c>
      <c r="T45" s="91" t="s">
        <v>99</v>
      </c>
      <c r="U45" s="41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5"/>
      <c r="B46" s="365"/>
      <c r="C46" s="365"/>
      <c r="D46" s="365"/>
      <c r="E46" s="366"/>
      <c r="F46" s="365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5"/>
        <v>47.936</v>
      </c>
      <c r="Q46" s="2"/>
      <c r="T46" s="91" t="s">
        <v>100</v>
      </c>
      <c r="U46" s="41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47.488</v>
      </c>
      <c r="Q47" s="2"/>
      <c r="T47" s="91" t="s">
        <v>101</v>
      </c>
      <c r="U47" s="41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5"/>
      <c r="B48" s="365"/>
      <c r="C48" s="365"/>
      <c r="D48" s="365"/>
      <c r="E48" s="366"/>
      <c r="F48" s="365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5"/>
        <v>47.04</v>
      </c>
      <c r="Q48" s="2"/>
      <c r="T48" s="91" t="s">
        <v>102</v>
      </c>
      <c r="U48" s="41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46.591999999999999</v>
      </c>
      <c r="Q49" s="2"/>
      <c r="T49" s="91" t="s">
        <v>121</v>
      </c>
      <c r="U49" s="419" t="s">
        <v>376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46.143999999999998</v>
      </c>
      <c r="Q50" s="2"/>
      <c r="T50" s="91"/>
      <c r="U50" s="41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45.695999999999998</v>
      </c>
      <c r="Q51" s="2"/>
      <c r="T51" s="91" t="s">
        <v>104</v>
      </c>
      <c r="U51" s="419" t="s">
        <v>671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45.247999999999998</v>
      </c>
      <c r="Q52" s="2"/>
      <c r="T52" s="91" t="s">
        <v>105</v>
      </c>
      <c r="U52" s="419" t="s">
        <v>452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44.8</v>
      </c>
      <c r="Q53" s="2"/>
      <c r="T53" s="91" t="s">
        <v>106</v>
      </c>
      <c r="U53" s="42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44.351999999999997</v>
      </c>
      <c r="Q54" s="2"/>
      <c r="T54" s="91" t="s">
        <v>109</v>
      </c>
      <c r="U54" s="42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43.903999999999996</v>
      </c>
      <c r="Q55" s="2"/>
      <c r="T55" s="91" t="s">
        <v>107</v>
      </c>
      <c r="U55" s="419" t="s">
        <v>672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43.455999999999996</v>
      </c>
      <c r="Q56" s="2"/>
      <c r="T56" s="91" t="s">
        <v>110</v>
      </c>
      <c r="U56" s="41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43.007999999999996</v>
      </c>
      <c r="Q57" s="2"/>
      <c r="T57" s="91" t="s">
        <v>111</v>
      </c>
      <c r="U57" s="41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42.559999999999995</v>
      </c>
      <c r="Q58" s="2"/>
      <c r="T58" s="91" t="s">
        <v>108</v>
      </c>
      <c r="U58" s="419" t="s">
        <v>563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42.111999999999995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41.664000000000001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41.216000000000001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40.768000000000001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40.32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1" priority="7">
      <formula>F21&gt;0</formula>
    </cfRule>
    <cfRule type="expression" dxfId="30" priority="8">
      <formula>F21&lt;0</formula>
    </cfRule>
  </conditionalFormatting>
  <conditionalFormatting sqref="H21:H32">
    <cfRule type="expression" dxfId="29" priority="5">
      <formula>H21&gt;0</formula>
    </cfRule>
    <cfRule type="expression" dxfId="28" priority="6">
      <formula>H21&lt;0</formula>
    </cfRule>
  </conditionalFormatting>
  <conditionalFormatting sqref="Q8">
    <cfRule type="expression" dxfId="27" priority="1">
      <formula>Q8&gt;0</formula>
    </cfRule>
    <cfRule type="expression" dxfId="26" priority="2">
      <formula>Q8&lt;0</formula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4"/>
      <c r="O3" s="11" t="s">
        <v>58</v>
      </c>
      <c r="Q3" s="2">
        <f>IF(Q2=0, Q4, (F18-K18-M18)/Q2)</f>
        <v>125.77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125.77</v>
      </c>
      <c r="R4" s="478">
        <v>7.4999999999999997E-3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5" t="s">
        <v>1</v>
      </c>
      <c r="B28" s="255" t="s">
        <v>2</v>
      </c>
      <c r="C28" s="255" t="s">
        <v>4</v>
      </c>
      <c r="D28" s="256" t="s">
        <v>5</v>
      </c>
      <c r="E28" s="256" t="s">
        <v>94</v>
      </c>
      <c r="F28" s="256" t="s">
        <v>60</v>
      </c>
      <c r="G28" s="255" t="s">
        <v>3</v>
      </c>
      <c r="H28" s="255" t="s">
        <v>6</v>
      </c>
      <c r="I28" s="255" t="s">
        <v>7</v>
      </c>
      <c r="J28" s="255" t="s">
        <v>95</v>
      </c>
      <c r="K28" s="255" t="s">
        <v>61</v>
      </c>
      <c r="L28" s="255" t="s">
        <v>77</v>
      </c>
      <c r="M28" s="255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7" t="s">
        <v>54</v>
      </c>
      <c r="B29" s="258">
        <v>42214</v>
      </c>
      <c r="C29" s="253">
        <v>10</v>
      </c>
      <c r="D29" s="254">
        <v>99.58</v>
      </c>
      <c r="E29" s="254">
        <v>0</v>
      </c>
      <c r="F29" s="254">
        <f>C29*D29</f>
        <v>995.8</v>
      </c>
      <c r="G29" s="258">
        <v>42237</v>
      </c>
      <c r="H29" s="253">
        <v>10</v>
      </c>
      <c r="I29" s="253">
        <v>99.56</v>
      </c>
      <c r="J29" s="254">
        <v>0.02</v>
      </c>
      <c r="K29" s="253">
        <f>I29*H29-J29</f>
        <v>995.58</v>
      </c>
      <c r="L29" s="258">
        <v>42257</v>
      </c>
      <c r="M29" s="254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0" t="s">
        <v>71</v>
      </c>
      <c r="B30" s="258">
        <v>42219</v>
      </c>
      <c r="C30" s="253">
        <v>5</v>
      </c>
      <c r="D30" s="254">
        <v>97.95</v>
      </c>
      <c r="E30" s="254">
        <v>0</v>
      </c>
      <c r="F30" s="254">
        <f>C30*D30</f>
        <v>489.75</v>
      </c>
      <c r="G30" s="258">
        <v>42304</v>
      </c>
      <c r="H30" s="259">
        <v>15</v>
      </c>
      <c r="I30" s="254">
        <v>98.75</v>
      </c>
      <c r="J30" s="254">
        <v>0.03</v>
      </c>
      <c r="K30" s="253">
        <f>I30*H30-J30</f>
        <v>1481.22</v>
      </c>
      <c r="L30" s="253"/>
      <c r="M30" s="253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3"/>
      <c r="B31" s="258">
        <v>42272</v>
      </c>
      <c r="C31" s="253">
        <v>10</v>
      </c>
      <c r="D31" s="254">
        <v>88.6</v>
      </c>
      <c r="E31" s="254">
        <v>0</v>
      </c>
      <c r="F31" s="254">
        <f>C31*D31</f>
        <v>886</v>
      </c>
      <c r="G31" s="253"/>
      <c r="H31" s="253"/>
      <c r="I31" s="253"/>
      <c r="J31" s="253"/>
      <c r="K31" s="253"/>
      <c r="L31" s="253"/>
      <c r="M31" s="253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3"/>
      <c r="B32" s="253"/>
      <c r="C32" s="253"/>
      <c r="D32" s="254"/>
      <c r="E32" s="254"/>
      <c r="F32" s="254"/>
      <c r="G32" s="253"/>
      <c r="H32" s="253"/>
      <c r="I32" s="253"/>
      <c r="J32" s="253"/>
      <c r="K32" s="253"/>
      <c r="L32" s="253"/>
      <c r="M32" s="253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3"/>
      <c r="B33" s="253"/>
      <c r="C33" s="253"/>
      <c r="D33" s="254"/>
      <c r="E33" s="254"/>
      <c r="F33" s="254"/>
      <c r="G33" s="253"/>
      <c r="H33" s="253"/>
      <c r="I33" s="253"/>
      <c r="J33" s="253"/>
      <c r="K33" s="253"/>
      <c r="L33" s="253"/>
      <c r="M33" s="253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3"/>
      <c r="B34" s="253"/>
      <c r="C34" s="253"/>
      <c r="D34" s="254"/>
      <c r="E34" s="254"/>
      <c r="F34" s="254"/>
      <c r="G34" s="253"/>
      <c r="H34" s="253"/>
      <c r="I34" s="253"/>
      <c r="J34" s="253"/>
      <c r="K34" s="253"/>
      <c r="L34" s="253"/>
      <c r="M34" s="253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3"/>
      <c r="B36" s="253"/>
      <c r="C36" s="253"/>
      <c r="D36" s="254"/>
      <c r="E36" s="254"/>
      <c r="F36" s="254"/>
      <c r="G36" s="253"/>
      <c r="H36" s="253"/>
      <c r="I36" s="253"/>
      <c r="J36" s="253"/>
      <c r="K36" s="253"/>
      <c r="L36" s="253"/>
      <c r="M36" s="253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3"/>
      <c r="B37" s="253"/>
      <c r="C37" s="253"/>
      <c r="D37" s="254"/>
      <c r="E37" s="254"/>
      <c r="F37" s="254"/>
      <c r="G37" s="253"/>
      <c r="H37" s="253"/>
      <c r="I37" s="253"/>
      <c r="J37" s="253"/>
      <c r="K37" s="253"/>
      <c r="L37" s="253"/>
      <c r="M37" s="253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7" t="s">
        <v>78</v>
      </c>
      <c r="Q39" s="84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138.34700000000001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137.08930000000001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135.83160000000001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134.57390000000001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133.31620000000001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132.05850000000001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130.80080000000001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129.54310000000001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128.28540000000001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127.0277</v>
      </c>
      <c r="T49" s="91" t="s">
        <v>121</v>
      </c>
      <c r="U49" s="86" t="s">
        <v>376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125.77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124.5123</v>
      </c>
      <c r="T51" s="91" t="s">
        <v>104</v>
      </c>
      <c r="U51" s="86" t="s">
        <v>673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123.2546</v>
      </c>
      <c r="T52" s="91" t="s">
        <v>105</v>
      </c>
      <c r="U52" s="86" t="s">
        <v>509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121.9969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119.4815</v>
      </c>
      <c r="T55" s="91" t="s">
        <v>107</v>
      </c>
      <c r="U55" s="86" t="s">
        <v>674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118.22379999999998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116.9661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115.7084</v>
      </c>
      <c r="T58" s="91" t="s">
        <v>108</v>
      </c>
      <c r="U58" s="86" t="s">
        <v>564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114.4507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113.193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228.79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8">
        <v>1153</v>
      </c>
      <c r="AO3" s="228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4"/>
      <c r="L4" s="4"/>
      <c r="M4" s="4"/>
      <c r="O4" s="11" t="s">
        <v>66</v>
      </c>
      <c r="Q4" s="54">
        <v>228.79</v>
      </c>
      <c r="R4" s="478">
        <v>1.9E-2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8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8">
        <v>1154.52</v>
      </c>
      <c r="AO5" s="228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7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6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7">
        <v>42328</v>
      </c>
      <c r="C22" s="10">
        <v>0</v>
      </c>
      <c r="D22" s="196" t="s">
        <v>128</v>
      </c>
      <c r="E22" s="39">
        <v>112.33</v>
      </c>
      <c r="F22" s="39">
        <v>27.05</v>
      </c>
      <c r="G22" s="39">
        <f t="shared" si="2"/>
        <v>0</v>
      </c>
      <c r="H22" s="226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7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6">
        <f t="shared" si="3"/>
        <v>2.4489795918367373E-2</v>
      </c>
      <c r="W23" s="130">
        <v>42802</v>
      </c>
      <c r="X23" s="10" t="s">
        <v>542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6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7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6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7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6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7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6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7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6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7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6" t="s">
        <v>5</v>
      </c>
      <c r="E34" s="256" t="s">
        <v>94</v>
      </c>
      <c r="F34" s="256" t="s">
        <v>60</v>
      </c>
      <c r="G34" s="255" t="s">
        <v>3</v>
      </c>
      <c r="H34" s="255" t="s">
        <v>6</v>
      </c>
      <c r="I34" s="255" t="s">
        <v>7</v>
      </c>
      <c r="J34" s="255" t="s">
        <v>95</v>
      </c>
      <c r="K34" s="255" t="s">
        <v>61</v>
      </c>
      <c r="L34" s="255" t="s">
        <v>77</v>
      </c>
      <c r="M34" s="255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7" t="s">
        <v>51</v>
      </c>
      <c r="B35" s="258">
        <v>42212</v>
      </c>
      <c r="C35" s="253">
        <v>10</v>
      </c>
      <c r="D35" s="254">
        <v>120.14</v>
      </c>
      <c r="E35" s="254">
        <v>0</v>
      </c>
      <c r="F35" s="254">
        <f t="shared" ref="F35:F40" si="4">D35*C35</f>
        <v>1201.4000000000001</v>
      </c>
      <c r="G35" s="258">
        <v>42292</v>
      </c>
      <c r="H35" s="259">
        <v>15</v>
      </c>
      <c r="I35" s="254">
        <v>122.5</v>
      </c>
      <c r="J35" s="254">
        <v>0.03</v>
      </c>
      <c r="K35" s="253">
        <f>I35*H35-J35</f>
        <v>1837.47</v>
      </c>
      <c r="L35" s="258">
        <v>42269</v>
      </c>
      <c r="M35" s="254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0" t="s">
        <v>71</v>
      </c>
      <c r="B36" s="258">
        <v>42214</v>
      </c>
      <c r="C36" s="253">
        <v>5</v>
      </c>
      <c r="D36" s="254">
        <v>118.3</v>
      </c>
      <c r="E36" s="254">
        <v>0</v>
      </c>
      <c r="F36" s="254">
        <f t="shared" si="4"/>
        <v>591.5</v>
      </c>
      <c r="G36" s="258">
        <v>42331</v>
      </c>
      <c r="H36" s="259">
        <v>10</v>
      </c>
      <c r="I36" s="254">
        <v>113.5</v>
      </c>
      <c r="J36" s="254">
        <v>0.02</v>
      </c>
      <c r="K36" s="253">
        <f>I36*H36-J36</f>
        <v>1134.98</v>
      </c>
      <c r="L36" s="258">
        <v>42353</v>
      </c>
      <c r="M36" s="254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3"/>
      <c r="B37" s="258">
        <v>42286</v>
      </c>
      <c r="C37" s="253">
        <v>10</v>
      </c>
      <c r="D37" s="254">
        <v>116</v>
      </c>
      <c r="E37" s="254">
        <v>0</v>
      </c>
      <c r="F37" s="254">
        <f t="shared" si="4"/>
        <v>1160</v>
      </c>
      <c r="G37" s="258">
        <v>42340</v>
      </c>
      <c r="H37" s="259">
        <v>10</v>
      </c>
      <c r="I37" s="254">
        <v>115.4</v>
      </c>
      <c r="J37" s="254">
        <v>0.02</v>
      </c>
      <c r="K37" s="253">
        <f>I37*H37-J37</f>
        <v>1153.98</v>
      </c>
      <c r="L37" s="253"/>
      <c r="M37" s="253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3"/>
      <c r="B38" s="258">
        <v>42331</v>
      </c>
      <c r="C38" s="253">
        <v>10</v>
      </c>
      <c r="D38" s="254">
        <v>112.95</v>
      </c>
      <c r="E38" s="254">
        <v>0</v>
      </c>
      <c r="F38" s="254">
        <f t="shared" si="4"/>
        <v>1129.5</v>
      </c>
      <c r="G38" s="258">
        <v>42360</v>
      </c>
      <c r="H38" s="259">
        <v>10</v>
      </c>
      <c r="I38" s="254">
        <v>120.2</v>
      </c>
      <c r="J38" s="254">
        <v>0.02</v>
      </c>
      <c r="K38" s="253">
        <f>I38*H38-J38</f>
        <v>1201.98</v>
      </c>
      <c r="L38" s="253"/>
      <c r="M38" s="253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3"/>
      <c r="B39" s="258">
        <v>42340</v>
      </c>
      <c r="C39" s="253">
        <v>10</v>
      </c>
      <c r="D39" s="254">
        <v>115.3</v>
      </c>
      <c r="E39" s="254">
        <v>0</v>
      </c>
      <c r="F39" s="254">
        <f t="shared" si="4"/>
        <v>1153</v>
      </c>
      <c r="G39" s="258">
        <v>42416</v>
      </c>
      <c r="H39" s="259">
        <v>25</v>
      </c>
      <c r="I39" s="254">
        <v>114.55</v>
      </c>
      <c r="J39" s="254">
        <v>0.06</v>
      </c>
      <c r="K39" s="253">
        <f>I39*H39-J39</f>
        <v>2863.69</v>
      </c>
      <c r="L39" s="253"/>
      <c r="M39" s="253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3"/>
      <c r="B40" s="258">
        <v>42376</v>
      </c>
      <c r="C40" s="253">
        <v>25</v>
      </c>
      <c r="D40" s="254">
        <v>111.7</v>
      </c>
      <c r="E40" s="254">
        <v>0</v>
      </c>
      <c r="F40" s="254">
        <f t="shared" si="4"/>
        <v>2792.5</v>
      </c>
      <c r="G40" s="253"/>
      <c r="H40" s="259"/>
      <c r="I40" s="253"/>
      <c r="J40" s="253"/>
      <c r="K40" s="253"/>
      <c r="L40" s="253"/>
      <c r="M40" s="253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3"/>
      <c r="B41" s="253"/>
      <c r="C41" s="253"/>
      <c r="D41" s="254"/>
      <c r="E41" s="254"/>
      <c r="F41" s="254"/>
      <c r="G41" s="253"/>
      <c r="H41" s="253"/>
      <c r="I41" s="253"/>
      <c r="J41" s="253"/>
      <c r="K41" s="253"/>
      <c r="L41" s="253"/>
      <c r="M41" s="253"/>
      <c r="O41" s="847" t="s">
        <v>78</v>
      </c>
      <c r="P41" s="84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3"/>
      <c r="B42" s="253"/>
      <c r="C42" s="253"/>
      <c r="D42" s="254"/>
      <c r="E42" s="254"/>
      <c r="F42" s="254"/>
      <c r="G42" s="253"/>
      <c r="H42" s="253"/>
      <c r="I42" s="253"/>
      <c r="J42" s="253"/>
      <c r="K42" s="253"/>
      <c r="L42" s="253"/>
      <c r="M42" s="253"/>
      <c r="O42" s="81">
        <v>1.1000000000000001</v>
      </c>
      <c r="P42" s="81">
        <f>O42*$Q$4</f>
        <v>251.66900000000001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3"/>
      <c r="B43" s="253"/>
      <c r="C43" s="253"/>
      <c r="D43" s="254"/>
      <c r="E43" s="254"/>
      <c r="F43" s="254"/>
      <c r="G43" s="253"/>
      <c r="H43" s="253"/>
      <c r="I43" s="253"/>
      <c r="J43" s="253"/>
      <c r="K43" s="253"/>
      <c r="L43" s="253"/>
      <c r="M43" s="253"/>
      <c r="O43" s="81">
        <v>1.0900000000000001</v>
      </c>
      <c r="P43" s="81">
        <f t="shared" ref="P43:P62" si="5">O43*$Q$4</f>
        <v>249.3811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3" t="s">
        <v>81</v>
      </c>
      <c r="B44" s="404"/>
      <c r="C44" s="404">
        <f>SUM(C35:C40)</f>
        <v>70</v>
      </c>
      <c r="D44" s="405"/>
      <c r="E44" s="405"/>
      <c r="F44" s="405">
        <f>SUM(F35:F40)</f>
        <v>8027.9</v>
      </c>
      <c r="G44" s="405"/>
      <c r="H44" s="406">
        <f>SUM(H35:H39)</f>
        <v>70</v>
      </c>
      <c r="I44" s="405"/>
      <c r="J44" s="405"/>
      <c r="K44" s="405">
        <f>SUM(K35:K39)</f>
        <v>8192.1</v>
      </c>
      <c r="L44" s="405"/>
      <c r="M44" s="405">
        <f>SUM(M35:M38)</f>
        <v>12.5</v>
      </c>
      <c r="O44" s="81">
        <v>1.08</v>
      </c>
      <c r="P44" s="81">
        <f t="shared" si="5"/>
        <v>247.0932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3"/>
      <c r="J45" s="253"/>
      <c r="K45" s="253"/>
      <c r="L45" s="253"/>
      <c r="M45" s="253"/>
      <c r="O45" s="81">
        <v>1.07</v>
      </c>
      <c r="P45" s="81">
        <f t="shared" si="5"/>
        <v>244.80530000000002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242.51740000000001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240.2295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237.94159999999999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235.65369999999999</v>
      </c>
      <c r="Q49" s="81"/>
      <c r="T49" s="91" t="s">
        <v>103</v>
      </c>
      <c r="U49" s="86" t="s">
        <v>522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233.36580000000001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231.0779</v>
      </c>
      <c r="Q51" s="81"/>
      <c r="T51" s="91" t="s">
        <v>104</v>
      </c>
      <c r="U51" s="86" t="s">
        <v>675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228.79</v>
      </c>
      <c r="Q52" s="81"/>
      <c r="T52" s="91" t="s">
        <v>105</v>
      </c>
      <c r="U52" s="86" t="s">
        <v>517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226.50209999999998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224.21419999999998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221.9263</v>
      </c>
      <c r="Q55" s="81"/>
      <c r="T55" s="91" t="s">
        <v>107</v>
      </c>
      <c r="U55" s="86" t="s">
        <v>676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219.63839999999999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217.35049999999998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215.06259999999997</v>
      </c>
      <c r="Q58" s="81"/>
      <c r="T58" s="91" t="s">
        <v>108</v>
      </c>
      <c r="U58" s="86" t="s">
        <v>565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212.7747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210.48679999999999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208.19890000000001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205.911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9" priority="13">
      <formula>F21&gt;0</formula>
    </cfRule>
    <cfRule type="expression" dxfId="18" priority="14">
      <formula>F21&lt;0</formula>
    </cfRule>
  </conditionalFormatting>
  <conditionalFormatting sqref="F22">
    <cfRule type="expression" dxfId="17" priority="11">
      <formula>F22&gt;0</formula>
    </cfRule>
    <cfRule type="expression" dxfId="16" priority="12">
      <formula>F22&lt;0</formula>
    </cfRule>
  </conditionalFormatting>
  <conditionalFormatting sqref="F23:F30">
    <cfRule type="expression" dxfId="15" priority="9">
      <formula>F23&gt;0</formula>
    </cfRule>
    <cfRule type="expression" dxfId="14" priority="10">
      <formula>F23&lt;0</formula>
    </cfRule>
  </conditionalFormatting>
  <conditionalFormatting sqref="H21:H31">
    <cfRule type="expression" dxfId="13" priority="7">
      <formula>H21&gt;0</formula>
    </cfRule>
    <cfRule type="expression" dxfId="12" priority="8">
      <formula>H21&lt;0</formula>
    </cfRule>
  </conditionalFormatting>
  <conditionalFormatting sqref="F24">
    <cfRule type="expression" dxfId="11" priority="5">
      <formula>F24&gt;0</formula>
    </cfRule>
    <cfRule type="expression" dxfId="10" priority="6">
      <formula>F24&lt;0</formula>
    </cfRule>
  </conditionalFormatting>
  <conditionalFormatting sqref="Q8">
    <cfRule type="expression" dxfId="9" priority="1">
      <formula>Q8&gt;0</formula>
    </cfRule>
    <cfRule type="expression" dxfId="8" priority="2">
      <formula>Q8&lt;0</formula>
    </cfRule>
  </conditionalFormatting>
  <conditionalFormatting sqref="Q7">
    <cfRule type="expression" dxfId="7" priority="3">
      <formula>Q7&gt;0</formula>
    </cfRule>
    <cfRule type="expression" dxfId="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81</vt:i4>
      </vt:variant>
    </vt:vector>
  </HeadingPairs>
  <TitlesOfParts>
    <vt:vector size="16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2018-04-19T00:25:46Z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